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70" windowHeight="0" tabRatio="602" firstSheet="2" activeTab="2"/>
  </bookViews>
  <sheets>
    <sheet name="Year 1 Budget" sheetId="1" state="hidden" r:id="rId1"/>
    <sheet name="Example" sheetId="2" state="hidden" r:id="rId2"/>
    <sheet name="phasing" sheetId="3" r:id="rId3"/>
  </sheets>
  <definedNames>
    <definedName name="_xlnm.Print_Area" localSheetId="0">'Year 1 Budget'!$A$1:$AO$220</definedName>
    <definedName name="_xlnm.Print_Titles" localSheetId="0">'Year 1 Budget'!$A:$A,'Year 1 Budget'!$24:$25</definedName>
  </definedNames>
  <calcPr fullCalcOnLoad="1"/>
</workbook>
</file>

<file path=xl/sharedStrings.xml><?xml version="1.0" encoding="utf-8"?>
<sst xmlns="http://schemas.openxmlformats.org/spreadsheetml/2006/main" count="1196" uniqueCount="584">
  <si>
    <t>Total</t>
  </si>
  <si>
    <t>A</t>
  </si>
  <si>
    <t>B</t>
  </si>
  <si>
    <t>B1</t>
  </si>
  <si>
    <t>C</t>
  </si>
  <si>
    <t>D</t>
  </si>
  <si>
    <t>Budget for:</t>
  </si>
  <si>
    <t>Project Code Funder:</t>
  </si>
  <si>
    <t>Programme:</t>
  </si>
  <si>
    <t>Programme Manager:</t>
  </si>
  <si>
    <t>Project Title:</t>
  </si>
  <si>
    <t>Project Period:</t>
  </si>
  <si>
    <t>Overheads Contribution requested:</t>
  </si>
  <si>
    <t>No of Units</t>
  </si>
  <si>
    <t>Unit Rate</t>
  </si>
  <si>
    <t>A1</t>
  </si>
  <si>
    <t>Nominal</t>
  </si>
  <si>
    <t>C1</t>
  </si>
  <si>
    <t>Percentage</t>
  </si>
  <si>
    <t>D1</t>
  </si>
  <si>
    <t>E</t>
  </si>
  <si>
    <t>F</t>
  </si>
  <si>
    <t>G</t>
  </si>
  <si>
    <t>Contribution to Indirect Costs</t>
  </si>
  <si>
    <t>Subtotal Contribution to Indirect Costs</t>
  </si>
  <si>
    <t>Requested contribution to Indirect Costs</t>
  </si>
  <si>
    <t>Subtotal of all Project Activities</t>
  </si>
  <si>
    <t>Description</t>
  </si>
  <si>
    <t>H</t>
  </si>
  <si>
    <t>Fund Code International Alert:</t>
  </si>
  <si>
    <t>Q1</t>
  </si>
  <si>
    <t>Q2</t>
  </si>
  <si>
    <t>Q3</t>
  </si>
  <si>
    <t>Q4</t>
  </si>
  <si>
    <t>Number of months in Funding</t>
  </si>
  <si>
    <t>Q5</t>
  </si>
  <si>
    <t>Q6</t>
  </si>
  <si>
    <t>The financial reports are generated by the IA Finance team through the SunSystems accounting software</t>
  </si>
  <si>
    <t>Allocated</t>
  </si>
  <si>
    <t xml:space="preserve"> Unit</t>
  </si>
  <si>
    <t>Totals</t>
  </si>
  <si>
    <t>A3</t>
  </si>
  <si>
    <t>Specific IC</t>
  </si>
  <si>
    <t>Project</t>
  </si>
  <si>
    <t>IA</t>
  </si>
  <si>
    <t>Cost Type Code</t>
  </si>
  <si>
    <t>Code</t>
  </si>
  <si>
    <t>Notes to the Budget/Assumptions</t>
  </si>
  <si>
    <t xml:space="preserve">   </t>
  </si>
  <si>
    <t>Actuals</t>
  </si>
  <si>
    <t>Expenditure</t>
  </si>
  <si>
    <t>Budget specification per item year 1</t>
  </si>
  <si>
    <t>Total Requested</t>
  </si>
  <si>
    <t>Year 1</t>
  </si>
  <si>
    <t>Exchange Rate for Budget:</t>
  </si>
  <si>
    <t>Q7</t>
  </si>
  <si>
    <t>Q8</t>
  </si>
  <si>
    <t>Base Currency:</t>
  </si>
  <si>
    <t>Second Currency:</t>
  </si>
  <si>
    <t>Date of Proposal</t>
  </si>
  <si>
    <t>GBP</t>
  </si>
  <si>
    <t>EUR</t>
  </si>
  <si>
    <t>Budget Holder</t>
  </si>
  <si>
    <t>BL</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</si>
  <si>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</si>
  <si>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</si>
  <si>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</si>
  <si>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</si>
  <si>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</si>
  <si>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</si>
  <si>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</si>
  <si>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</si>
  <si>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</si>
  <si>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</si>
  <si>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</si>
  <si>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</si>
  <si>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</si>
  <si>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</si>
  <si>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</si>
  <si>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</si>
  <si>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</si>
  <si>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</si>
  <si>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</si>
  <si>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</si>
  <si>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</si>
  <si>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</si>
  <si>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</si>
  <si>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</si>
  <si>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</si>
  <si>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</si>
  <si>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</si>
  <si>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</si>
  <si>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</si>
  <si>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</si>
  <si>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</si>
  <si>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</si>
  <si>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</si>
  <si>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</si>
  <si>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</si>
  <si>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</si>
  <si>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</si>
  <si>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</si>
  <si>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</si>
  <si>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</si>
  <si>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</si>
  <si>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</si>
  <si>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</si>
  <si>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</si>
  <si>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</si>
  <si>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</si>
  <si>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</si>
  <si>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</si>
  <si>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</si>
  <si>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</si>
  <si>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</si>
  <si>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</si>
  <si>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Cost Share</t>
  </si>
  <si>
    <t>Labor HQ TA</t>
  </si>
  <si>
    <t>Equipment and Supplies</t>
  </si>
  <si>
    <t>TRAVEL</t>
  </si>
  <si>
    <t>PROGRAM ACTIVITIES</t>
  </si>
  <si>
    <t>Lumpsum</t>
  </si>
  <si>
    <t>Africa</t>
  </si>
  <si>
    <t>BALANCE ON BUDGET</t>
  </si>
  <si>
    <t>GRANT SUMMARY:</t>
  </si>
  <si>
    <t>Total Grant Requested:</t>
  </si>
  <si>
    <t>Total Grant Received to Date:</t>
  </si>
  <si>
    <t>Total Grant Spent to Date:</t>
  </si>
  <si>
    <t>Total Cash Available to Spend:</t>
  </si>
  <si>
    <t>Expected Spending Rate to Date:</t>
  </si>
  <si>
    <t>Actual Spending Rate to Date:</t>
  </si>
  <si>
    <t>No. Of Months Left to Completion:</t>
  </si>
  <si>
    <t>Human Resources</t>
  </si>
  <si>
    <t xml:space="preserve">Technical </t>
  </si>
  <si>
    <t>Administrative/Support Staff</t>
  </si>
  <si>
    <t>Per diems for mission/travel</t>
  </si>
  <si>
    <t>Travel</t>
  </si>
  <si>
    <t>Other Costs</t>
  </si>
  <si>
    <t>5.4 Evaluation costs</t>
  </si>
  <si>
    <t>5.5 Translation, interpreters</t>
  </si>
  <si>
    <t>Massimo Fusato</t>
  </si>
  <si>
    <t>Salaries</t>
  </si>
  <si>
    <t>Total in EUR - including cost share</t>
  </si>
  <si>
    <t>EU contribution</t>
  </si>
  <si>
    <t>Dec'13</t>
  </si>
  <si>
    <t>Jan'14</t>
  </si>
  <si>
    <t>Feb'14</t>
  </si>
  <si>
    <t>Mar'14</t>
  </si>
  <si>
    <t>Apr'14</t>
  </si>
  <si>
    <t>May'14</t>
  </si>
  <si>
    <t>Jun'14</t>
  </si>
  <si>
    <t>Jul'14</t>
  </si>
  <si>
    <t>1.2 Salaries (gross salaries including social security
charges and other related costs, expat/int. staff)</t>
  </si>
  <si>
    <t>1.1.1.1 Project Officer x 2 (100%)</t>
  </si>
  <si>
    <t>1.1.1.2 Monitoring &amp; Evaluation Officer (25%)</t>
  </si>
  <si>
    <t>Per month</t>
  </si>
  <si>
    <t>Total in EUR</t>
  </si>
  <si>
    <t>1.1.2.1 Administrative Officer (33%)</t>
  </si>
  <si>
    <t>1.1.2.2 Administrative Assistant (33%)</t>
  </si>
  <si>
    <t>1.1.2.3 Finance Controller (30%)</t>
  </si>
  <si>
    <t>1.1.2.4 Logistician (33%)</t>
  </si>
  <si>
    <t>1.1.2.5 Driver (100%)</t>
  </si>
  <si>
    <t>1.1.2.6 Office cleaner (30%)</t>
  </si>
  <si>
    <t>Per Month</t>
  </si>
  <si>
    <t>1.2.1 Country Manager (20%)</t>
  </si>
  <si>
    <t>1.2.2 Deputy Country Manager (20%)</t>
  </si>
  <si>
    <t>1.2.3 Country Finance Manager (15%)</t>
  </si>
  <si>
    <t>1.2.4 Regional Manager (14%)</t>
  </si>
  <si>
    <t>1.2.5 Regional Finance and Operations Manager (10%)</t>
  </si>
  <si>
    <t>1.2.6 Africa Programme Communications Officer (10%)</t>
  </si>
  <si>
    <t>1.2.7 Project Manager (100%)</t>
  </si>
  <si>
    <t>1.2.8 Recruitment costs intl staff</t>
  </si>
  <si>
    <t>Per post</t>
  </si>
  <si>
    <t>1.3.1 Staff assigned to the Action travel in eastern DRC</t>
  </si>
  <si>
    <t>1.3.2 Staff assigned to the Action travel to Kinshasa DRC</t>
  </si>
  <si>
    <t>1.3.3 Staff assigned to the Action travel to Europe</t>
  </si>
  <si>
    <t>21. International Travel</t>
  </si>
  <si>
    <t>2.2 Local transportation</t>
  </si>
  <si>
    <t>2.1.1 Staff assigned to the Action London - DRC</t>
  </si>
  <si>
    <t>2.1.2 Staff assigned to the Action London - Brussels</t>
  </si>
  <si>
    <t xml:space="preserve">2.1.3 DRC Country Manager: Goma - Brussels </t>
  </si>
  <si>
    <t>2.2.1 Staff assigned to the Action: Kinshasa - Goma</t>
  </si>
  <si>
    <t xml:space="preserve">2.2.2 Staff assigned to the Action: Bukavu - Goma </t>
  </si>
  <si>
    <t>2.2.3 Local transport</t>
  </si>
  <si>
    <t>Per return flight</t>
  </si>
  <si>
    <t>Per return trip</t>
  </si>
  <si>
    <t>Per day</t>
  </si>
  <si>
    <t>3. Equipment and Supplies</t>
  </si>
  <si>
    <t>3.3 Furniture, computer equipment</t>
  </si>
  <si>
    <t>3.4 Security equipment</t>
  </si>
  <si>
    <t>3.1 Vehicle purchase</t>
  </si>
  <si>
    <t>3.2 Generator purchase</t>
  </si>
  <si>
    <t>3.3.1 Office computer equipment (laptops)</t>
  </si>
  <si>
    <t>3.3.2 Office printer</t>
  </si>
  <si>
    <t>3.3.3 Office furniture</t>
  </si>
  <si>
    <t>3.4.1 VHF radio base station</t>
  </si>
  <si>
    <t>3.4.2 VHF radio vehicle units</t>
  </si>
  <si>
    <t>3.4.3 Satellite telephone</t>
  </si>
  <si>
    <t>3.4.4 Satellite telephone service</t>
  </si>
  <si>
    <t>3.4.5 Licensing and inspections</t>
  </si>
  <si>
    <t>Per vehicle</t>
  </si>
  <si>
    <t>Per generator</t>
  </si>
  <si>
    <t>Per set</t>
  </si>
  <si>
    <t>per office</t>
  </si>
  <si>
    <t>per vehicle</t>
  </si>
  <si>
    <t>per phone</t>
  </si>
  <si>
    <t>per year</t>
  </si>
  <si>
    <t>EQUIPMENT AND SUPPLIES</t>
  </si>
  <si>
    <t>LOCAL OFFICE</t>
  </si>
  <si>
    <t>4. Local Office</t>
  </si>
  <si>
    <t>4.1 Vehicle and generator costs</t>
  </si>
  <si>
    <t>4.1.1 Fuel and maintenance (30%)</t>
  </si>
  <si>
    <t>4.1.2 Insurance and vehicle entry cards</t>
  </si>
  <si>
    <t>4.2 Office rent and security</t>
  </si>
  <si>
    <t>4.2.1 Office rent in Goma (33%)</t>
  </si>
  <si>
    <t>4.2.1 Office security in Goma (33%)</t>
  </si>
  <si>
    <t>4.2.3 Office rent in Bukavu (20%)</t>
  </si>
  <si>
    <t>4.2.3 Office security in Bukavu (20%)</t>
  </si>
  <si>
    <t>4.3 Consumables - office supplies and equipment</t>
  </si>
  <si>
    <t>4.3.1 Goma office consumables - project office supplies (33%)</t>
  </si>
  <si>
    <t>4.3.2 Bukavu office consumables - project office supplies (20%)</t>
  </si>
  <si>
    <t>4.4 Utilities (water, electricity, internet, communications) and maintenance</t>
  </si>
  <si>
    <t>4.4.1 Goma office services (33%)</t>
  </si>
  <si>
    <t>4.4.2 Bukavu office services (20%)</t>
  </si>
  <si>
    <t>Per year</t>
  </si>
  <si>
    <t>OTHER COSTS, SERVICES</t>
  </si>
  <si>
    <t>5. Other costs</t>
  </si>
  <si>
    <r>
      <t>5.1 Publications</t>
    </r>
    <r>
      <rPr>
        <vertAlign val="superscript"/>
        <sz val="10"/>
        <rFont val="Arial"/>
        <family val="2"/>
      </rPr>
      <t>9</t>
    </r>
  </si>
  <si>
    <t>5.1.1 Peace actor and initiative mapping publication (Activity 1.1) and publication of action research</t>
  </si>
  <si>
    <r>
      <t>5.2 Studies, research</t>
    </r>
    <r>
      <rPr>
        <vertAlign val="superscript"/>
        <sz val="10"/>
        <rFont val="Arial"/>
        <family val="2"/>
      </rPr>
      <t>9</t>
    </r>
  </si>
  <si>
    <t>5.2.1 Action research (Activity 1.3)</t>
  </si>
  <si>
    <t>5.2.1.1 Consultancy fees/local researcher</t>
  </si>
  <si>
    <t>5.2.1.2 transport, accomodation and per diem for research team</t>
  </si>
  <si>
    <t>5.2.1.3 focus group discussions</t>
  </si>
  <si>
    <t>5.2.1.4 research materials (questionnaires, paper, pens)</t>
  </si>
  <si>
    <r>
      <t>5.3 Expenditure verification</t>
    </r>
    <r>
      <rPr>
        <sz val="10"/>
        <rFont val="Arial"/>
        <family val="2"/>
      </rPr>
      <t xml:space="preserve"> - Audit</t>
    </r>
  </si>
  <si>
    <t>5.4.1 Baseline and endline surveys</t>
  </si>
  <si>
    <t>Per publication</t>
  </si>
  <si>
    <t>per focus group</t>
  </si>
  <si>
    <t>lumpsum</t>
  </si>
  <si>
    <t>Per audit</t>
  </si>
  <si>
    <t>Per survey</t>
  </si>
  <si>
    <t>5.4.2 Evaluation</t>
  </si>
  <si>
    <t>5.6 Financial services (bank fees)</t>
  </si>
  <si>
    <t>5.7 Legal fees (33%)</t>
  </si>
  <si>
    <r>
      <t>5.8 Visibility actions</t>
    </r>
    <r>
      <rPr>
        <vertAlign val="superscript"/>
        <sz val="10"/>
        <rFont val="Arial"/>
        <family val="2"/>
      </rPr>
      <t>10</t>
    </r>
  </si>
  <si>
    <t>5.8.1 Media coverage (radio, press, web etc)</t>
  </si>
  <si>
    <t>5.8.2 Visibility products incl banners</t>
  </si>
  <si>
    <t>Day</t>
  </si>
  <si>
    <t>Percent</t>
  </si>
  <si>
    <t>Result 1: Increased capacity of and action by identified peace actors and initiatives to address causes of conflict at the local level</t>
  </si>
  <si>
    <t>6.1.1 Mapping and capacity assessment of local peace actors and processes (Activity 1.1)</t>
  </si>
  <si>
    <t>6.1.2 Training and accompaniment of local peace actors and initiatives (Activity 1.2)</t>
  </si>
  <si>
    <t>6.1.2.1 Venue rental, participant per diem, accomodation and meals</t>
  </si>
  <si>
    <t>6.1.2.2 Consultant trainer fees</t>
  </si>
  <si>
    <t>6.1.3 Supporting and accompanying conflict transformation processes conducted by the identified actors (Activity 1.3)</t>
  </si>
  <si>
    <t>Result 2: Peace actors and initiatives across North and South Kivu are connected into an effective network</t>
  </si>
  <si>
    <t>6.2.1 Support and accompany exchanges and meetings to form Kivus-wide peacebuilding network (Activity 2.1)</t>
  </si>
  <si>
    <t>6.2.2 Support and advise on joint peace initiatives undertaken by Kivus peacebuilding network members (Activity 2.2)</t>
  </si>
  <si>
    <t>Result 3: Peace actors and initiatives engage with higher-level stakeholders at province/territory, national, and international levels</t>
  </si>
  <si>
    <t>6.3.1 Accompaniment of territory/province advocacy by peace actors (Activity 3.1)</t>
  </si>
  <si>
    <t>6.3.2 Organise peace dialogues at territory, provincial and national levels (Activity 3.2)</t>
  </si>
  <si>
    <t>6.3.2.1 Venue rental</t>
  </si>
  <si>
    <t>6.3.2.2 Lunch/coffee breaks</t>
  </si>
  <si>
    <t>6.3.2.3 Transport of participants</t>
  </si>
  <si>
    <t>6.3.2.4 Materials (paper, pens, documents)</t>
  </si>
  <si>
    <t>6.3.3 Experiential exchanges between civil society actors in the West and East (Activity 3.3)</t>
  </si>
  <si>
    <t>6.3.3.1 Travel costs</t>
  </si>
  <si>
    <t>6.3.3.2 Per diem and accomodation costs</t>
  </si>
  <si>
    <t>6.3.4 Support the attendance of Kivu Peace network members to key events (Activity 3.4)</t>
  </si>
  <si>
    <t>Fee per day</t>
  </si>
  <si>
    <t>Per session</t>
  </si>
  <si>
    <t>Per event</t>
  </si>
  <si>
    <t>Per participant/day</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</si>
  <si>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</si>
  <si>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</si>
  <si>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</si>
  <si>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</si>
  <si>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</si>
  <si>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</si>
  <si>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</si>
  <si>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</si>
  <si>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</si>
  <si>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</si>
  <si>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</si>
  <si>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</si>
  <si>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</si>
  <si>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</si>
  <si>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</si>
  <si>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</si>
  <si>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</si>
  <si>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</si>
  <si>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</si>
  <si>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</si>
  <si>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</si>
  <si>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</si>
  <si>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</si>
  <si>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078</t>
  </si>
  <si>
    <t>Budget specification per all years</t>
  </si>
  <si>
    <t>All years</t>
  </si>
  <si>
    <t>Dec'14</t>
  </si>
  <si>
    <t>Sep'14</t>
  </si>
  <si>
    <t>Oct'14</t>
  </si>
  <si>
    <t>Nov'14</t>
  </si>
  <si>
    <t>Jan'15</t>
  </si>
  <si>
    <t>Feb'15</t>
  </si>
  <si>
    <t>Mar'15</t>
  </si>
  <si>
    <t>Apr'15</t>
  </si>
  <si>
    <t>May'15</t>
  </si>
  <si>
    <t>Jun'15</t>
  </si>
  <si>
    <t>Jul'15</t>
  </si>
  <si>
    <t>Aug'15</t>
  </si>
  <si>
    <t>Sep'15</t>
  </si>
  <si>
    <t>Oct'15</t>
  </si>
  <si>
    <t>Dec'15</t>
  </si>
  <si>
    <t>AP21GR</t>
  </si>
  <si>
    <t>Building Peace from the Bottom Up: Reinforcing Local Actions for Peace in the Kivus</t>
  </si>
  <si>
    <t>TBC</t>
  </si>
  <si>
    <t>Feb'14-Jan17</t>
  </si>
  <si>
    <t>07.11.2013</t>
  </si>
  <si>
    <t>Per initiative</t>
  </si>
  <si>
    <t>DEC'13</t>
  </si>
  <si>
    <t>USD</t>
  </si>
  <si>
    <t>AFR000</t>
  </si>
  <si>
    <t>YEAR 1</t>
  </si>
  <si>
    <t>YEAR 2</t>
  </si>
  <si>
    <t>YEAR 3</t>
  </si>
  <si>
    <t>YEAR 4</t>
  </si>
  <si>
    <t>076</t>
  </si>
  <si>
    <t>077</t>
  </si>
  <si>
    <t>079</t>
  </si>
  <si>
    <t>080</t>
  </si>
  <si>
    <t>Year 1 Actual</t>
  </si>
  <si>
    <t>%</t>
  </si>
  <si>
    <t>Remaining Budget</t>
  </si>
  <si>
    <t>Actual</t>
  </si>
  <si>
    <t>Burn Rate</t>
  </si>
  <si>
    <t>TOTAL PROJECT LIFE TODATE</t>
  </si>
  <si>
    <t>Oct'16</t>
  </si>
  <si>
    <t>Nov'16</t>
  </si>
  <si>
    <t>Dec'16</t>
  </si>
  <si>
    <t>Jan'17</t>
  </si>
  <si>
    <t>Feb'17</t>
  </si>
  <si>
    <t>Mar'17</t>
  </si>
  <si>
    <t>Apr'17</t>
  </si>
  <si>
    <t>May'17</t>
  </si>
  <si>
    <t>Jun'17</t>
  </si>
  <si>
    <t>Jul'17</t>
  </si>
  <si>
    <t>Aug'17</t>
  </si>
  <si>
    <t>Sept'17</t>
  </si>
  <si>
    <t>Njia Za Makubaliano : Les Chemins vers les Accords</t>
  </si>
  <si>
    <t>AP21LR</t>
  </si>
  <si>
    <t>Patric Mututa</t>
  </si>
  <si>
    <t>01/10/2016-30/09/2018</t>
  </si>
  <si>
    <t>01.04.2016</t>
  </si>
  <si>
    <t>PRODUITS</t>
  </si>
  <si>
    <t>ACTIVITES</t>
  </si>
  <si>
    <t>CATEGORIE DE DEPENSE*</t>
  </si>
  <si>
    <t>Lead</t>
  </si>
  <si>
    <t>Quantite</t>
  </si>
  <si>
    <t>Cout Unitaire</t>
  </si>
  <si>
    <t>Duree/           Frequence</t>
  </si>
  <si>
    <t xml:space="preserve"> Budget Année 1</t>
  </si>
  <si>
    <t>Budget Année 2</t>
  </si>
  <si>
    <t>BUDGET TOTAL</t>
  </si>
  <si>
    <t>12 Mois</t>
  </si>
  <si>
    <t>24 Mois</t>
  </si>
  <si>
    <t>POLE</t>
  </si>
  <si>
    <t>SUBGRANT TO JUNIOR LOCAL PARTNER</t>
  </si>
  <si>
    <t xml:space="preserve">Base Line Survey </t>
  </si>
  <si>
    <t xml:space="preserve">Final Evaluation </t>
  </si>
  <si>
    <t>Visibility  costs, publications and translations</t>
  </si>
  <si>
    <t xml:space="preserve">Start up Workshop </t>
  </si>
  <si>
    <t xml:space="preserve">Qualitative data collection </t>
  </si>
  <si>
    <t>Monitoring &amp; Evaluation Assistant 80%</t>
  </si>
  <si>
    <t>Senior Monitoring &amp; Evaluation Officer 80%</t>
  </si>
  <si>
    <t>Project officer Goma 100%</t>
  </si>
  <si>
    <t>Project manager 50%</t>
  </si>
  <si>
    <t>TOTAL ACTIVITES</t>
  </si>
  <si>
    <t>PERSONNEL ET AUTRES EMPLOYES</t>
  </si>
  <si>
    <t>B.1.1</t>
  </si>
  <si>
    <t>B.1.2</t>
  </si>
  <si>
    <t>Grant Compliance Finance Officer 15%</t>
  </si>
  <si>
    <t>Personnel et autres employés</t>
  </si>
  <si>
    <t>B.1.3</t>
  </si>
  <si>
    <t>Finance Officers Goma  17%</t>
  </si>
  <si>
    <t>B.1.4</t>
  </si>
  <si>
    <t>Administrators Goma  17%</t>
  </si>
  <si>
    <t>B.1.5</t>
  </si>
  <si>
    <t>Assistant Logisticians Goma  17%</t>
  </si>
  <si>
    <t>B.1.6</t>
  </si>
  <si>
    <t xml:space="preserve">Drivers Goma  70% </t>
  </si>
  <si>
    <t>B.1.7</t>
  </si>
  <si>
    <t>Office cleaners Goma  17%</t>
  </si>
  <si>
    <t>B.1.8</t>
  </si>
  <si>
    <t>Operations Coordinator 10%</t>
  </si>
  <si>
    <t>B.1.9</t>
  </si>
  <si>
    <t>Gardinier/Cuisinier 70%</t>
  </si>
  <si>
    <t>B.1.10</t>
  </si>
  <si>
    <t>DRC Country Manager 17%</t>
  </si>
  <si>
    <t>B.1.11</t>
  </si>
  <si>
    <t>DRC Peacebuilding Portfolio Manager 17%</t>
  </si>
  <si>
    <t>B.1.12</t>
  </si>
  <si>
    <t>DRC Finance Manager 17%</t>
  </si>
  <si>
    <t>Sous-total Personnel et autres employes</t>
  </si>
  <si>
    <t>Fournitures, produits de base, materiels</t>
  </si>
  <si>
    <t>Sous-total Fournitures, produits de base, materiels</t>
  </si>
  <si>
    <t>Equipements, vehicules et mobilier</t>
  </si>
  <si>
    <t>D.1.1</t>
  </si>
  <si>
    <t xml:space="preserve">I.T. Equipment (Laptops,Printers,Scanners,Camera) </t>
  </si>
  <si>
    <t>Sous-total Equipements, vehicules et mobilier</t>
  </si>
  <si>
    <t>Services Contractuels</t>
  </si>
  <si>
    <t>Sous-total Services Contractuels</t>
  </si>
  <si>
    <t>Frais de deplacement</t>
  </si>
  <si>
    <t>F.1.1</t>
  </si>
  <si>
    <t>Management staff Local Travel (hotel accomodation, per diem, boat ticket, etc..)</t>
  </si>
  <si>
    <t>F.1.2</t>
  </si>
  <si>
    <t>International travel</t>
  </si>
  <si>
    <t>Sous-total Frais de deplacement</t>
  </si>
  <si>
    <t>Transferts et subventions</t>
  </si>
  <si>
    <t>G.1.1</t>
  </si>
  <si>
    <t xml:space="preserve">Pole Institute sub-grant institutional costs </t>
  </si>
  <si>
    <t>G.1.2</t>
  </si>
  <si>
    <t xml:space="preserve">Other sub-grantee Partners institutional costs </t>
  </si>
  <si>
    <t>Sous-total Transferts et subventions</t>
  </si>
  <si>
    <t>Frais generaux de fonctionnement et autres couts directs</t>
  </si>
  <si>
    <t>H.1.1</t>
  </si>
  <si>
    <t>Bank Charges 1% Alert DRC EXP.</t>
  </si>
  <si>
    <t>H.1.2</t>
  </si>
  <si>
    <t xml:space="preserve">Fuel(1 vehicle + 1 Generator) </t>
  </si>
  <si>
    <t>H.1.3</t>
  </si>
  <si>
    <t xml:space="preserve">Vehicle maintenance,Spare parts </t>
  </si>
  <si>
    <t>H.1.4</t>
  </si>
  <si>
    <t xml:space="preserve">Vehicle insurances/entry cards,FONER fee etc </t>
  </si>
  <si>
    <t>H.1.5</t>
  </si>
  <si>
    <t>Local staff Medical support  15%</t>
  </si>
  <si>
    <t>H.1.6</t>
  </si>
  <si>
    <t>Training Support/Staff Development 15%</t>
  </si>
  <si>
    <t>H.1.7</t>
  </si>
  <si>
    <t xml:space="preserve">Staff Recruitment </t>
  </si>
  <si>
    <t>H.1.8</t>
  </si>
  <si>
    <t>Housing/Accommodation-DRC Expat staff 11%</t>
  </si>
  <si>
    <t>H.1.9</t>
  </si>
  <si>
    <t>Other international benefits - visa d'etablissement, CEPGL, Insurance, return home flights: 11%</t>
  </si>
  <si>
    <t>H.1.10</t>
  </si>
  <si>
    <t xml:space="preserve">Office Furniture &amp; Equipment </t>
  </si>
  <si>
    <t>H.1.11</t>
  </si>
  <si>
    <t>Office Consumables and Stationery Supplies,Office Insurance etc-30%</t>
  </si>
  <si>
    <t>H.1.12</t>
  </si>
  <si>
    <t>Office Rental(15%)</t>
  </si>
  <si>
    <t>H.1.13</t>
  </si>
  <si>
    <t>Office utilities (Maintenance,Water, electricity etc)(20%)</t>
  </si>
  <si>
    <t>H.1.14</t>
  </si>
  <si>
    <t>Communications (Email &amp; Phone,Internet) (30%)</t>
  </si>
  <si>
    <t>H.1.15</t>
  </si>
  <si>
    <t>Security Services(Office&amp; Expat Staff Residence) (12%)</t>
  </si>
  <si>
    <t>H.1.16</t>
  </si>
  <si>
    <t>Legal &amp; Professional Fees(Lawyer+IT Cons)-(25%)</t>
  </si>
  <si>
    <t>Sous-total Frais generaux de fonctionnement et autres couts directs</t>
  </si>
  <si>
    <t xml:space="preserve">TOTAL OPERATIONS ET AUTRES COUTS </t>
  </si>
  <si>
    <t>Couts Indirects (7%)***</t>
  </si>
  <si>
    <t>Total Global</t>
  </si>
  <si>
    <t>24</t>
  </si>
  <si>
    <t xml:space="preserve">TOTAL DIRECT OPERATIONS ET ACTIVITIE </t>
  </si>
  <si>
    <t>Avance pour Organizations Partnaire</t>
  </si>
  <si>
    <t>ACTUAL EXPENDITURE IN USD$ Forth Currency in SUN</t>
  </si>
  <si>
    <t>$</t>
  </si>
  <si>
    <t>£</t>
  </si>
  <si>
    <t>Résultat 1. Les mécanismes participatifs de pilotage sont établis et opérationnels</t>
  </si>
  <si>
    <t>Produit 1.1. Les connaissances et capacités des membres des structures de dialogues et transformation de conflits sont accrues</t>
  </si>
  <si>
    <r>
      <rPr>
        <b/>
        <sz val="9"/>
        <color indexed="8"/>
        <rFont val="Calibri"/>
        <family val="2"/>
      </rPr>
      <t>A.1.1.1</t>
    </r>
    <r>
      <rPr>
        <sz val="9"/>
        <color indexed="8"/>
        <rFont val="Calibri"/>
        <family val="2"/>
      </rPr>
      <t xml:space="preserve"> Redynamisation du cadre d'echange et d'information</t>
    </r>
  </si>
  <si>
    <t>Activité</t>
  </si>
  <si>
    <t>JUNIOR LOCAL PARTNER</t>
  </si>
  <si>
    <t>086</t>
  </si>
  <si>
    <r>
      <rPr>
        <b/>
        <sz val="9"/>
        <rFont val="Calibri"/>
        <family val="2"/>
      </rPr>
      <t>A.1.1.2</t>
    </r>
    <r>
      <rPr>
        <sz val="9"/>
        <rFont val="Calibri"/>
        <family val="2"/>
      </rPr>
      <t xml:space="preserve"> Identification et election des membres du cadre d'echange et information</t>
    </r>
  </si>
  <si>
    <r>
      <t>A.1.1.3</t>
    </r>
    <r>
      <rPr>
        <sz val="9"/>
        <rFont val="Calibri"/>
        <family val="2"/>
      </rPr>
      <t xml:space="preserve"> Forum Constitutif du Cadre d'echange et Information</t>
    </r>
  </si>
  <si>
    <r>
      <rPr>
        <b/>
        <sz val="9"/>
        <rFont val="Calibri"/>
        <family val="2"/>
      </rPr>
      <t>A.1.1.4</t>
    </r>
    <r>
      <rPr>
        <sz val="9"/>
        <rFont val="Calibri"/>
        <family val="2"/>
      </rPr>
      <t xml:space="preserve"> Identification et election des membres des structures communautaires</t>
    </r>
  </si>
  <si>
    <r>
      <rPr>
        <b/>
        <sz val="9"/>
        <rFont val="Calibri"/>
        <family val="2"/>
      </rPr>
      <t>A.1.1.5</t>
    </r>
    <r>
      <rPr>
        <sz val="9"/>
        <rFont val="Calibri"/>
        <family val="2"/>
      </rPr>
      <t xml:space="preserve"> Forum constitutif des structures communautaires  </t>
    </r>
  </si>
  <si>
    <r>
      <t xml:space="preserve">A.1.1.6 </t>
    </r>
    <r>
      <rPr>
        <sz val="9"/>
        <rFont val="Calibri"/>
        <family val="2"/>
      </rPr>
      <t>Formation des membres du cadre d'echange et d'information et des CITC (genre, sensibilite au conflit, analyse de conflit etc.)</t>
    </r>
  </si>
  <si>
    <t>088</t>
  </si>
  <si>
    <r>
      <rPr>
        <b/>
        <sz val="9"/>
        <rFont val="Calibri"/>
        <family val="2"/>
      </rPr>
      <t>A.1.1.7</t>
    </r>
    <r>
      <rPr>
        <sz val="9"/>
        <rFont val="Calibri"/>
        <family val="2"/>
      </rPr>
      <t xml:space="preserve"> Formation des membres du cadre d'echange et d'Information et des structures communautaires  (genre, sensibilite au conflit, analyse de conflit etc..)</t>
    </r>
  </si>
  <si>
    <r>
      <rPr>
        <b/>
        <sz val="9"/>
        <rFont val="Calibri"/>
        <family val="2"/>
      </rPr>
      <t>A.1.1.8</t>
    </r>
    <r>
      <rPr>
        <sz val="9"/>
        <rFont val="Calibri"/>
        <family val="2"/>
      </rPr>
      <t xml:space="preserve"> Formation des membres des noyaux de Paix</t>
    </r>
  </si>
  <si>
    <t>A.2.1.2.1 Formation des membres des noyaux de Paix</t>
  </si>
  <si>
    <r>
      <t xml:space="preserve">A.1.1.9 </t>
    </r>
    <r>
      <rPr>
        <sz val="9"/>
        <rFont val="Calibri"/>
        <family val="2"/>
      </rPr>
      <t>Formation et appui technique aux membres du cadre d'echange/conseil consultatif</t>
    </r>
  </si>
  <si>
    <r>
      <rPr>
        <b/>
        <sz val="9"/>
        <color indexed="10"/>
        <rFont val="Calibri"/>
        <family val="2"/>
      </rPr>
      <t>A.2.1.4 Ateliers sur la présence des armes dans les localités cibles</t>
    </r>
  </si>
  <si>
    <t>081</t>
  </si>
  <si>
    <t>Produit 1.2. Les structures de dialogues et de tranformation de conflits sont appuyées</t>
  </si>
  <si>
    <r>
      <rPr>
        <b/>
        <sz val="9"/>
        <rFont val="Calibri"/>
        <family val="2"/>
      </rPr>
      <t>A.1.2.1</t>
    </r>
    <r>
      <rPr>
        <sz val="9"/>
        <rFont val="Calibri"/>
        <family val="2"/>
      </rPr>
      <t xml:space="preserve"> Cout de fonctionnement pour les CITC/Bashali</t>
    </r>
  </si>
  <si>
    <t>085</t>
  </si>
  <si>
    <r>
      <t xml:space="preserve">A.1.2.2 </t>
    </r>
    <r>
      <rPr>
        <sz val="9"/>
        <rFont val="Calibri"/>
        <family val="2"/>
      </rPr>
      <t>Couts de fonctionnement des structures communautaires de paix/Bwito</t>
    </r>
  </si>
  <si>
    <r>
      <rPr>
        <b/>
        <sz val="9"/>
        <rFont val="Calibri"/>
        <family val="2"/>
      </rPr>
      <t xml:space="preserve">A.1.2.3 </t>
    </r>
    <r>
      <rPr>
        <sz val="9"/>
        <rFont val="Calibri"/>
        <family val="2"/>
      </rPr>
      <t>Reunions bimensuelles des membres du cadre d'echange et information/Bashali</t>
    </r>
  </si>
  <si>
    <t>087</t>
  </si>
  <si>
    <r>
      <rPr>
        <b/>
        <sz val="9"/>
        <rFont val="Calibri"/>
        <family val="2"/>
      </rPr>
      <t>A.1.2.4</t>
    </r>
    <r>
      <rPr>
        <sz val="9"/>
        <rFont val="Calibri"/>
        <family val="2"/>
      </rPr>
      <t xml:space="preserve"> Reunions bimensuelles du Cadre d'Echange et d'Information/Bwito</t>
    </r>
  </si>
  <si>
    <r>
      <rPr>
        <b/>
        <sz val="9"/>
        <color indexed="10"/>
        <rFont val="Calibri"/>
        <family val="2"/>
      </rPr>
      <t>A.1.1.2 Reunions bilaterales entre les noyaux de paix et les GC</t>
    </r>
  </si>
  <si>
    <t>Produit 1.3. Les connaissances de la population sur les actions de dialogues et transformation de conflits sont accrues</t>
  </si>
  <si>
    <r>
      <rPr>
        <b/>
        <sz val="9"/>
        <rFont val="Calibri"/>
        <family val="2"/>
      </rPr>
      <t>A.1.3.1</t>
    </r>
    <r>
      <rPr>
        <sz val="9"/>
        <rFont val="Calibri"/>
        <family val="2"/>
      </rPr>
      <t xml:space="preserve"> Production et Emissions Radio Pole FM</t>
    </r>
  </si>
  <si>
    <r>
      <t xml:space="preserve">A.1.3.2 </t>
    </r>
    <r>
      <rPr>
        <sz val="9"/>
        <rFont val="Calibri"/>
        <family val="2"/>
      </rPr>
      <t>Emissions diffusees sur 4 radios communautaires</t>
    </r>
  </si>
  <si>
    <r>
      <rPr>
        <b/>
        <sz val="9"/>
        <rFont val="Calibri"/>
        <family val="2"/>
      </rPr>
      <t xml:space="preserve">A.1.3.3 </t>
    </r>
    <r>
      <rPr>
        <sz val="9"/>
        <rFont val="Calibri"/>
        <family val="2"/>
      </rPr>
      <t>Emissions diffusees sur une radio nationale a Kinshasa</t>
    </r>
  </si>
  <si>
    <t>Total Resultat 1</t>
  </si>
  <si>
    <t>Résultat 2. Les plans d'actions conjoints sont développés et mis en œuvre</t>
  </si>
  <si>
    <t>Produit 2.1. Les engagements (Accords) issus des dialogues précédents sont  actualisés et mis en œuvre</t>
  </si>
  <si>
    <r>
      <rPr>
        <b/>
        <sz val="9"/>
        <rFont val="Calibri"/>
        <family val="2"/>
      </rPr>
      <t xml:space="preserve">A.2.1.1 </t>
    </r>
    <r>
      <rPr>
        <sz val="9"/>
        <rFont val="Calibri"/>
        <family val="2"/>
      </rPr>
      <t>Ateliers de Reactualisation et revue des resultats de l'analyse existante sur la zone et des accords signes dans le passee</t>
    </r>
  </si>
  <si>
    <r>
      <rPr>
        <b/>
        <sz val="9"/>
        <rFont val="Calibri"/>
        <family val="2"/>
      </rPr>
      <t>A.2.1.2</t>
    </r>
    <r>
      <rPr>
        <sz val="9"/>
        <rFont val="Calibri"/>
        <family val="2"/>
      </rPr>
      <t xml:space="preserve"> Entretien et discussions supplementaires sur les dimensions non incluses dans la RAP existante menee par LPI</t>
    </r>
  </si>
  <si>
    <r>
      <rPr>
        <b/>
        <sz val="9"/>
        <color indexed="10"/>
        <rFont val="Calibri"/>
        <family val="2"/>
      </rPr>
      <t>A.2.1.1.2 Seances de discussion sur le rapport de recherche</t>
    </r>
  </si>
  <si>
    <t>082</t>
  </si>
  <si>
    <r>
      <rPr>
        <b/>
        <sz val="9"/>
        <rFont val="Calibri"/>
        <family val="2"/>
      </rPr>
      <t>A.2.1.3</t>
    </r>
    <r>
      <rPr>
        <sz val="9"/>
        <rFont val="Calibri"/>
        <family val="2"/>
      </rPr>
      <t xml:space="preserve"> Table Ronde</t>
    </r>
  </si>
  <si>
    <t>083</t>
  </si>
  <si>
    <r>
      <rPr>
        <b/>
        <sz val="9"/>
        <rFont val="Calibri"/>
        <family val="2"/>
      </rPr>
      <t>A.2.1.4</t>
    </r>
    <r>
      <rPr>
        <sz val="9"/>
        <rFont val="Calibri"/>
        <family val="2"/>
      </rPr>
      <t xml:space="preserve"> Mise en place de mecanismes de suivi des accords/Bashali</t>
    </r>
  </si>
  <si>
    <r>
      <rPr>
        <b/>
        <sz val="9"/>
        <rFont val="Calibri"/>
        <family val="2"/>
      </rPr>
      <t>A.2.1.5</t>
    </r>
    <r>
      <rPr>
        <sz val="9"/>
        <rFont val="Calibri"/>
        <family val="2"/>
      </rPr>
      <t xml:space="preserve"> Forums de Dialogue Democratique</t>
    </r>
  </si>
  <si>
    <t>Produit 2.2. Une  recherche action participative sur les dynamiques des conflits est  réalisée</t>
  </si>
  <si>
    <r>
      <rPr>
        <b/>
        <sz val="9"/>
        <rFont val="Calibri"/>
        <family val="2"/>
      </rPr>
      <t>A.2.2.1</t>
    </r>
    <r>
      <rPr>
        <sz val="9"/>
        <rFont val="Calibri"/>
        <family val="2"/>
      </rPr>
      <t xml:space="preserve"> Recherche Action Participative </t>
    </r>
  </si>
  <si>
    <r>
      <rPr>
        <b/>
        <sz val="9"/>
        <rFont val="Calibri"/>
        <family val="2"/>
      </rPr>
      <t>A.2.2.2</t>
    </r>
    <r>
      <rPr>
        <sz val="9"/>
        <rFont val="Calibri"/>
        <family val="2"/>
      </rPr>
      <t xml:space="preserve"> Formation des enqueteurs issus des communautes de Bwito</t>
    </r>
  </si>
  <si>
    <r>
      <rPr>
        <b/>
        <sz val="9"/>
        <rFont val="Calibri"/>
        <family val="2"/>
      </rPr>
      <t xml:space="preserve">A.2.2.3 </t>
    </r>
    <r>
      <rPr>
        <sz val="9"/>
        <rFont val="Calibri"/>
        <family val="2"/>
      </rPr>
      <t>Forums de debats bases sur les resultats de la RAP</t>
    </r>
  </si>
  <si>
    <r>
      <rPr>
        <b/>
        <sz val="9"/>
        <rFont val="Calibri"/>
        <family val="2"/>
      </rPr>
      <t>A.2.2.4</t>
    </r>
    <r>
      <rPr>
        <sz val="9"/>
        <rFont val="Calibri"/>
        <family val="2"/>
      </rPr>
      <t xml:space="preserve"> Mise en place de mecanismes de suivi des accords issus du dialogue/Bwito</t>
    </r>
  </si>
  <si>
    <r>
      <t xml:space="preserve">A.2.2.5 </t>
    </r>
    <r>
      <rPr>
        <sz val="9"/>
        <rFont val="Calibri"/>
        <family val="2"/>
      </rPr>
      <t>Cartographie des acteurs, analyse des facteurs des conflits</t>
    </r>
  </si>
  <si>
    <t>090</t>
  </si>
  <si>
    <t xml:space="preserve">Produit 2.3. Les Plans d’action conjoints  sensibles au genre  sont développés par le comité de suivi  et  approuvés par les représentants des communautés et les autorités </t>
  </si>
  <si>
    <r>
      <rPr>
        <b/>
        <sz val="9"/>
        <rFont val="Calibri"/>
        <family val="2"/>
      </rPr>
      <t>A.2.3.1</t>
    </r>
    <r>
      <rPr>
        <sz val="9"/>
        <rFont val="Calibri"/>
        <family val="2"/>
      </rPr>
      <t xml:space="preserve"> Fond Flexible pour la mise en oeuvre des accords et plans d'action issus du dialogue democratique de Bwito</t>
    </r>
  </si>
  <si>
    <t>084</t>
  </si>
  <si>
    <r>
      <rPr>
        <b/>
        <sz val="9"/>
        <rFont val="Calibri"/>
        <family val="2"/>
      </rPr>
      <t>A.2.3.2</t>
    </r>
    <r>
      <rPr>
        <sz val="9"/>
        <rFont val="Calibri"/>
        <family val="2"/>
      </rPr>
      <t xml:space="preserve"> Fond Flexible pour la mise en oeuvre des accords et plans d'action issues du dialogue democratique</t>
    </r>
  </si>
  <si>
    <t>Total Resultat 2</t>
  </si>
  <si>
    <t xml:space="preserve">Résultat 3. Les acteurs clés au niveau provincial et national sont mobilisés </t>
  </si>
  <si>
    <t>093</t>
  </si>
  <si>
    <t>Produit 3. 1. Le conseil consultatif provincial est mis  en place et est opérationnel</t>
  </si>
  <si>
    <r>
      <rPr>
        <b/>
        <sz val="9"/>
        <rFont val="Calibri"/>
        <family val="2"/>
      </rPr>
      <t>A.3.1.1</t>
    </r>
    <r>
      <rPr>
        <sz val="9"/>
        <rFont val="Calibri"/>
        <family val="2"/>
      </rPr>
      <t xml:space="preserve"> Mise en place d'un conseil consultatif au niveau provincial</t>
    </r>
  </si>
  <si>
    <r>
      <t xml:space="preserve">A.3.1.2 </t>
    </r>
    <r>
      <rPr>
        <sz val="9"/>
        <rFont val="Calibri"/>
        <family val="2"/>
      </rPr>
      <t>Reunions trimestrielles du cadre d'echange/conseil consultatif</t>
    </r>
  </si>
  <si>
    <r>
      <rPr>
        <b/>
        <sz val="9"/>
        <rFont val="Calibri"/>
        <family val="2"/>
      </rPr>
      <t>A.3.1.3</t>
    </r>
    <r>
      <rPr>
        <sz val="9"/>
        <rFont val="Calibri"/>
        <family val="2"/>
      </rPr>
      <t xml:space="preserve"> Visites de suivi sur terrain une fois le semestre par les membres du conseil consultatif</t>
    </r>
  </si>
  <si>
    <r>
      <t xml:space="preserve">A.3.1.4 </t>
    </r>
    <r>
      <rPr>
        <sz val="9"/>
        <rFont val="Calibri"/>
        <family val="2"/>
      </rPr>
      <t>Ateliers d'echange avec les entrepreneurs du conflit au niveau provincial, national et regional</t>
    </r>
  </si>
  <si>
    <r>
      <t xml:space="preserve">A.3.1.5 </t>
    </r>
    <r>
      <rPr>
        <sz val="9"/>
        <rFont val="Calibri"/>
        <family val="2"/>
      </rPr>
      <t>Atelier de preparation des activites de plaidoyer menees par les mecanismes de suivi de la mise en oeuvre des accords/Bashali</t>
    </r>
  </si>
  <si>
    <t>091</t>
  </si>
  <si>
    <r>
      <rPr>
        <b/>
        <sz val="9"/>
        <rFont val="Calibri"/>
        <family val="2"/>
      </rPr>
      <t xml:space="preserve">A.3.1.6 </t>
    </r>
    <r>
      <rPr>
        <sz val="9"/>
        <rFont val="Calibri"/>
        <family val="2"/>
      </rPr>
      <t>Atelier de preparation des activites de plaidoyer menees par les mecanismes de suivi de la mise en oeuvre des accords issus du dialogue democratique/Bwito</t>
    </r>
  </si>
  <si>
    <t>092</t>
  </si>
  <si>
    <r>
      <rPr>
        <b/>
        <sz val="9"/>
        <rFont val="Calibri"/>
        <family val="2"/>
      </rPr>
      <t>A.3.1.7</t>
    </r>
    <r>
      <rPr>
        <sz val="9"/>
        <rFont val="Calibri"/>
        <family val="2"/>
      </rPr>
      <t xml:space="preserve"> Activites de plaidoyer au niveau provincial, national et regional/Bwito</t>
    </r>
  </si>
  <si>
    <r>
      <t xml:space="preserve">A.3.1.8 </t>
    </r>
    <r>
      <rPr>
        <sz val="9"/>
        <rFont val="Calibri"/>
        <family val="2"/>
      </rPr>
      <t>Activites de plaidoyer au niveau provincial, national et regional/Bashali</t>
    </r>
  </si>
  <si>
    <r>
      <rPr>
        <b/>
        <sz val="9"/>
        <color indexed="10"/>
        <rFont val="Calibri"/>
        <family val="2"/>
      </rPr>
      <t>A.2.2.2 Visite par différentes communautés des camps des refugiés</t>
    </r>
  </si>
  <si>
    <r>
      <rPr>
        <b/>
        <sz val="9"/>
        <color indexed="10"/>
        <rFont val="Calibri"/>
        <family val="2"/>
      </rPr>
      <t>A.1.3.2 Forums Regionaux pour l'identification des entrepreneurs du conflit au niveau regional</t>
    </r>
  </si>
  <si>
    <r>
      <rPr>
        <b/>
        <sz val="9"/>
        <color indexed="10"/>
        <rFont val="Calibri"/>
        <family val="2"/>
      </rPr>
      <t>A.2.3.2 Atelier annuel pour la cohabitation pacifique entre populations locales et refugies rwandais</t>
    </r>
  </si>
  <si>
    <r>
      <rPr>
        <b/>
        <sz val="9"/>
        <color indexed="10"/>
        <rFont val="Calibri"/>
        <family val="2"/>
      </rPr>
      <t>A.4.1.2 Organisation des evenements culturels</t>
    </r>
  </si>
  <si>
    <r>
      <rPr>
        <b/>
        <sz val="9"/>
        <color indexed="10"/>
        <rFont val="Calibri"/>
        <family val="2"/>
      </rPr>
      <t>A. 4.2.1 Cartographie des acteurs d'influence positive</t>
    </r>
  </si>
  <si>
    <t>Alert</t>
  </si>
  <si>
    <r>
      <rPr>
        <b/>
        <sz val="9"/>
        <color indexed="10"/>
        <rFont val="Calibri"/>
        <family val="2"/>
      </rPr>
      <t>A.4.2.2 Formations techniques avec acteurs d'influence positive</t>
    </r>
  </si>
  <si>
    <r>
      <rPr>
        <b/>
        <sz val="9"/>
        <rFont val="Calibri"/>
        <family val="2"/>
      </rPr>
      <t>A.3.1.9</t>
    </r>
    <r>
      <rPr>
        <b/>
        <i/>
        <sz val="9"/>
        <rFont val="Calibri"/>
        <family val="2"/>
      </rPr>
      <t xml:space="preserve"> </t>
    </r>
    <r>
      <rPr>
        <sz val="9"/>
        <rFont val="Calibri"/>
        <family val="2"/>
      </rPr>
      <t>Traduction de la publication de l'ouvrage en allemand sur les FDLR</t>
    </r>
  </si>
  <si>
    <t>094</t>
  </si>
  <si>
    <t>Produit 3. 2. Le groupe de plaidoyer pour la paix à Masisi est  redynamisé au niveau national</t>
  </si>
  <si>
    <r>
      <t xml:space="preserve">A.3.2.1 </t>
    </r>
    <r>
      <rPr>
        <sz val="9"/>
        <rFont val="Calibri"/>
        <family val="2"/>
      </rPr>
      <t>Redynamisation du Groupe de Plaidoyer a Kinshasa</t>
    </r>
  </si>
  <si>
    <t>Total Resultat 3</t>
  </si>
  <si>
    <t>A4. Suivi  Evaluation et Cout de Peronnel Lies aux Activite</t>
  </si>
  <si>
    <t>A.4.1</t>
  </si>
  <si>
    <t>A.4.2</t>
  </si>
  <si>
    <t>A.4.3</t>
  </si>
  <si>
    <t>Direct project staff Activity monitoring Local Travel (hotel accomodation, per diem, boat ticket, etc.)</t>
  </si>
  <si>
    <t>A.4.4</t>
  </si>
  <si>
    <t>A.4.5</t>
  </si>
  <si>
    <t>A.4.6</t>
  </si>
  <si>
    <t>095</t>
  </si>
  <si>
    <t>A.4.7</t>
  </si>
  <si>
    <t>Consultants engagement politique acteurs cles du conflit</t>
  </si>
  <si>
    <t>A.4.8</t>
  </si>
  <si>
    <t>A.4.9</t>
  </si>
  <si>
    <t>A.4.10</t>
  </si>
  <si>
    <t>A.4.11</t>
  </si>
  <si>
    <t>Total Suivi  Evaluation et Cout de Peronnel Lies aux Activite</t>
  </si>
  <si>
    <t>Oct'17</t>
  </si>
  <si>
    <t>Nov'17</t>
  </si>
  <si>
    <t>Dec'17</t>
  </si>
  <si>
    <t>Jan'18</t>
  </si>
  <si>
    <t>Feb'18</t>
  </si>
  <si>
    <t>Mar'18</t>
  </si>
  <si>
    <t>Apr'18</t>
  </si>
  <si>
    <t>May'18</t>
  </si>
  <si>
    <t>Jun'18</t>
  </si>
  <si>
    <t>Jul'18</t>
  </si>
  <si>
    <t>Aug'18</t>
  </si>
  <si>
    <t>Sept'18</t>
  </si>
  <si>
    <t>089</t>
  </si>
  <si>
    <t>AOUT</t>
  </si>
  <si>
    <t xml:space="preserve">SEPTEMBRE </t>
  </si>
  <si>
    <t>OCTOBRE</t>
  </si>
  <si>
    <t>NOVEMBRE</t>
  </si>
  <si>
    <t>DECEMBRE</t>
  </si>
  <si>
    <t xml:space="preserve">TOTAL </t>
  </si>
  <si>
    <t xml:space="preserve"> </t>
  </si>
  <si>
    <t>Situation Actuelle/Juillet</t>
  </si>
  <si>
    <t>BUDGET REVISE AOUT 2018 PROJET NJIA ZA Makubaliano</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</si>
</sst>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
    <numFmt numFmtId="181" formatCode="&quot;£&quot;#,##0.00"/>
    <numFmt numFmtId="182" formatCode="[$$-409]#,##0"/>
    <numFmt numFmtId="183" formatCode="[$$-1009]#,##0"/>
    <numFmt numFmtId="184" formatCode="mmm\-yy\-mmm\-yy"/>
    <numFmt numFmtId="185" formatCode="#,##0.000000"/>
    <numFmt numFmtId="186" formatCode="[$$-409]#,##0.0000000000"/>
    <numFmt numFmtId="187" formatCode="[$€-2]\ #,##0.0000000000"/>
    <numFmt numFmtId="188" formatCode="[$$-1009]#,##0.0000000000"/>
    <numFmt numFmtId="189" formatCode="[$SFr.-807]\ #,##0.000000000"/>
    <numFmt numFmtId="190" formatCode="#,##0.00000"/>
    <numFmt numFmtId="191" formatCode="dd/mm/yy;@"/>
    <numFmt numFmtId="192" formatCode="[$-809]dd\ mmmm\ yyyy;@"/>
    <numFmt numFmtId="193" formatCode="0.0%"/>
    <numFmt numFmtId="194" formatCode="[$$-1004]#,##0"/>
    <numFmt numFmtId="195" formatCode="&quot;£&quot;#,##0;[Red]&quot;£&quot;\(#,##0\)"/>
    <numFmt numFmtId="196" formatCode="[$$-C09]#,##0"/>
    <numFmt numFmtId="197" formatCode="[$$-1004]#,##0.00"/>
    <numFmt numFmtId="198" formatCode="[$$-C09]#,##0.00"/>
    <numFmt numFmtId="199" formatCode="#,##0\ [$€-42D]"/>
    <numFmt numFmtId="200" formatCode="#,##0\ [$€-1]"/>
    <numFmt numFmtId="201" formatCode="[$€-1809]#,##0"/>
    <numFmt numFmtId="202" formatCode="0.00_ ;[Red]\-0.00\ "/>
    <numFmt numFmtId="203" formatCode="[$€-813]\ #,##0.00"/>
    <numFmt numFmtId="204" formatCode="_-[$€-2]\ * #,##0.00_-;\-[$€-2]\ * #,##0.00_-;_-[$€-2]\ * &quot;-&quot;??_-;_-@_-"/>
    <numFmt numFmtId="205" formatCode="_-[$€-2]\ * #,##0.000_-;\-[$€-2]\ * #,##0.000_-;_-[$€-2]\ * &quot;-&quot;??_-;_-@_-"/>
    <numFmt numFmtId="206" formatCode="_-* #,##0.00\ _F_B_-;\-* #,##0.00\ _F_B_-;_-* &quot;-&quot;??\ _F_B_-;_-@_-"/>
    <numFmt numFmtId="207" formatCode="_-* #,##0.000_-;\-* #,##0.000_-;_-* &quot;-&quot;??_-;_-@_-"/>
    <numFmt numFmtId="208" formatCode="_-* #,##0.0000_-;\-* #,##0.0000_-;_-* &quot;-&quot;??_-;_-@_-"/>
    <numFmt numFmtId="209" formatCode="_-* #,##0.0_-;\-* #,##0.0_-;_-* &quot;-&quot;??_-;_-@_-"/>
    <numFmt numFmtId="210" formatCode="_-* #,##0_-;\-* #,##0_-;_-* &quot;-&quot;??_-;_-@_-"/>
    <numFmt numFmtId="211" formatCode="_-[$€-2]\ * #,##0.0_-;\-[$€-2]\ * #,##0.0_-;_-[$€-2]\ * &quot;-&quot;??_-;_-@_-"/>
    <numFmt numFmtId="212" formatCode="_-[$€-2]\ * #,##0_-;\-[$€-2]\ * #,##0_-;_-[$€-2]\ * &quot;-&quot;??_-;_-@_-"/>
    <numFmt numFmtId="213" formatCode="&quot;£&quot;#,##0.0;[Red]\-&quot;£&quot;#,##0.0"/>
    <numFmt numFmtId="214" formatCode="_-[$€-43A]* #,##0.00_-;\-[$€-43A]* #,##0.00_-;_-[$€-43A]* &quot;-&quot;??_-;_-@_-"/>
    <numFmt numFmtId="215" formatCode="#,##0_ ;\-#,##0\ "/>
    <numFmt numFmtId="216" formatCode="#,##0.00_ ;[Red]\-#,##0.00\ "/>
    <numFmt numFmtId="217" formatCode="#,##0.0_ ;[Red]\-#,##0.0\ "/>
    <numFmt numFmtId="218" formatCode="#,##0_ ;[Red]\-#,##0\ "/>
    <numFmt numFmtId="219" formatCode="_ * #,##0.00_ ;_ * \-#,##0.00_ ;_ * &quot;-&quot;??_ ;_ @_ "/>
    <numFmt numFmtId="220" formatCode="_ * #,##0_ ;_ * \-#,##0_ ;_ * &quot;-&quot;??_ ;_ @_ "/>
    <numFmt numFmtId="221" formatCode="_-* #,##0.0_-;\-* #,##0.0_-;_-* &quot;-&quot;?_-;_-@_-"/>
    <numFmt numFmtId="222" formatCode="[$$-409]#,##0.00"/>
    <numFmt numFmtId="223" formatCode="_-[$$-409]* #,##0.00_ ;_-[$$-409]* \-#,##0.00\ ;_-[$$-409]* &quot;-&quot;??_ ;_-@_ "/>
    <numFmt numFmtId="224" formatCode="_-[$$-409]* #,##0_ ;_-[$$-409]* \-#,##0\ ;_-[$$-409]* &quot;-&quot;??_ ;_-@_ "/>
  </numFmts>
  <fonts count="118">
    <font>
      <sz val="10"/>
      <name val="Arial"/>
      <family val="0"/>
    </font>
    <font>
      <sz val="11"/>
      <color indexed="8"/>
      <name val="Calibri"/>
      <family val="2"/>
    </font>
    <font>
      <b/>
      <sz val="10"/>
      <name val="Arial"/>
      <family val="2"/>
    </font>
    <font>
      <sz val="12"/>
      <name val="Arial"/>
      <family val="2"/>
    </font>
    <font>
      <b/>
      <sz val="12"/>
      <name val="Arial"/>
      <family val="2"/>
    </font>
    <font>
      <sz val="8"/>
      <name val="Arial"/>
      <family val="2"/>
    </font>
    <font>
      <b/>
      <sz val="14"/>
      <name val="Arial"/>
      <family val="2"/>
    </font>
    <font>
      <sz val="9"/>
      <name val="Arial"/>
      <family val="2"/>
    </font>
    <font>
      <b/>
      <sz val="9"/>
      <color indexed="9"/>
      <name val="Arial"/>
      <family val="2"/>
    </font>
    <font>
      <b/>
      <sz val="9"/>
      <name val="Arial"/>
      <family val="2"/>
    </font>
    <font>
      <b/>
      <sz val="8"/>
      <name val="Arial"/>
      <family val="2"/>
    </font>
    <font>
      <b/>
      <sz val="11"/>
      <name val="Arial"/>
      <family val="2"/>
    </font>
    <font>
      <b/>
      <sz val="9"/>
      <color indexed="8"/>
      <name val="Arial"/>
      <family val="2"/>
    </font>
    <font>
      <b/>
      <sz val="10"/>
      <color indexed="9"/>
      <name val="Arial"/>
      <family val="2"/>
    </font>
    <font>
      <b/>
      <sz val="8"/>
      <color indexed="9"/>
      <name val="Arial"/>
      <family val="2"/>
    </font>
    <font>
      <b/>
      <sz val="8"/>
      <color indexed="8"/>
      <name val="Tahoma"/>
      <family val="2"/>
    </font>
    <font>
      <b/>
      <sz val="11"/>
      <color indexed="9"/>
      <name val="Arial"/>
      <family val="2"/>
    </font>
    <font>
      <sz val="11"/>
      <name val="Arial"/>
      <family val="2"/>
    </font>
    <font>
      <b/>
      <sz val="16"/>
      <color indexed="13"/>
      <name val="Arial"/>
      <family val="2"/>
    </font>
    <font>
      <b/>
      <sz val="12"/>
      <color indexed="10"/>
      <name val="Arial"/>
      <family val="2"/>
    </font>
    <font>
      <b/>
      <sz val="12"/>
      <color indexed="9"/>
      <name val="Arial"/>
      <family val="2"/>
    </font>
    <font>
      <sz val="12"/>
      <color indexed="9"/>
      <name val="Arial"/>
      <family val="2"/>
    </font>
    <font>
      <sz val="11"/>
      <color indexed="9"/>
      <name val="Arial"/>
      <family val="2"/>
    </font>
    <font>
      <vertAlign val="superscript"/>
      <sz val="10"/>
      <name val="Arial"/>
      <family val="2"/>
    </font>
    <font>
      <b/>
      <sz val="10"/>
      <color indexed="8"/>
      <name val="Arial"/>
      <family val="2"/>
    </font>
    <font>
      <b/>
      <sz val="12"/>
      <color indexed="9"/>
      <name val="Times New Roman"/>
      <family val="1"/>
    </font>
    <font>
      <sz val="12"/>
      <name val="Times New Roman"/>
      <family val="1"/>
    </font>
    <font>
      <b/>
      <i/>
      <sz val="14"/>
      <name val="Arial"/>
      <family val="2"/>
    </font>
    <font>
      <b/>
      <sz val="12"/>
      <name val="Times New Roman"/>
      <family val="1"/>
    </font>
    <font>
      <b/>
      <sz val="9"/>
      <color indexed="8"/>
      <name val="Calibri"/>
      <family val="2"/>
    </font>
    <font>
      <sz val="9"/>
      <color indexed="8"/>
      <name val="Calibri"/>
      <family val="2"/>
    </font>
    <font>
      <b/>
      <sz val="9"/>
      <name val="Calibri"/>
      <family val="2"/>
    </font>
    <font>
      <sz val="9"/>
      <name val="Calibri"/>
      <family val="2"/>
    </font>
    <font>
      <b/>
      <sz val="9"/>
      <color indexed="10"/>
      <name val="Calibri"/>
      <family val="2"/>
    </font>
    <font>
      <b/>
      <i/>
      <sz val="9"/>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10"/>
      <name val="Arial"/>
      <family val="2"/>
    </font>
    <font>
      <b/>
      <sz val="8"/>
      <color indexed="10"/>
      <name val="Arial"/>
      <family val="2"/>
    </font>
    <font>
      <sz val="11"/>
      <color indexed="10"/>
      <name val="Arial"/>
      <family val="2"/>
    </font>
    <font>
      <b/>
      <sz val="11"/>
      <color indexed="10"/>
      <name val="Arial"/>
      <family val="2"/>
    </font>
    <font>
      <sz val="10"/>
      <color indexed="10"/>
      <name val="Arial"/>
      <family val="2"/>
    </font>
    <font>
      <sz val="8"/>
      <name val="Calibri"/>
      <family val="2"/>
    </font>
    <font>
      <sz val="10"/>
      <name val="Calibri"/>
      <family val="2"/>
    </font>
    <font>
      <b/>
      <sz val="10"/>
      <name val="Calibri"/>
      <family val="2"/>
    </font>
    <font>
      <b/>
      <i/>
      <sz val="10"/>
      <name val="Calibri"/>
      <family val="2"/>
    </font>
    <font>
      <sz val="10"/>
      <color indexed="8"/>
      <name val="Calibri"/>
      <family val="2"/>
    </font>
    <font>
      <b/>
      <sz val="8"/>
      <name val="Calibri"/>
      <family val="2"/>
    </font>
    <font>
      <b/>
      <sz val="10"/>
      <color indexed="9"/>
      <name val="Calibri"/>
      <family val="2"/>
    </font>
    <font>
      <b/>
      <sz val="9"/>
      <color indexed="9"/>
      <name val="Calibri"/>
      <family val="2"/>
    </font>
    <font>
      <b/>
      <sz val="8"/>
      <color indexed="9"/>
      <name val="Calibri"/>
      <family val="2"/>
    </font>
    <font>
      <b/>
      <sz val="8"/>
      <color indexed="8"/>
      <name val="Calibri"/>
      <family val="2"/>
    </font>
    <font>
      <b/>
      <sz val="10"/>
      <color indexed="8"/>
      <name val="Calibri"/>
      <family val="2"/>
    </font>
    <font>
      <b/>
      <sz val="10"/>
      <color indexed="10"/>
      <name val="Calibri"/>
      <family val="2"/>
    </font>
    <font>
      <b/>
      <sz val="8"/>
      <color indexed="10"/>
      <name val="Calibri"/>
      <family val="2"/>
    </font>
    <font>
      <b/>
      <i/>
      <sz val="8"/>
      <name val="Calibri"/>
      <family val="2"/>
    </font>
    <font>
      <sz val="8"/>
      <color indexed="10"/>
      <name val="Calibri"/>
      <family val="2"/>
    </font>
    <font>
      <b/>
      <i/>
      <sz val="10"/>
      <color indexed="8"/>
      <name val="Calibri"/>
      <family val="2"/>
    </font>
    <font>
      <b/>
      <i/>
      <sz val="8"/>
      <color indexed="8"/>
      <name val="Calibri"/>
      <family val="2"/>
    </font>
    <font>
      <sz val="8"/>
      <color indexed="8"/>
      <name val="Calibri"/>
      <family val="2"/>
    </font>
    <font>
      <sz val="10"/>
      <color indexed="10"/>
      <name val="Calibri"/>
      <family val="2"/>
    </font>
    <font>
      <b/>
      <sz val="14"/>
      <color indexed="10"/>
      <name val="Arial"/>
      <family val="2"/>
    </font>
    <font>
      <b/>
      <sz val="10"/>
      <color indexed="10"/>
      <name val="Arial"/>
      <family val="2"/>
    </font>
    <font>
      <sz val="22"/>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8"/>
      <color rgb="FFFF0000"/>
      <name val="Arial"/>
      <family val="2"/>
    </font>
    <font>
      <sz val="11"/>
      <color rgb="FFFF0000"/>
      <name val="Arial"/>
      <family val="2"/>
    </font>
    <font>
      <b/>
      <sz val="11"/>
      <color rgb="FFFF0000"/>
      <name val="Arial"/>
      <family val="2"/>
    </font>
    <font>
      <sz val="10"/>
      <color rgb="FFFF0000"/>
      <name val="Arial"/>
      <family val="2"/>
    </font>
    <font>
      <b/>
      <sz val="9"/>
      <color theme="0"/>
      <name val="Arial"/>
      <family val="2"/>
    </font>
    <font>
      <sz val="10"/>
      <color theme="1"/>
      <name val="Calibri"/>
      <family val="2"/>
    </font>
    <font>
      <b/>
      <sz val="10"/>
      <color theme="0"/>
      <name val="Calibri"/>
      <family val="2"/>
    </font>
    <font>
      <b/>
      <sz val="9"/>
      <color theme="0"/>
      <name val="Calibri"/>
      <family val="2"/>
    </font>
    <font>
      <b/>
      <sz val="8"/>
      <color theme="0"/>
      <name val="Calibri"/>
      <family val="2"/>
    </font>
    <font>
      <b/>
      <sz val="9"/>
      <color theme="1"/>
      <name val="Calibri"/>
      <family val="2"/>
    </font>
    <font>
      <b/>
      <sz val="8"/>
      <color theme="1"/>
      <name val="Calibri"/>
      <family val="2"/>
    </font>
    <font>
      <b/>
      <sz val="10"/>
      <color theme="1"/>
      <name val="Calibri"/>
      <family val="2"/>
    </font>
    <font>
      <b/>
      <sz val="10"/>
      <color rgb="FFFF0000"/>
      <name val="Calibri"/>
      <family val="2"/>
    </font>
    <font>
      <b/>
      <sz val="8"/>
      <color rgb="FFFF0000"/>
      <name val="Calibri"/>
      <family val="2"/>
    </font>
    <font>
      <b/>
      <sz val="9"/>
      <color rgb="FFFF0000"/>
      <name val="Calibri"/>
      <family val="2"/>
    </font>
    <font>
      <sz val="8"/>
      <color rgb="FFFF0000"/>
      <name val="Calibri"/>
      <family val="2"/>
    </font>
    <font>
      <b/>
      <i/>
      <sz val="10"/>
      <color theme="1"/>
      <name val="Calibri"/>
      <family val="2"/>
    </font>
    <font>
      <b/>
      <i/>
      <sz val="8"/>
      <color theme="1"/>
      <name val="Calibri"/>
      <family val="2"/>
    </font>
    <font>
      <sz val="8"/>
      <color theme="1"/>
      <name val="Calibri"/>
      <family val="2"/>
    </font>
    <font>
      <sz val="10"/>
      <color rgb="FFFF0000"/>
      <name val="Calibri"/>
      <family val="2"/>
    </font>
    <font>
      <b/>
      <sz val="14"/>
      <color rgb="FFFF0000"/>
      <name val="Arial"/>
      <family val="2"/>
    </font>
    <font>
      <b/>
      <sz val="10"/>
      <color rgb="FFFF0000"/>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56"/>
        <bgColor indexed="64"/>
      </patternFill>
    </fill>
    <fill>
      <patternFill patternType="solid">
        <fgColor indexed="45"/>
        <bgColor indexed="64"/>
      </patternFill>
    </fill>
    <fill>
      <patternFill patternType="solid">
        <fgColor indexed="22"/>
        <bgColor indexed="64"/>
      </patternFill>
    </fill>
    <fill>
      <patternFill patternType="solid">
        <fgColor indexed="23"/>
        <bgColor indexed="64"/>
      </patternFill>
    </fill>
    <fill>
      <patternFill patternType="solid">
        <fgColor indexed="41"/>
        <bgColor indexed="64"/>
      </patternFill>
    </fill>
    <fill>
      <patternFill patternType="solid">
        <fgColor indexed="42"/>
        <bgColor indexed="64"/>
      </patternFill>
    </fill>
    <fill>
      <patternFill patternType="solid">
        <fgColor indexed="8"/>
        <bgColor indexed="64"/>
      </patternFill>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indexed="21"/>
        <bgColor indexed="64"/>
      </patternFill>
    </fill>
    <fill>
      <patternFill patternType="solid">
        <fgColor indexed="16"/>
        <bgColor indexed="64"/>
      </patternFill>
    </fill>
    <fill>
      <patternFill patternType="solid">
        <fgColor theme="0"/>
        <bgColor indexed="64"/>
      </patternFill>
    </fill>
    <fill>
      <patternFill patternType="solid">
        <fgColor theme="0" tint="-0.3499799966812134"/>
        <bgColor indexed="64"/>
      </patternFill>
    </fill>
    <fill>
      <patternFill patternType="solid">
        <fgColor rgb="FF92D050"/>
        <bgColor indexed="64"/>
      </patternFill>
    </fill>
    <fill>
      <patternFill patternType="solid">
        <fgColor rgb="FFFFCCCC"/>
        <bgColor indexed="64"/>
      </patternFill>
    </fill>
    <fill>
      <patternFill patternType="solid">
        <fgColor rgb="FFFFCC00"/>
        <bgColor indexed="64"/>
      </patternFill>
    </fill>
    <fill>
      <patternFill patternType="solid">
        <fgColor rgb="FFFFFF99"/>
        <bgColor indexed="64"/>
      </patternFill>
    </fill>
    <fill>
      <patternFill patternType="solid">
        <fgColor theme="3" tint="0.39998000860214233"/>
        <bgColor indexed="64"/>
      </patternFill>
    </fill>
    <fill>
      <patternFill patternType="solid">
        <fgColor rgb="FFFFC000"/>
        <bgColor indexed="64"/>
      </patternFill>
    </fill>
    <fill>
      <patternFill patternType="solid">
        <fgColor rgb="FF00B0F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border>
    <border>
      <left/>
      <right/>
      <top/>
      <bottom style="thin"/>
    </border>
    <border>
      <left style="thin"/>
      <right style="thin"/>
      <top/>
      <bottom/>
    </border>
    <border>
      <left style="thin"/>
      <right style="thin"/>
      <top style="thin"/>
      <bottom style="thin"/>
    </border>
    <border>
      <left style="medium"/>
      <right style="thin"/>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color indexed="63"/>
      </right>
      <top style="medium"/>
      <bottom style="thin"/>
    </border>
    <border>
      <left style="thin"/>
      <right style="thin"/>
      <top style="thin"/>
      <bottom/>
    </border>
    <border>
      <left style="thin"/>
      <right/>
      <top style="thin"/>
      <bottom/>
    </border>
    <border>
      <left style="thin"/>
      <right style="thin"/>
      <top/>
      <bottom style="thin"/>
    </border>
    <border>
      <left style="thin"/>
      <right style="thin"/>
      <top style="medium"/>
      <bottom style="medium"/>
    </border>
    <border>
      <left style="medium"/>
      <right style="thin"/>
      <top style="thin"/>
      <bottom>
        <color indexed="63"/>
      </bottom>
    </border>
    <border>
      <left style="medium"/>
      <right style="thin"/>
      <top style="medium"/>
      <bottom style="thin"/>
    </border>
    <border>
      <left style="medium"/>
      <right style="thin"/>
      <top style="medium"/>
      <bottom>
        <color indexed="63"/>
      </bottom>
    </border>
    <border>
      <left style="thin"/>
      <right style="thin"/>
      <top style="medium"/>
      <bottom>
        <color indexed="63"/>
      </bottom>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thin"/>
      <top style="thin"/>
      <bottom>
        <color indexed="63"/>
      </bottom>
    </border>
    <border>
      <left style="medium"/>
      <right style="thin"/>
      <top>
        <color indexed="63"/>
      </top>
      <bottom style="thin"/>
    </border>
    <border>
      <left style="thin"/>
      <right style="medium"/>
      <top style="medium"/>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44" fontId="0" fillId="0" borderId="0" applyFont="0" applyFill="0" applyBorder="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0" borderId="0">
      <alignment/>
      <protection/>
    </xf>
    <xf numFmtId="0" fontId="78" fillId="0" borderId="0">
      <alignment/>
      <protection/>
    </xf>
    <xf numFmtId="0" fontId="0"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810">
    <xf numFmtId="0" fontId="0" fillId="0" borderId="0" xfId="0" applyAlignment="1">
      <alignment/>
    </xf>
    <xf numFmtId="0" fontId="3" fillId="33" borderId="0" xfId="0" applyFont="1" applyFill="1" applyAlignment="1" applyProtection="1">
      <alignment/>
      <protection locked="0"/>
    </xf>
    <xf numFmtId="0" fontId="0" fillId="33" borderId="0" xfId="0" applyFont="1" applyFill="1" applyAlignment="1" applyProtection="1">
      <alignment/>
      <protection locked="0"/>
    </xf>
    <xf numFmtId="0" fontId="5" fillId="33" borderId="0" xfId="0" applyFont="1" applyFill="1" applyAlignment="1" applyProtection="1">
      <alignment/>
      <protection locked="0"/>
    </xf>
    <xf numFmtId="0" fontId="5" fillId="0" borderId="0" xfId="0" applyFont="1" applyAlignment="1" applyProtection="1">
      <alignment/>
      <protection locked="0"/>
    </xf>
    <xf numFmtId="0" fontId="7" fillId="33" borderId="0" xfId="0" applyFont="1" applyFill="1" applyAlignment="1" applyProtection="1">
      <alignment/>
      <protection locked="0"/>
    </xf>
    <xf numFmtId="0" fontId="7" fillId="0" borderId="0" xfId="0" applyFont="1" applyAlignment="1" applyProtection="1">
      <alignment/>
      <protection locked="0"/>
    </xf>
    <xf numFmtId="0" fontId="9" fillId="34" borderId="10" xfId="0" applyFont="1" applyFill="1" applyBorder="1" applyAlignment="1" applyProtection="1">
      <alignment/>
      <protection locked="0"/>
    </xf>
    <xf numFmtId="180" fontId="5" fillId="0" borderId="0" xfId="0" applyNumberFormat="1" applyFont="1" applyAlignment="1" applyProtection="1">
      <alignment/>
      <protection locked="0"/>
    </xf>
    <xf numFmtId="0" fontId="5" fillId="33" borderId="0" xfId="0" applyFont="1" applyFill="1" applyAlignment="1" applyProtection="1">
      <alignment horizontal="center"/>
      <protection locked="0"/>
    </xf>
    <xf numFmtId="0" fontId="0" fillId="33" borderId="0" xfId="0" applyFont="1" applyFill="1" applyBorder="1" applyAlignment="1" applyProtection="1">
      <alignment/>
      <protection locked="0"/>
    </xf>
    <xf numFmtId="0" fontId="0" fillId="33" borderId="0" xfId="0" applyFont="1" applyFill="1" applyBorder="1" applyAlignment="1" applyProtection="1">
      <alignment/>
      <protection locked="0"/>
    </xf>
    <xf numFmtId="0" fontId="0" fillId="33" borderId="0" xfId="0" applyFont="1" applyFill="1" applyBorder="1" applyAlignment="1" applyProtection="1">
      <alignment horizontal="left"/>
      <protection locked="0"/>
    </xf>
    <xf numFmtId="10" fontId="0" fillId="33" borderId="0" xfId="0" applyNumberFormat="1" applyFont="1" applyFill="1" applyAlignment="1" applyProtection="1">
      <alignment horizontal="left"/>
      <protection locked="0"/>
    </xf>
    <xf numFmtId="184" fontId="0" fillId="33" borderId="0" xfId="0" applyNumberFormat="1" applyFont="1" applyFill="1" applyBorder="1" applyAlignment="1" applyProtection="1">
      <alignment horizontal="left"/>
      <protection locked="0"/>
    </xf>
    <xf numFmtId="0" fontId="4" fillId="33" borderId="0" xfId="0" applyFont="1" applyFill="1" applyAlignment="1" applyProtection="1">
      <alignment/>
      <protection locked="0"/>
    </xf>
    <xf numFmtId="0" fontId="8" fillId="35" borderId="10" xfId="0" applyFont="1" applyFill="1" applyBorder="1" applyAlignment="1" applyProtection="1">
      <alignment/>
      <protection locked="0"/>
    </xf>
    <xf numFmtId="0" fontId="9" fillId="36" borderId="10" xfId="0" applyFont="1" applyFill="1" applyBorder="1" applyAlignment="1" applyProtection="1">
      <alignment vertical="center"/>
      <protection locked="0"/>
    </xf>
    <xf numFmtId="0" fontId="9" fillId="37" borderId="10" xfId="0" applyFont="1" applyFill="1" applyBorder="1" applyAlignment="1" applyProtection="1">
      <alignment horizontal="centerContinuous" vertical="center"/>
      <protection locked="0"/>
    </xf>
    <xf numFmtId="0" fontId="9" fillId="37" borderId="10" xfId="0" applyFont="1" applyFill="1" applyBorder="1" applyAlignment="1" applyProtection="1">
      <alignment horizontal="center" vertical="center"/>
      <protection locked="0"/>
    </xf>
    <xf numFmtId="0" fontId="8" fillId="38" borderId="10" xfId="0" applyFont="1" applyFill="1" applyBorder="1" applyAlignment="1" applyProtection="1">
      <alignment horizontal="center"/>
      <protection locked="0"/>
    </xf>
    <xf numFmtId="10" fontId="7" fillId="33" borderId="0" xfId="0" applyNumberFormat="1" applyFont="1" applyFill="1" applyBorder="1" applyAlignment="1" applyProtection="1">
      <alignment horizontal="left"/>
      <protection locked="0"/>
    </xf>
    <xf numFmtId="10" fontId="5" fillId="33" borderId="0" xfId="0" applyNumberFormat="1" applyFont="1" applyFill="1" applyBorder="1" applyAlignment="1" applyProtection="1">
      <alignment horizontal="left"/>
      <protection locked="0"/>
    </xf>
    <xf numFmtId="0" fontId="5" fillId="0" borderId="11" xfId="0" applyFont="1" applyBorder="1" applyAlignment="1">
      <alignment wrapText="1" shrinkToFit="1"/>
    </xf>
    <xf numFmtId="0" fontId="5" fillId="0" borderId="0" xfId="0" applyFont="1" applyAlignment="1" applyProtection="1">
      <alignment wrapText="1" shrinkToFit="1"/>
      <protection locked="0"/>
    </xf>
    <xf numFmtId="0" fontId="5" fillId="0" borderId="12" xfId="0" applyFont="1" applyBorder="1" applyAlignment="1" applyProtection="1">
      <alignment wrapText="1" shrinkToFit="1"/>
      <protection locked="0"/>
    </xf>
    <xf numFmtId="0" fontId="6" fillId="36" borderId="10" xfId="0" applyFont="1" applyFill="1" applyBorder="1" applyAlignment="1" applyProtection="1">
      <alignment vertical="center"/>
      <protection locked="0"/>
    </xf>
    <xf numFmtId="180" fontId="5" fillId="37" borderId="0" xfId="0" applyNumberFormat="1" applyFont="1" applyFill="1" applyAlignment="1" applyProtection="1">
      <alignment horizontal="left"/>
      <protection locked="0"/>
    </xf>
    <xf numFmtId="0" fontId="8" fillId="38" borderId="10" xfId="0" applyFont="1" applyFill="1" applyBorder="1" applyAlignment="1" applyProtection="1">
      <alignment horizontal="centerContinuous" vertical="center"/>
      <protection locked="0"/>
    </xf>
    <xf numFmtId="0" fontId="11" fillId="33" borderId="0" xfId="0" applyFont="1" applyFill="1" applyAlignment="1" applyProtection="1">
      <alignment/>
      <protection locked="0"/>
    </xf>
    <xf numFmtId="0" fontId="11" fillId="33" borderId="0" xfId="0" applyFont="1" applyFill="1" applyBorder="1" applyAlignment="1" applyProtection="1">
      <alignment/>
      <protection locked="0"/>
    </xf>
    <xf numFmtId="0" fontId="0" fillId="33" borderId="0" xfId="0" applyFont="1" applyFill="1" applyAlignment="1" applyProtection="1">
      <alignment/>
      <protection locked="0"/>
    </xf>
    <xf numFmtId="10" fontId="9" fillId="39" borderId="10" xfId="0" applyNumberFormat="1" applyFont="1" applyFill="1" applyBorder="1" applyAlignment="1" applyProtection="1">
      <alignment horizontal="centerContinuous" wrapText="1"/>
      <protection locked="0"/>
    </xf>
    <xf numFmtId="10" fontId="6" fillId="39" borderId="10" xfId="0" applyNumberFormat="1" applyFont="1" applyFill="1" applyBorder="1" applyAlignment="1" applyProtection="1">
      <alignment horizontal="centerContinuous"/>
      <protection locked="0"/>
    </xf>
    <xf numFmtId="10" fontId="9" fillId="40" borderId="10" xfId="0" applyNumberFormat="1" applyFont="1" applyFill="1" applyBorder="1" applyAlignment="1" applyProtection="1">
      <alignment horizontal="center" wrapText="1"/>
      <protection locked="0"/>
    </xf>
    <xf numFmtId="15" fontId="0" fillId="33" borderId="0" xfId="0" applyNumberFormat="1" applyFont="1" applyFill="1" applyAlignment="1" applyProtection="1">
      <alignment/>
      <protection locked="0"/>
    </xf>
    <xf numFmtId="0" fontId="5" fillId="0" borderId="0" xfId="0" applyFont="1" applyAlignment="1" applyProtection="1">
      <alignment/>
      <protection locked="0"/>
    </xf>
    <xf numFmtId="2" fontId="0" fillId="33" borderId="0" xfId="0" applyNumberFormat="1" applyFont="1" applyFill="1" applyAlignment="1" applyProtection="1">
      <alignment/>
      <protection locked="0"/>
    </xf>
    <xf numFmtId="2" fontId="9" fillId="39" borderId="10" xfId="0" applyNumberFormat="1" applyFont="1" applyFill="1" applyBorder="1" applyAlignment="1" applyProtection="1">
      <alignment horizontal="centerContinuous" wrapText="1"/>
      <protection locked="0"/>
    </xf>
    <xf numFmtId="2" fontId="5" fillId="33" borderId="0" xfId="0" applyNumberFormat="1" applyFont="1" applyFill="1" applyAlignment="1" applyProtection="1">
      <alignment horizontal="center"/>
      <protection locked="0"/>
    </xf>
    <xf numFmtId="2" fontId="7" fillId="0" borderId="0" xfId="0" applyNumberFormat="1" applyFont="1" applyAlignment="1" applyProtection="1">
      <alignment/>
      <protection locked="0"/>
    </xf>
    <xf numFmtId="2" fontId="5" fillId="0" borderId="0" xfId="0" applyNumberFormat="1" applyFont="1" applyAlignment="1" applyProtection="1">
      <alignment/>
      <protection locked="0"/>
    </xf>
    <xf numFmtId="194" fontId="0" fillId="33" borderId="0" xfId="0" applyNumberFormat="1" applyFont="1" applyFill="1" applyAlignment="1" applyProtection="1">
      <alignment/>
      <protection locked="0"/>
    </xf>
    <xf numFmtId="194" fontId="9" fillId="39" borderId="10" xfId="0" applyNumberFormat="1" applyFont="1" applyFill="1" applyBorder="1" applyAlignment="1" applyProtection="1">
      <alignment horizontal="centerContinuous" wrapText="1"/>
      <protection locked="0"/>
    </xf>
    <xf numFmtId="194" fontId="5" fillId="33" borderId="0" xfId="0" applyNumberFormat="1" applyFont="1" applyFill="1" applyAlignment="1" applyProtection="1">
      <alignment horizontal="center"/>
      <protection locked="0"/>
    </xf>
    <xf numFmtId="194" fontId="7" fillId="0" borderId="0" xfId="0" applyNumberFormat="1" applyFont="1" applyAlignment="1" applyProtection="1">
      <alignment/>
      <protection locked="0"/>
    </xf>
    <xf numFmtId="194" fontId="5" fillId="0" borderId="0" xfId="0" applyNumberFormat="1" applyFont="1" applyAlignment="1" applyProtection="1">
      <alignment/>
      <protection locked="0"/>
    </xf>
    <xf numFmtId="0" fontId="8" fillId="33" borderId="0" xfId="0" applyFont="1" applyFill="1" applyBorder="1" applyAlignment="1" applyProtection="1">
      <alignment/>
      <protection locked="0"/>
    </xf>
    <xf numFmtId="0" fontId="14" fillId="33" borderId="0" xfId="0" applyFont="1" applyFill="1" applyBorder="1" applyAlignment="1" applyProtection="1">
      <alignment/>
      <protection locked="0"/>
    </xf>
    <xf numFmtId="0" fontId="14" fillId="33" borderId="0" xfId="0" applyFont="1" applyFill="1" applyBorder="1" applyAlignment="1" applyProtection="1">
      <alignment horizontal="center"/>
      <protection locked="0"/>
    </xf>
    <xf numFmtId="0" fontId="14" fillId="33" borderId="0" xfId="0" applyFont="1" applyFill="1" applyBorder="1" applyAlignment="1" applyProtection="1">
      <alignment horizontal="justify" vertical="center" wrapText="1"/>
      <protection locked="0"/>
    </xf>
    <xf numFmtId="0" fontId="10" fillId="33" borderId="0" xfId="0" applyFont="1" applyFill="1" applyBorder="1" applyAlignment="1" applyProtection="1">
      <alignment/>
      <protection locked="0"/>
    </xf>
    <xf numFmtId="0" fontId="10" fillId="0" borderId="0" xfId="0" applyFont="1" applyAlignment="1" applyProtection="1">
      <alignment/>
      <protection locked="0"/>
    </xf>
    <xf numFmtId="196" fontId="0" fillId="33" borderId="0" xfId="0" applyNumberFormat="1" applyFont="1" applyFill="1" applyBorder="1" applyAlignment="1" applyProtection="1">
      <alignment/>
      <protection locked="0"/>
    </xf>
    <xf numFmtId="3" fontId="17" fillId="0" borderId="0" xfId="0" applyNumberFormat="1" applyFont="1" applyAlignment="1" applyProtection="1">
      <alignment horizontal="right"/>
      <protection locked="0"/>
    </xf>
    <xf numFmtId="3" fontId="16" fillId="0" borderId="0" xfId="0" applyNumberFormat="1" applyFont="1" applyFill="1" applyBorder="1" applyAlignment="1" applyProtection="1">
      <alignment/>
      <protection locked="0"/>
    </xf>
    <xf numFmtId="180" fontId="19" fillId="0" borderId="0" xfId="0" applyNumberFormat="1" applyFont="1" applyFill="1" applyBorder="1" applyAlignment="1" applyProtection="1">
      <alignment vertical="center" wrapText="1"/>
      <protection locked="0"/>
    </xf>
    <xf numFmtId="3" fontId="17" fillId="0" borderId="0" xfId="0" applyNumberFormat="1" applyFont="1" applyFill="1" applyBorder="1" applyAlignment="1" applyProtection="1">
      <alignment horizontal="right"/>
      <protection locked="0"/>
    </xf>
    <xf numFmtId="180" fontId="20" fillId="41" borderId="0" xfId="0" applyNumberFormat="1" applyFont="1" applyFill="1" applyAlignment="1" applyProtection="1">
      <alignment horizontal="center" vertical="center" wrapText="1"/>
      <protection locked="0"/>
    </xf>
    <xf numFmtId="0" fontId="21" fillId="0" borderId="0" xfId="0" applyFont="1" applyFill="1" applyAlignment="1" applyProtection="1">
      <alignment vertical="center" wrapText="1"/>
      <protection locked="0"/>
    </xf>
    <xf numFmtId="3" fontId="5" fillId="0" borderId="0" xfId="0" applyNumberFormat="1" applyFont="1" applyAlignment="1" applyProtection="1">
      <alignment/>
      <protection locked="0"/>
    </xf>
    <xf numFmtId="9" fontId="20" fillId="41" borderId="0" xfId="0" applyNumberFormat="1" applyFont="1" applyFill="1" applyAlignment="1" applyProtection="1">
      <alignment horizontal="center" vertical="center" wrapText="1"/>
      <protection locked="0"/>
    </xf>
    <xf numFmtId="0" fontId="20" fillId="41" borderId="0" xfId="0" applyNumberFormat="1" applyFont="1" applyFill="1" applyAlignment="1" applyProtection="1">
      <alignment horizontal="center" vertical="center" wrapText="1"/>
      <protection locked="0"/>
    </xf>
    <xf numFmtId="4" fontId="0" fillId="33" borderId="0" xfId="0" applyNumberFormat="1" applyFont="1" applyFill="1" applyAlignment="1" quotePrefix="1">
      <alignment horizontal="left"/>
    </xf>
    <xf numFmtId="196" fontId="0" fillId="33" borderId="0" xfId="0" applyNumberFormat="1" applyFont="1" applyFill="1" applyBorder="1" applyAlignment="1" applyProtection="1">
      <alignment/>
      <protection locked="0"/>
    </xf>
    <xf numFmtId="196" fontId="0" fillId="33" borderId="0" xfId="0" applyNumberFormat="1" applyFont="1" applyFill="1" applyBorder="1" applyAlignment="1" applyProtection="1">
      <alignment horizontal="left"/>
      <protection locked="0"/>
    </xf>
    <xf numFmtId="4" fontId="4" fillId="33" borderId="0" xfId="0" applyNumberFormat="1" applyFont="1" applyFill="1" applyAlignment="1" applyProtection="1">
      <alignment/>
      <protection locked="0"/>
    </xf>
    <xf numFmtId="4" fontId="11" fillId="33" borderId="0" xfId="0" applyNumberFormat="1" applyFont="1" applyFill="1" applyAlignment="1" applyProtection="1">
      <alignment/>
      <protection locked="0"/>
    </xf>
    <xf numFmtId="4" fontId="0" fillId="33" borderId="0" xfId="0" applyNumberFormat="1" applyFont="1" applyFill="1" applyAlignment="1" applyProtection="1">
      <alignment/>
      <protection locked="0"/>
    </xf>
    <xf numFmtId="4" fontId="9" fillId="36" borderId="10" xfId="0" applyNumberFormat="1" applyFont="1" applyFill="1" applyBorder="1" applyAlignment="1" applyProtection="1">
      <alignment vertical="center"/>
      <protection locked="0"/>
    </xf>
    <xf numFmtId="4" fontId="5" fillId="33" borderId="0" xfId="0" applyNumberFormat="1" applyFont="1" applyFill="1" applyAlignment="1" applyProtection="1">
      <alignment/>
      <protection locked="0"/>
    </xf>
    <xf numFmtId="4" fontId="16" fillId="0" borderId="0" xfId="0" applyNumberFormat="1" applyFont="1" applyFill="1" applyBorder="1" applyAlignment="1" applyProtection="1">
      <alignment/>
      <protection locked="0"/>
    </xf>
    <xf numFmtId="4" fontId="17" fillId="0" borderId="0" xfId="0" applyNumberFormat="1" applyFont="1" applyFill="1" applyBorder="1" applyAlignment="1" applyProtection="1">
      <alignment horizontal="right"/>
      <protection locked="0"/>
    </xf>
    <xf numFmtId="4" fontId="5" fillId="0" borderId="0" xfId="0" applyNumberFormat="1" applyFont="1" applyAlignment="1" applyProtection="1">
      <alignment/>
      <protection locked="0"/>
    </xf>
    <xf numFmtId="4" fontId="7" fillId="0" borderId="0" xfId="0" applyNumberFormat="1" applyFont="1" applyAlignment="1" applyProtection="1">
      <alignment/>
      <protection locked="0"/>
    </xf>
    <xf numFmtId="4" fontId="5" fillId="0" borderId="0" xfId="0" applyNumberFormat="1" applyFont="1" applyAlignment="1" applyProtection="1">
      <alignment/>
      <protection locked="0"/>
    </xf>
    <xf numFmtId="0" fontId="95" fillId="37" borderId="0" xfId="0" applyFont="1" applyFill="1" applyAlignment="1" applyProtection="1">
      <alignment horizontal="left"/>
      <protection locked="0"/>
    </xf>
    <xf numFmtId="0" fontId="96" fillId="37" borderId="0" xfId="0" applyFont="1" applyFill="1" applyAlignment="1" applyProtection="1">
      <alignment horizontal="right"/>
      <protection locked="0"/>
    </xf>
    <xf numFmtId="0" fontId="95" fillId="0" borderId="0" xfId="0" applyFont="1" applyAlignment="1" applyProtection="1">
      <alignment/>
      <protection locked="0"/>
    </xf>
    <xf numFmtId="0" fontId="97" fillId="37" borderId="0" xfId="0" applyFont="1" applyFill="1" applyAlignment="1" applyProtection="1">
      <alignment horizontal="left"/>
      <protection locked="0"/>
    </xf>
    <xf numFmtId="0" fontId="16" fillId="38" borderId="10" xfId="0" applyFont="1" applyFill="1" applyBorder="1" applyAlignment="1" applyProtection="1">
      <alignment horizontal="center"/>
      <protection locked="0"/>
    </xf>
    <xf numFmtId="180" fontId="17" fillId="37" borderId="0" xfId="0" applyNumberFormat="1" applyFont="1" applyFill="1" applyAlignment="1" applyProtection="1">
      <alignment horizontal="left"/>
      <protection locked="0"/>
    </xf>
    <xf numFmtId="0" fontId="17" fillId="33" borderId="0" xfId="0" applyFont="1" applyFill="1" applyAlignment="1" applyProtection="1">
      <alignment/>
      <protection locked="0"/>
    </xf>
    <xf numFmtId="0" fontId="17" fillId="33" borderId="0" xfId="0" applyFont="1" applyFill="1" applyAlignment="1" applyProtection="1">
      <alignment readingOrder="1"/>
      <protection locked="0"/>
    </xf>
    <xf numFmtId="0" fontId="16" fillId="35" borderId="10" xfId="0" applyFont="1" applyFill="1" applyBorder="1" applyAlignment="1" applyProtection="1">
      <alignment/>
      <protection locked="0"/>
    </xf>
    <xf numFmtId="0" fontId="17" fillId="33" borderId="0" xfId="0" applyFont="1" applyFill="1" applyBorder="1" applyAlignment="1" applyProtection="1">
      <alignment/>
      <protection locked="0"/>
    </xf>
    <xf numFmtId="0" fontId="17" fillId="0" borderId="0" xfId="0" applyFont="1" applyAlignment="1" applyProtection="1">
      <alignment/>
      <protection locked="0"/>
    </xf>
    <xf numFmtId="0" fontId="17" fillId="37" borderId="10" xfId="0" applyFont="1" applyFill="1" applyBorder="1" applyAlignment="1" applyProtection="1">
      <alignment horizontal="left"/>
      <protection locked="0"/>
    </xf>
    <xf numFmtId="0" fontId="17" fillId="37" borderId="10" xfId="0" applyFont="1" applyFill="1" applyBorder="1" applyAlignment="1" applyProtection="1">
      <alignment horizontal="center"/>
      <protection locked="0"/>
    </xf>
    <xf numFmtId="0" fontId="17" fillId="0" borderId="0" xfId="0" applyFont="1" applyFill="1" applyAlignment="1" applyProtection="1">
      <alignment/>
      <protection locked="0"/>
    </xf>
    <xf numFmtId="181" fontId="17" fillId="0" borderId="13" xfId="0" applyNumberFormat="1" applyFont="1" applyFill="1" applyBorder="1" applyAlignment="1" applyProtection="1">
      <alignment horizontal="left"/>
      <protection locked="0"/>
    </xf>
    <xf numFmtId="0" fontId="17" fillId="0" borderId="13" xfId="0" applyNumberFormat="1" applyFont="1" applyFill="1" applyBorder="1" applyAlignment="1" applyProtection="1">
      <alignment horizontal="left"/>
      <protection locked="0"/>
    </xf>
    <xf numFmtId="4" fontId="17" fillId="42" borderId="0" xfId="0" applyNumberFormat="1" applyFont="1" applyFill="1" applyAlignment="1" applyProtection="1">
      <alignment/>
      <protection locked="0"/>
    </xf>
    <xf numFmtId="180" fontId="17" fillId="42" borderId="0" xfId="0" applyNumberFormat="1" applyFont="1" applyFill="1" applyAlignment="1" applyProtection="1">
      <alignment/>
      <protection locked="0"/>
    </xf>
    <xf numFmtId="0" fontId="98" fillId="43" borderId="0" xfId="0" applyFont="1" applyFill="1" applyAlignment="1" applyProtection="1" quotePrefix="1">
      <alignment horizontal="left"/>
      <protection locked="0"/>
    </xf>
    <xf numFmtId="0" fontId="17" fillId="37" borderId="0" xfId="0" applyFont="1" applyFill="1" applyAlignment="1" applyProtection="1">
      <alignment horizontal="left"/>
      <protection locked="0"/>
    </xf>
    <xf numFmtId="3" fontId="11" fillId="42" borderId="0" xfId="0" applyNumberFormat="1" applyFont="1" applyFill="1" applyAlignment="1" applyProtection="1">
      <alignment/>
      <protection locked="0"/>
    </xf>
    <xf numFmtId="0" fontId="11" fillId="34" borderId="10" xfId="0" applyFont="1" applyFill="1" applyBorder="1" applyAlignment="1" applyProtection="1">
      <alignment horizontal="left"/>
      <protection locked="0"/>
    </xf>
    <xf numFmtId="0" fontId="17" fillId="33" borderId="0" xfId="0" applyFont="1" applyFill="1" applyAlignment="1" applyProtection="1">
      <alignment horizontal="left"/>
      <protection locked="0"/>
    </xf>
    <xf numFmtId="4" fontId="17" fillId="33" borderId="0" xfId="0" applyNumberFormat="1" applyFont="1" applyFill="1" applyAlignment="1" applyProtection="1">
      <alignment/>
      <protection locked="0"/>
    </xf>
    <xf numFmtId="0" fontId="11" fillId="37" borderId="10" xfId="0" applyFont="1" applyFill="1" applyBorder="1" applyAlignment="1" applyProtection="1">
      <alignment horizontal="centerContinuous" vertical="center"/>
      <protection locked="0"/>
    </xf>
    <xf numFmtId="0" fontId="11" fillId="37" borderId="10" xfId="0" applyFont="1" applyFill="1" applyBorder="1" applyAlignment="1" applyProtection="1">
      <alignment horizontal="center" vertical="center"/>
      <protection locked="0"/>
    </xf>
    <xf numFmtId="0" fontId="16" fillId="38" borderId="10" xfId="0" applyFont="1" applyFill="1" applyBorder="1" applyAlignment="1" applyProtection="1">
      <alignment horizontal="centerContinuous" vertical="center"/>
      <protection locked="0"/>
    </xf>
    <xf numFmtId="0" fontId="17" fillId="37" borderId="11" xfId="0" applyFont="1" applyFill="1" applyBorder="1" applyAlignment="1" applyProtection="1">
      <alignment horizontal="left"/>
      <protection locked="0"/>
    </xf>
    <xf numFmtId="181" fontId="17" fillId="0" borderId="0" xfId="0" applyNumberFormat="1" applyFont="1" applyFill="1" applyBorder="1" applyAlignment="1" applyProtection="1">
      <alignment horizontal="left"/>
      <protection locked="0"/>
    </xf>
    <xf numFmtId="0" fontId="17" fillId="0" borderId="0" xfId="0" applyNumberFormat="1" applyFont="1" applyFill="1" applyBorder="1" applyAlignment="1" applyProtection="1">
      <alignment horizontal="left"/>
      <protection locked="0"/>
    </xf>
    <xf numFmtId="0" fontId="17" fillId="37" borderId="0" xfId="0" applyFont="1" applyFill="1" applyBorder="1" applyAlignment="1" applyProtection="1">
      <alignment horizontal="left"/>
      <protection locked="0"/>
    </xf>
    <xf numFmtId="0" fontId="22" fillId="38" borderId="10" xfId="0" applyFont="1" applyFill="1" applyBorder="1" applyAlignment="1" applyProtection="1">
      <alignment horizontal="center"/>
      <protection locked="0"/>
    </xf>
    <xf numFmtId="0" fontId="17" fillId="37" borderId="12" xfId="0" applyFont="1" applyFill="1" applyBorder="1" applyAlignment="1" applyProtection="1">
      <alignment horizontal="left"/>
      <protection locked="0"/>
    </xf>
    <xf numFmtId="0" fontId="97" fillId="33" borderId="0" xfId="0" applyFont="1" applyFill="1" applyAlignment="1" applyProtection="1">
      <alignment/>
      <protection locked="0"/>
    </xf>
    <xf numFmtId="2" fontId="17" fillId="33" borderId="0" xfId="0" applyNumberFormat="1" applyFont="1" applyFill="1" applyBorder="1" applyAlignment="1" applyProtection="1">
      <alignment/>
      <protection locked="0"/>
    </xf>
    <xf numFmtId="194" fontId="17" fillId="33" borderId="0" xfId="0" applyNumberFormat="1" applyFont="1" applyFill="1" applyBorder="1" applyAlignment="1" applyProtection="1">
      <alignment/>
      <protection locked="0"/>
    </xf>
    <xf numFmtId="0" fontId="97" fillId="0" borderId="0" xfId="0" applyFont="1" applyAlignment="1" applyProtection="1">
      <alignment/>
      <protection locked="0"/>
    </xf>
    <xf numFmtId="2" fontId="17" fillId="0" borderId="0" xfId="0" applyNumberFormat="1" applyFont="1" applyAlignment="1" applyProtection="1">
      <alignment/>
      <protection locked="0"/>
    </xf>
    <xf numFmtId="194" fontId="17" fillId="0" borderId="0" xfId="0" applyNumberFormat="1" applyFont="1" applyAlignment="1" applyProtection="1">
      <alignment/>
      <protection locked="0"/>
    </xf>
    <xf numFmtId="180" fontId="17" fillId="0" borderId="14" xfId="0" applyNumberFormat="1" applyFont="1" applyFill="1" applyBorder="1" applyAlignment="1" applyProtection="1">
      <alignment/>
      <protection locked="0"/>
    </xf>
    <xf numFmtId="180" fontId="17" fillId="42" borderId="14" xfId="0" applyNumberFormat="1" applyFont="1" applyFill="1" applyBorder="1" applyAlignment="1" applyProtection="1">
      <alignment horizontal="right"/>
      <protection locked="0"/>
    </xf>
    <xf numFmtId="0" fontId="17" fillId="34" borderId="10" xfId="0" applyFont="1" applyFill="1" applyBorder="1" applyAlignment="1" applyProtection="1">
      <alignment/>
      <protection locked="0"/>
    </xf>
    <xf numFmtId="3" fontId="22" fillId="0" borderId="0" xfId="0" applyNumberFormat="1" applyFont="1" applyAlignment="1" applyProtection="1">
      <alignment/>
      <protection locked="0"/>
    </xf>
    <xf numFmtId="4" fontId="22" fillId="0" borderId="0" xfId="0" applyNumberFormat="1" applyFont="1" applyAlignment="1" applyProtection="1">
      <alignment/>
      <protection locked="0"/>
    </xf>
    <xf numFmtId="0" fontId="22" fillId="0" borderId="0" xfId="0" applyNumberFormat="1" applyFont="1" applyAlignment="1" applyProtection="1">
      <alignment/>
      <protection locked="0"/>
    </xf>
    <xf numFmtId="0" fontId="22" fillId="0" borderId="0" xfId="0" applyFont="1" applyAlignment="1" applyProtection="1">
      <alignment/>
      <protection locked="0"/>
    </xf>
    <xf numFmtId="0" fontId="9" fillId="40" borderId="14" xfId="0" applyFont="1" applyFill="1" applyBorder="1" applyAlignment="1" applyProtection="1">
      <alignment horizontal="center" vertical="center" wrapText="1"/>
      <protection locked="0"/>
    </xf>
    <xf numFmtId="0" fontId="11" fillId="34" borderId="14" xfId="0" applyFont="1" applyFill="1" applyBorder="1" applyAlignment="1" applyProtection="1">
      <alignment wrapText="1"/>
      <protection locked="0"/>
    </xf>
    <xf numFmtId="0" fontId="98" fillId="44" borderId="0" xfId="0" applyFont="1" applyFill="1" applyAlignment="1" applyProtection="1" quotePrefix="1">
      <alignment horizontal="left"/>
      <protection locked="0"/>
    </xf>
    <xf numFmtId="0" fontId="7" fillId="34" borderId="14" xfId="0" applyFont="1" applyFill="1" applyBorder="1" applyAlignment="1" applyProtection="1">
      <alignment wrapText="1"/>
      <protection locked="0"/>
    </xf>
    <xf numFmtId="0" fontId="7" fillId="33" borderId="14" xfId="0" applyFont="1" applyFill="1" applyBorder="1" applyAlignment="1" applyProtection="1">
      <alignment wrapText="1"/>
      <protection locked="0"/>
    </xf>
    <xf numFmtId="0" fontId="0" fillId="33" borderId="14" xfId="0" applyFont="1" applyFill="1" applyBorder="1" applyAlignment="1" applyProtection="1">
      <alignment wrapText="1"/>
      <protection locked="0"/>
    </xf>
    <xf numFmtId="0" fontId="2" fillId="39" borderId="14" xfId="0" applyFont="1" applyFill="1" applyBorder="1" applyAlignment="1" applyProtection="1">
      <alignment horizontal="left" wrapText="1"/>
      <protection locked="0"/>
    </xf>
    <xf numFmtId="2" fontId="2" fillId="39" borderId="14" xfId="0" applyNumberFormat="1" applyFont="1" applyFill="1" applyBorder="1" applyAlignment="1" applyProtection="1">
      <alignment horizontal="left" wrapText="1"/>
      <protection locked="0"/>
    </xf>
    <xf numFmtId="194" fontId="2" fillId="39" borderId="14" xfId="0" applyNumberFormat="1" applyFont="1" applyFill="1" applyBorder="1" applyAlignment="1" applyProtection="1">
      <alignment horizontal="left" wrapText="1"/>
      <protection locked="0"/>
    </xf>
    <xf numFmtId="0" fontId="0" fillId="33" borderId="14" xfId="0" applyFont="1" applyFill="1" applyBorder="1" applyAlignment="1" applyProtection="1">
      <alignment wrapText="1"/>
      <protection locked="0"/>
    </xf>
    <xf numFmtId="4" fontId="12" fillId="36" borderId="14" xfId="0" applyNumberFormat="1" applyFont="1" applyFill="1" applyBorder="1" applyAlignment="1" applyProtection="1">
      <alignment horizontal="center" vertical="center" wrapText="1"/>
      <protection locked="0"/>
    </xf>
    <xf numFmtId="184" fontId="12" fillId="36" borderId="14" xfId="0" applyNumberFormat="1" applyFont="1" applyFill="1" applyBorder="1" applyAlignment="1" applyProtection="1">
      <alignment horizontal="center" vertical="center" wrapText="1"/>
      <protection locked="0"/>
    </xf>
    <xf numFmtId="0" fontId="12" fillId="36" borderId="14" xfId="0" applyFont="1" applyFill="1" applyBorder="1" applyAlignment="1" applyProtection="1">
      <alignment horizontal="center" vertical="center" wrapText="1"/>
      <protection locked="0"/>
    </xf>
    <xf numFmtId="0" fontId="8" fillId="35" borderId="14" xfId="0" applyFont="1" applyFill="1" applyBorder="1" applyAlignment="1" applyProtection="1">
      <alignment wrapText="1"/>
      <protection locked="0"/>
    </xf>
    <xf numFmtId="0" fontId="13" fillId="45" borderId="14" xfId="0" applyFont="1" applyFill="1" applyBorder="1" applyAlignment="1" applyProtection="1">
      <alignment horizontal="center" wrapText="1"/>
      <protection locked="0"/>
    </xf>
    <xf numFmtId="2" fontId="13" fillId="45" borderId="14" xfId="0" applyNumberFormat="1" applyFont="1" applyFill="1" applyBorder="1" applyAlignment="1" applyProtection="1">
      <alignment horizontal="center" wrapText="1"/>
      <protection locked="0"/>
    </xf>
    <xf numFmtId="194" fontId="13" fillId="45" borderId="14" xfId="0" applyNumberFormat="1" applyFont="1" applyFill="1" applyBorder="1" applyAlignment="1" applyProtection="1">
      <alignment horizontal="center" wrapText="1"/>
      <protection locked="0"/>
    </xf>
    <xf numFmtId="184" fontId="13" fillId="45" borderId="14" xfId="0" applyNumberFormat="1" applyFont="1" applyFill="1" applyBorder="1" applyAlignment="1" applyProtection="1">
      <alignment horizontal="center" wrapText="1"/>
      <protection locked="0"/>
    </xf>
    <xf numFmtId="4" fontId="8" fillId="46" borderId="14" xfId="0" applyNumberFormat="1" applyFont="1" applyFill="1" applyBorder="1" applyAlignment="1" applyProtection="1">
      <alignment horizontal="center" wrapText="1"/>
      <protection locked="0"/>
    </xf>
    <xf numFmtId="0" fontId="8" fillId="46" borderId="14" xfId="0" applyFont="1" applyFill="1" applyBorder="1" applyAlignment="1" applyProtection="1">
      <alignment horizontal="center" wrapText="1"/>
      <protection locked="0"/>
    </xf>
    <xf numFmtId="0" fontId="10" fillId="33" borderId="14" xfId="0" applyFont="1" applyFill="1" applyBorder="1" applyAlignment="1" applyProtection="1">
      <alignment wrapText="1"/>
      <protection locked="0"/>
    </xf>
    <xf numFmtId="0" fontId="14" fillId="33" borderId="14" xfId="0" applyFont="1" applyFill="1" applyBorder="1" applyAlignment="1" applyProtection="1">
      <alignment horizontal="center" wrapText="1"/>
      <protection locked="0"/>
    </xf>
    <xf numFmtId="0" fontId="2" fillId="33" borderId="14" xfId="0" applyFont="1" applyFill="1" applyBorder="1" applyAlignment="1" applyProtection="1">
      <alignment wrapText="1"/>
      <protection locked="0"/>
    </xf>
    <xf numFmtId="0" fontId="15" fillId="33" borderId="14" xfId="0" applyFont="1" applyFill="1" applyBorder="1" applyAlignment="1" applyProtection="1">
      <alignment horizontal="center" wrapText="1"/>
      <protection locked="0"/>
    </xf>
    <xf numFmtId="195" fontId="11" fillId="0" borderId="14" xfId="0" applyNumberFormat="1" applyFont="1" applyBorder="1" applyAlignment="1" applyProtection="1">
      <alignment wrapText="1"/>
      <protection locked="0"/>
    </xf>
    <xf numFmtId="0" fontId="10" fillId="0" borderId="14" xfId="0" applyFont="1" applyBorder="1" applyAlignment="1" applyProtection="1">
      <alignment wrapText="1"/>
      <protection locked="0"/>
    </xf>
    <xf numFmtId="4" fontId="10" fillId="33" borderId="14" xfId="0" applyNumberFormat="1" applyFont="1" applyFill="1" applyBorder="1" applyAlignment="1" applyProtection="1">
      <alignment wrapText="1"/>
      <protection locked="0"/>
    </xf>
    <xf numFmtId="0" fontId="16" fillId="35" borderId="14" xfId="0" applyFont="1" applyFill="1" applyBorder="1" applyAlignment="1" applyProtection="1">
      <alignment wrapText="1"/>
      <protection locked="0"/>
    </xf>
    <xf numFmtId="0" fontId="17" fillId="33" borderId="14" xfId="0" applyFont="1" applyFill="1" applyBorder="1" applyAlignment="1" applyProtection="1">
      <alignment wrapText="1"/>
      <protection locked="0"/>
    </xf>
    <xf numFmtId="0" fontId="16" fillId="45" borderId="14" xfId="0" applyFont="1" applyFill="1" applyBorder="1" applyAlignment="1" applyProtection="1">
      <alignment horizontal="left" wrapText="1"/>
      <protection locked="0"/>
    </xf>
    <xf numFmtId="0" fontId="16" fillId="45" borderId="14" xfId="0" applyFont="1" applyFill="1" applyBorder="1" applyAlignment="1" applyProtection="1">
      <alignment horizontal="center" wrapText="1"/>
      <protection locked="0"/>
    </xf>
    <xf numFmtId="2" fontId="16" fillId="45" borderId="14" xfId="0" applyNumberFormat="1" applyFont="1" applyFill="1" applyBorder="1" applyAlignment="1" applyProtection="1">
      <alignment horizontal="center" wrapText="1"/>
      <protection locked="0"/>
    </xf>
    <xf numFmtId="194" fontId="16" fillId="45" borderId="14" xfId="0" applyNumberFormat="1" applyFont="1" applyFill="1" applyBorder="1" applyAlignment="1" applyProtection="1">
      <alignment horizontal="center" wrapText="1"/>
      <protection locked="0"/>
    </xf>
    <xf numFmtId="0" fontId="22" fillId="45" borderId="14" xfId="0" applyFont="1" applyFill="1" applyBorder="1" applyAlignment="1" applyProtection="1">
      <alignment horizontal="center" wrapText="1"/>
      <protection/>
    </xf>
    <xf numFmtId="4" fontId="16" fillId="46" borderId="14" xfId="0" applyNumberFormat="1" applyFont="1" applyFill="1" applyBorder="1" applyAlignment="1" applyProtection="1">
      <alignment horizontal="center" wrapText="1"/>
      <protection locked="0"/>
    </xf>
    <xf numFmtId="0" fontId="16" fillId="46" borderId="14" xfId="0" applyFont="1" applyFill="1" applyBorder="1" applyAlignment="1" applyProtection="1">
      <alignment horizontal="center" wrapText="1"/>
      <protection locked="0"/>
    </xf>
    <xf numFmtId="3" fontId="11" fillId="40" borderId="14" xfId="0" applyNumberFormat="1" applyFont="1" applyFill="1" applyBorder="1" applyAlignment="1" applyProtection="1">
      <alignment horizontal="center" wrapText="1"/>
      <protection/>
    </xf>
    <xf numFmtId="0" fontId="11" fillId="39" borderId="14" xfId="0" applyFont="1" applyFill="1" applyBorder="1" applyAlignment="1" applyProtection="1">
      <alignment horizontal="left" wrapText="1"/>
      <protection locked="0"/>
    </xf>
    <xf numFmtId="0" fontId="11" fillId="39" borderId="14" xfId="0" applyFont="1" applyFill="1" applyBorder="1" applyAlignment="1" applyProtection="1">
      <alignment wrapText="1"/>
      <protection locked="0"/>
    </xf>
    <xf numFmtId="2" fontId="11" fillId="39" borderId="14" xfId="0" applyNumberFormat="1" applyFont="1" applyFill="1" applyBorder="1" applyAlignment="1" applyProtection="1">
      <alignment wrapText="1"/>
      <protection locked="0"/>
    </xf>
    <xf numFmtId="194" fontId="11" fillId="39" borderId="14" xfId="0" applyNumberFormat="1" applyFont="1" applyFill="1" applyBorder="1" applyAlignment="1" applyProtection="1">
      <alignment wrapText="1"/>
      <protection locked="0"/>
    </xf>
    <xf numFmtId="4" fontId="11" fillId="36" borderId="14" xfId="0" applyNumberFormat="1" applyFont="1" applyFill="1" applyBorder="1" applyAlignment="1" applyProtection="1">
      <alignment horizontal="left" wrapText="1"/>
      <protection locked="0"/>
    </xf>
    <xf numFmtId="3" fontId="11" fillId="36" borderId="14" xfId="0" applyNumberFormat="1" applyFont="1" applyFill="1" applyBorder="1" applyAlignment="1" applyProtection="1">
      <alignment horizontal="left" wrapText="1"/>
      <protection locked="0"/>
    </xf>
    <xf numFmtId="0" fontId="11" fillId="36" borderId="14" xfId="0" applyFont="1" applyFill="1" applyBorder="1" applyAlignment="1" applyProtection="1">
      <alignment horizontal="left" wrapText="1"/>
      <protection locked="0"/>
    </xf>
    <xf numFmtId="180" fontId="11" fillId="42" borderId="14" xfId="0" applyNumberFormat="1" applyFont="1" applyFill="1" applyBorder="1" applyAlignment="1" applyProtection="1">
      <alignment wrapText="1"/>
      <protection locked="0"/>
    </xf>
    <xf numFmtId="0" fontId="17" fillId="0" borderId="14" xfId="0" applyFont="1" applyFill="1" applyBorder="1" applyAlignment="1" applyProtection="1">
      <alignment wrapText="1"/>
      <protection locked="0"/>
    </xf>
    <xf numFmtId="0" fontId="11" fillId="34" borderId="14" xfId="0" applyFont="1" applyFill="1" applyBorder="1" applyAlignment="1" applyProtection="1">
      <alignment horizontal="left" wrapText="1"/>
      <protection locked="0"/>
    </xf>
    <xf numFmtId="0" fontId="11" fillId="33" borderId="14" xfId="0" applyFont="1" applyFill="1" applyBorder="1" applyAlignment="1" applyProtection="1">
      <alignment horizontal="left" wrapText="1"/>
      <protection locked="0"/>
    </xf>
    <xf numFmtId="0" fontId="17" fillId="34" borderId="14" xfId="0" applyFont="1" applyFill="1" applyBorder="1" applyAlignment="1" applyProtection="1">
      <alignment wrapText="1"/>
      <protection locked="0"/>
    </xf>
    <xf numFmtId="0" fontId="97" fillId="0" borderId="0" xfId="0" applyFont="1" applyFill="1" applyAlignment="1" applyProtection="1">
      <alignment horizontal="left"/>
      <protection locked="0"/>
    </xf>
    <xf numFmtId="180" fontId="17" fillId="0" borderId="0" xfId="0" applyNumberFormat="1" applyFont="1" applyFill="1" applyAlignment="1" applyProtection="1">
      <alignment horizontal="left"/>
      <protection locked="0"/>
    </xf>
    <xf numFmtId="180" fontId="11" fillId="0" borderId="14" xfId="0" applyNumberFormat="1" applyFont="1" applyFill="1" applyBorder="1" applyAlignment="1" applyProtection="1">
      <alignment wrapText="1"/>
      <protection locked="0"/>
    </xf>
    <xf numFmtId="180" fontId="17" fillId="0" borderId="14" xfId="0" applyNumberFormat="1" applyFont="1" applyFill="1" applyBorder="1" applyAlignment="1" applyProtection="1">
      <alignment wrapText="1"/>
      <protection locked="0"/>
    </xf>
    <xf numFmtId="182" fontId="11" fillId="0" borderId="14" xfId="0" applyNumberFormat="1" applyFont="1" applyFill="1" applyBorder="1" applyAlignment="1" applyProtection="1">
      <alignment wrapText="1"/>
      <protection/>
    </xf>
    <xf numFmtId="180" fontId="11" fillId="0" borderId="14" xfId="0" applyNumberFormat="1" applyFont="1" applyFill="1" applyBorder="1" applyAlignment="1" applyProtection="1">
      <alignment horizontal="left" wrapText="1"/>
      <protection locked="0"/>
    </xf>
    <xf numFmtId="2" fontId="17" fillId="0" borderId="14" xfId="0" applyNumberFormat="1" applyFont="1" applyFill="1" applyBorder="1" applyAlignment="1" applyProtection="1">
      <alignment wrapText="1"/>
      <protection locked="0"/>
    </xf>
    <xf numFmtId="194" fontId="11" fillId="0" borderId="14" xfId="0" applyNumberFormat="1" applyFont="1" applyFill="1" applyBorder="1" applyAlignment="1" applyProtection="1">
      <alignment wrapText="1"/>
      <protection locked="0"/>
    </xf>
    <xf numFmtId="4" fontId="11" fillId="0" borderId="14" xfId="0" applyNumberFormat="1" applyFont="1" applyFill="1" applyBorder="1" applyAlignment="1" applyProtection="1">
      <alignment wrapText="1"/>
      <protection locked="0"/>
    </xf>
    <xf numFmtId="0" fontId="97" fillId="0" borderId="0" xfId="0" applyFont="1" applyFill="1" applyAlignment="1" applyProtection="1">
      <alignment horizontal="left" wrapText="1"/>
      <protection locked="0"/>
    </xf>
    <xf numFmtId="180" fontId="17" fillId="0" borderId="0" xfId="0" applyNumberFormat="1" applyFont="1" applyFill="1" applyAlignment="1" applyProtection="1">
      <alignment horizontal="left" wrapText="1"/>
      <protection locked="0"/>
    </xf>
    <xf numFmtId="0" fontId="17" fillId="0" borderId="0" xfId="0" applyFont="1" applyFill="1" applyAlignment="1" applyProtection="1">
      <alignment wrapText="1"/>
      <protection locked="0"/>
    </xf>
    <xf numFmtId="0" fontId="2" fillId="34" borderId="14" xfId="0" applyFont="1" applyFill="1" applyBorder="1" applyAlignment="1" applyProtection="1">
      <alignment wrapText="1"/>
      <protection locked="0"/>
    </xf>
    <xf numFmtId="0" fontId="13" fillId="35" borderId="14" xfId="0" applyFont="1" applyFill="1" applyBorder="1" applyAlignment="1" applyProtection="1">
      <alignment wrapText="1"/>
      <protection locked="0"/>
    </xf>
    <xf numFmtId="0" fontId="13" fillId="33" borderId="14" xfId="0" applyFont="1" applyFill="1" applyBorder="1" applyAlignment="1" applyProtection="1">
      <alignment horizontal="center" wrapText="1"/>
      <protection locked="0"/>
    </xf>
    <xf numFmtId="180" fontId="2" fillId="0" borderId="14" xfId="0" applyNumberFormat="1" applyFont="1" applyFill="1" applyBorder="1" applyAlignment="1" applyProtection="1">
      <alignment wrapText="1"/>
      <protection locked="0"/>
    </xf>
    <xf numFmtId="0" fontId="2" fillId="34" borderId="14" xfId="0" applyFont="1" applyFill="1" applyBorder="1" applyAlignment="1" applyProtection="1">
      <alignment horizontal="left" wrapText="1"/>
      <protection locked="0"/>
    </xf>
    <xf numFmtId="0" fontId="2" fillId="33" borderId="14" xfId="0" applyFont="1" applyFill="1" applyBorder="1" applyAlignment="1" applyProtection="1">
      <alignment horizontal="left" wrapText="1"/>
      <protection locked="0"/>
    </xf>
    <xf numFmtId="0" fontId="0" fillId="33" borderId="14" xfId="0" applyFont="1" applyFill="1" applyBorder="1" applyAlignment="1" applyProtection="1">
      <alignment horizontal="left" wrapText="1"/>
      <protection locked="0"/>
    </xf>
    <xf numFmtId="175" fontId="3" fillId="42" borderId="14" xfId="0" applyNumberFormat="1" applyFont="1" applyFill="1" applyBorder="1" applyAlignment="1" applyProtection="1">
      <alignment wrapText="1"/>
      <protection/>
    </xf>
    <xf numFmtId="175" fontId="3" fillId="33" borderId="14" xfId="0" applyNumberFormat="1" applyFont="1" applyFill="1" applyBorder="1" applyAlignment="1" applyProtection="1">
      <alignment wrapText="1"/>
      <protection locked="0"/>
    </xf>
    <xf numFmtId="175" fontId="3" fillId="0" borderId="14" xfId="0" applyNumberFormat="1" applyFont="1" applyFill="1" applyBorder="1" applyAlignment="1" applyProtection="1">
      <alignment horizontal="center" wrapText="1"/>
      <protection locked="0"/>
    </xf>
    <xf numFmtId="175" fontId="3" fillId="0" borderId="14" xfId="0" applyNumberFormat="1" applyFont="1" applyFill="1" applyBorder="1" applyAlignment="1" applyProtection="1">
      <alignment wrapText="1"/>
      <protection locked="0"/>
    </xf>
    <xf numFmtId="175" fontId="3" fillId="42" borderId="14" xfId="0" applyNumberFormat="1" applyFont="1" applyFill="1" applyBorder="1" applyAlignment="1" applyProtection="1">
      <alignment wrapText="1"/>
      <protection locked="0"/>
    </xf>
    <xf numFmtId="175" fontId="3" fillId="0" borderId="14" xfId="0" applyNumberFormat="1" applyFont="1" applyFill="1" applyBorder="1" applyAlignment="1" applyProtection="1">
      <alignment horizontal="right" wrapText="1"/>
      <protection locked="0"/>
    </xf>
    <xf numFmtId="175" fontId="3" fillId="42" borderId="14" xfId="0" applyNumberFormat="1" applyFont="1" applyFill="1" applyBorder="1" applyAlignment="1" applyProtection="1">
      <alignment horizontal="right" wrapText="1"/>
      <protection locked="0"/>
    </xf>
    <xf numFmtId="175" fontId="4" fillId="40" borderId="14" xfId="0" applyNumberFormat="1" applyFont="1" applyFill="1" applyBorder="1" applyAlignment="1" applyProtection="1">
      <alignment wrapText="1"/>
      <protection/>
    </xf>
    <xf numFmtId="175" fontId="4" fillId="39" borderId="14" xfId="0" applyNumberFormat="1" applyFont="1" applyFill="1" applyBorder="1" applyAlignment="1" applyProtection="1">
      <alignment horizontal="left" wrapText="1"/>
      <protection locked="0"/>
    </xf>
    <xf numFmtId="175" fontId="3" fillId="39" borderId="14" xfId="0" applyNumberFormat="1" applyFont="1" applyFill="1" applyBorder="1" applyAlignment="1" applyProtection="1">
      <alignment wrapText="1"/>
      <protection locked="0"/>
    </xf>
    <xf numFmtId="175" fontId="4" fillId="39" borderId="14" xfId="0" applyNumberFormat="1" applyFont="1" applyFill="1" applyBorder="1" applyAlignment="1" applyProtection="1">
      <alignment wrapText="1"/>
      <protection locked="0"/>
    </xf>
    <xf numFmtId="175" fontId="4" fillId="36" borderId="14" xfId="0" applyNumberFormat="1" applyFont="1" applyFill="1" applyBorder="1" applyAlignment="1" applyProtection="1">
      <alignment wrapText="1"/>
      <protection locked="0"/>
    </xf>
    <xf numFmtId="175" fontId="3" fillId="33" borderId="14" xfId="0" applyNumberFormat="1" applyFont="1" applyFill="1" applyBorder="1" applyAlignment="1" applyProtection="1">
      <alignment wrapText="1"/>
      <protection/>
    </xf>
    <xf numFmtId="175" fontId="3" fillId="40" borderId="14" xfId="0" applyNumberFormat="1" applyFont="1" applyFill="1" applyBorder="1" applyAlignment="1" applyProtection="1">
      <alignment wrapText="1"/>
      <protection/>
    </xf>
    <xf numFmtId="175" fontId="3" fillId="36" borderId="14" xfId="0" applyNumberFormat="1" applyFont="1" applyFill="1" applyBorder="1" applyAlignment="1" applyProtection="1">
      <alignment wrapText="1"/>
      <protection locked="0"/>
    </xf>
    <xf numFmtId="175" fontId="20" fillId="35" borderId="14" xfId="0" applyNumberFormat="1" applyFont="1" applyFill="1" applyBorder="1" applyAlignment="1" applyProtection="1">
      <alignment wrapText="1"/>
      <protection/>
    </xf>
    <xf numFmtId="175" fontId="20" fillId="45" borderId="14" xfId="0" applyNumberFormat="1" applyFont="1" applyFill="1" applyBorder="1" applyAlignment="1" applyProtection="1">
      <alignment horizontal="left" wrapText="1"/>
      <protection locked="0"/>
    </xf>
    <xf numFmtId="175" fontId="20" fillId="45" borderId="14" xfId="0" applyNumberFormat="1" applyFont="1" applyFill="1" applyBorder="1" applyAlignment="1" applyProtection="1">
      <alignment wrapText="1"/>
      <protection locked="0"/>
    </xf>
    <xf numFmtId="175" fontId="3" fillId="45" borderId="14" xfId="0" applyNumberFormat="1" applyFont="1" applyFill="1" applyBorder="1" applyAlignment="1" applyProtection="1">
      <alignment wrapText="1"/>
      <protection locked="0"/>
    </xf>
    <xf numFmtId="175" fontId="20" fillId="46" borderId="14" xfId="0" applyNumberFormat="1" applyFont="1" applyFill="1" applyBorder="1" applyAlignment="1" applyProtection="1">
      <alignment wrapText="1"/>
      <protection locked="0"/>
    </xf>
    <xf numFmtId="175" fontId="3" fillId="0" borderId="14" xfId="0" applyNumberFormat="1" applyFont="1" applyBorder="1" applyAlignment="1" applyProtection="1">
      <alignment wrapText="1"/>
      <protection/>
    </xf>
    <xf numFmtId="175" fontId="3" fillId="33" borderId="14" xfId="0" applyNumberFormat="1" applyFont="1" applyFill="1" applyBorder="1" applyAlignment="1" applyProtection="1">
      <alignment horizontal="left" wrapText="1"/>
      <protection locked="0"/>
    </xf>
    <xf numFmtId="175" fontId="21" fillId="35" borderId="14" xfId="0" applyNumberFormat="1" applyFont="1" applyFill="1" applyBorder="1" applyAlignment="1" applyProtection="1">
      <alignment horizontal="center" wrapText="1"/>
      <protection/>
    </xf>
    <xf numFmtId="175" fontId="20" fillId="45" borderId="14" xfId="0" applyNumberFormat="1" applyFont="1" applyFill="1" applyBorder="1" applyAlignment="1" applyProtection="1">
      <alignment horizontal="center" wrapText="1"/>
      <protection locked="0"/>
    </xf>
    <xf numFmtId="175" fontId="20" fillId="46" borderId="14" xfId="0" applyNumberFormat="1" applyFont="1" applyFill="1" applyBorder="1" applyAlignment="1" applyProtection="1">
      <alignment horizontal="center" wrapText="1"/>
      <protection locked="0"/>
    </xf>
    <xf numFmtId="175" fontId="4" fillId="40" borderId="14" xfId="0" applyNumberFormat="1" applyFont="1" applyFill="1" applyBorder="1" applyAlignment="1" applyProtection="1">
      <alignment horizontal="center" wrapText="1"/>
      <protection/>
    </xf>
    <xf numFmtId="175" fontId="4" fillId="39" borderId="14" xfId="0" applyNumberFormat="1" applyFont="1" applyFill="1" applyBorder="1" applyAlignment="1" applyProtection="1" quotePrefix="1">
      <alignment horizontal="left" wrapText="1"/>
      <protection locked="0"/>
    </xf>
    <xf numFmtId="175" fontId="4" fillId="36" borderId="14" xfId="0" applyNumberFormat="1" applyFont="1" applyFill="1" applyBorder="1" applyAlignment="1" applyProtection="1">
      <alignment horizontal="left" wrapText="1"/>
      <protection locked="0"/>
    </xf>
    <xf numFmtId="175" fontId="3" fillId="35" borderId="14" xfId="0" applyNumberFormat="1" applyFont="1" applyFill="1" applyBorder="1" applyAlignment="1" applyProtection="1">
      <alignment wrapText="1"/>
      <protection/>
    </xf>
    <xf numFmtId="175" fontId="3" fillId="46" borderId="14" xfId="0" applyNumberFormat="1" applyFont="1" applyFill="1" applyBorder="1" applyAlignment="1" applyProtection="1">
      <alignment wrapText="1"/>
      <protection locked="0"/>
    </xf>
    <xf numFmtId="175" fontId="20" fillId="33" borderId="14" xfId="0" applyNumberFormat="1" applyFont="1" applyFill="1" applyBorder="1" applyAlignment="1" applyProtection="1">
      <alignment wrapText="1"/>
      <protection locked="0"/>
    </xf>
    <xf numFmtId="175" fontId="21" fillId="45" borderId="14" xfId="0" applyNumberFormat="1" applyFont="1" applyFill="1" applyBorder="1" applyAlignment="1" applyProtection="1">
      <alignment wrapText="1"/>
      <protection locked="0"/>
    </xf>
    <xf numFmtId="175" fontId="3" fillId="42" borderId="14" xfId="0" applyNumberFormat="1" applyFont="1" applyFill="1" applyBorder="1" applyAlignment="1" applyProtection="1">
      <alignment horizontal="center" wrapText="1"/>
      <protection locked="0"/>
    </xf>
    <xf numFmtId="175" fontId="4" fillId="0" borderId="14" xfId="0" applyNumberFormat="1" applyFont="1" applyFill="1" applyBorder="1" applyAlignment="1" applyProtection="1">
      <alignment wrapText="1"/>
      <protection/>
    </xf>
    <xf numFmtId="175" fontId="4" fillId="0" borderId="14" xfId="0" applyNumberFormat="1" applyFont="1" applyFill="1" applyBorder="1" applyAlignment="1" applyProtection="1">
      <alignment wrapText="1"/>
      <protection locked="0"/>
    </xf>
    <xf numFmtId="175" fontId="4" fillId="0" borderId="14" xfId="0" applyNumberFormat="1" applyFont="1" applyFill="1" applyBorder="1" applyAlignment="1" applyProtection="1">
      <alignment horizontal="left" wrapText="1"/>
      <protection locked="0"/>
    </xf>
    <xf numFmtId="180" fontId="16" fillId="46" borderId="0" xfId="0" applyNumberFormat="1" applyFont="1" applyFill="1" applyBorder="1" applyAlignment="1" applyProtection="1">
      <alignment horizontal="right"/>
      <protection locked="0"/>
    </xf>
    <xf numFmtId="0" fontId="0" fillId="47" borderId="15" xfId="0" applyFont="1" applyFill="1" applyBorder="1" applyAlignment="1">
      <alignment horizontal="left" wrapText="1" indent="2"/>
    </xf>
    <xf numFmtId="0" fontId="0" fillId="0" borderId="14" xfId="0" applyFont="1" applyFill="1" applyBorder="1" applyAlignment="1">
      <alignment horizontal="center"/>
    </xf>
    <xf numFmtId="0" fontId="0" fillId="0" borderId="14" xfId="0" applyFill="1" applyBorder="1" applyAlignment="1">
      <alignment/>
    </xf>
    <xf numFmtId="3" fontId="0" fillId="0" borderId="14" xfId="0" applyNumberFormat="1" applyBorder="1" applyAlignment="1">
      <alignment/>
    </xf>
    <xf numFmtId="0" fontId="0" fillId="0" borderId="14" xfId="0" applyFont="1" applyFill="1" applyBorder="1" applyAlignment="1">
      <alignment horizontal="center"/>
    </xf>
    <xf numFmtId="204" fontId="0" fillId="33" borderId="0" xfId="45" applyNumberFormat="1" applyFont="1" applyFill="1" applyAlignment="1" applyProtection="1">
      <alignment/>
      <protection locked="0"/>
    </xf>
    <xf numFmtId="204" fontId="9" fillId="39" borderId="10" xfId="45" applyNumberFormat="1" applyFont="1" applyFill="1" applyBorder="1" applyAlignment="1" applyProtection="1">
      <alignment horizontal="centerContinuous" wrapText="1"/>
      <protection locked="0"/>
    </xf>
    <xf numFmtId="204" fontId="5" fillId="33" borderId="0" xfId="45" applyNumberFormat="1" applyFont="1" applyFill="1" applyAlignment="1" applyProtection="1">
      <alignment horizontal="center"/>
      <protection locked="0"/>
    </xf>
    <xf numFmtId="204" fontId="2" fillId="39" borderId="14" xfId="45" applyNumberFormat="1" applyFont="1" applyFill="1" applyBorder="1" applyAlignment="1" applyProtection="1">
      <alignment horizontal="left" wrapText="1"/>
      <protection locked="0"/>
    </xf>
    <xf numFmtId="204" fontId="13" fillId="45" borderId="14" xfId="45" applyNumberFormat="1" applyFont="1" applyFill="1" applyBorder="1" applyAlignment="1" applyProtection="1">
      <alignment horizontal="center" wrapText="1"/>
      <protection locked="0"/>
    </xf>
    <xf numFmtId="204" fontId="15" fillId="33" borderId="14" xfId="45" applyNumberFormat="1" applyFont="1" applyFill="1" applyBorder="1" applyAlignment="1" applyProtection="1">
      <alignment horizontal="center" wrapText="1"/>
      <protection locked="0"/>
    </xf>
    <xf numFmtId="204" fontId="16" fillId="45" borderId="14" xfId="45" applyNumberFormat="1" applyFont="1" applyFill="1" applyBorder="1" applyAlignment="1" applyProtection="1">
      <alignment horizontal="center" wrapText="1"/>
      <protection locked="0"/>
    </xf>
    <xf numFmtId="204" fontId="11" fillId="39" borderId="14" xfId="45" applyNumberFormat="1" applyFont="1" applyFill="1" applyBorder="1" applyAlignment="1" applyProtection="1">
      <alignment wrapText="1"/>
      <protection locked="0"/>
    </xf>
    <xf numFmtId="204" fontId="11" fillId="0" borderId="14" xfId="45" applyNumberFormat="1" applyFont="1" applyFill="1" applyBorder="1" applyAlignment="1" applyProtection="1">
      <alignment wrapText="1"/>
      <protection locked="0"/>
    </xf>
    <xf numFmtId="204" fontId="3" fillId="42" borderId="14" xfId="45" applyNumberFormat="1" applyFont="1" applyFill="1" applyBorder="1" applyAlignment="1" applyProtection="1">
      <alignment wrapText="1"/>
      <protection/>
    </xf>
    <xf numFmtId="204" fontId="4" fillId="0" borderId="14" xfId="45" applyNumberFormat="1" applyFont="1" applyFill="1" applyBorder="1" applyAlignment="1" applyProtection="1">
      <alignment wrapText="1"/>
      <protection locked="0"/>
    </xf>
    <xf numFmtId="204" fontId="4" fillId="39" borderId="14" xfId="45" applyNumberFormat="1" applyFont="1" applyFill="1" applyBorder="1" applyAlignment="1" applyProtection="1">
      <alignment wrapText="1"/>
      <protection/>
    </xf>
    <xf numFmtId="204" fontId="3" fillId="33" borderId="14" xfId="45" applyNumberFormat="1" applyFont="1" applyFill="1" applyBorder="1" applyAlignment="1" applyProtection="1">
      <alignment wrapText="1"/>
      <protection/>
    </xf>
    <xf numFmtId="204" fontId="3" fillId="39" borderId="14" xfId="45" applyNumberFormat="1" applyFont="1" applyFill="1" applyBorder="1" applyAlignment="1" applyProtection="1">
      <alignment wrapText="1"/>
      <protection/>
    </xf>
    <xf numFmtId="204" fontId="20" fillId="45" borderId="14" xfId="45" applyNumberFormat="1" applyFont="1" applyFill="1" applyBorder="1" applyAlignment="1" applyProtection="1">
      <alignment wrapText="1"/>
      <protection/>
    </xf>
    <xf numFmtId="204" fontId="20" fillId="45" borderId="14" xfId="45" applyNumberFormat="1" applyFont="1" applyFill="1" applyBorder="1" applyAlignment="1" applyProtection="1">
      <alignment horizontal="center" wrapText="1"/>
      <protection locked="0"/>
    </xf>
    <xf numFmtId="204" fontId="4" fillId="39" borderId="14" xfId="45" applyNumberFormat="1" applyFont="1" applyFill="1" applyBorder="1" applyAlignment="1" applyProtection="1">
      <alignment horizontal="left" wrapText="1"/>
      <protection locked="0"/>
    </xf>
    <xf numFmtId="204" fontId="20" fillId="35" borderId="14" xfId="45" applyNumberFormat="1" applyFont="1" applyFill="1" applyBorder="1" applyAlignment="1" applyProtection="1">
      <alignment wrapText="1"/>
      <protection/>
    </xf>
    <xf numFmtId="204" fontId="3" fillId="45" borderId="14" xfId="45" applyNumberFormat="1" applyFont="1" applyFill="1" applyBorder="1" applyAlignment="1" applyProtection="1">
      <alignment wrapText="1"/>
      <protection/>
    </xf>
    <xf numFmtId="204" fontId="4" fillId="39" borderId="14" xfId="45" applyNumberFormat="1" applyFont="1" applyFill="1" applyBorder="1" applyAlignment="1" applyProtection="1">
      <alignment wrapText="1"/>
      <protection locked="0"/>
    </xf>
    <xf numFmtId="204" fontId="17" fillId="33" borderId="0" xfId="45" applyNumberFormat="1" applyFont="1" applyFill="1" applyBorder="1" applyAlignment="1" applyProtection="1">
      <alignment/>
      <protection locked="0"/>
    </xf>
    <xf numFmtId="204" fontId="17" fillId="0" borderId="0" xfId="45" applyNumberFormat="1" applyFont="1" applyAlignment="1" applyProtection="1">
      <alignment/>
      <protection locked="0"/>
    </xf>
    <xf numFmtId="204" fontId="5" fillId="0" borderId="0" xfId="45" applyNumberFormat="1" applyFont="1" applyAlignment="1" applyProtection="1">
      <alignment/>
      <protection locked="0"/>
    </xf>
    <xf numFmtId="204" fontId="7" fillId="0" borderId="0" xfId="45" applyNumberFormat="1" applyFont="1" applyAlignment="1" applyProtection="1">
      <alignment/>
      <protection locked="0"/>
    </xf>
    <xf numFmtId="0" fontId="0" fillId="0" borderId="15" xfId="0" applyFont="1" applyFill="1" applyBorder="1" applyAlignment="1">
      <alignment horizontal="left" wrapText="1" indent="2"/>
    </xf>
    <xf numFmtId="3" fontId="0" fillId="0" borderId="14" xfId="0" applyNumberFormat="1" applyFill="1" applyBorder="1" applyAlignment="1">
      <alignment/>
    </xf>
    <xf numFmtId="3" fontId="0" fillId="0" borderId="14" xfId="0" applyNumberFormat="1" applyFont="1" applyFill="1" applyBorder="1" applyAlignment="1">
      <alignment/>
    </xf>
    <xf numFmtId="0" fontId="0" fillId="0" borderId="14" xfId="0" applyFont="1" applyFill="1" applyBorder="1" applyAlignment="1">
      <alignment/>
    </xf>
    <xf numFmtId="3" fontId="0" fillId="0" borderId="14" xfId="0" applyNumberFormat="1" applyFont="1" applyFill="1" applyBorder="1" applyAlignment="1">
      <alignment/>
    </xf>
    <xf numFmtId="0" fontId="0" fillId="0" borderId="15" xfId="0" applyFont="1" applyFill="1" applyBorder="1" applyAlignment="1">
      <alignment horizontal="left" vertical="center" wrapText="1"/>
    </xf>
    <xf numFmtId="0" fontId="0" fillId="0" borderId="14" xfId="0" applyBorder="1" applyAlignment="1">
      <alignment/>
    </xf>
    <xf numFmtId="0" fontId="0" fillId="0" borderId="15" xfId="0" applyFont="1" applyBorder="1" applyAlignment="1">
      <alignment wrapText="1"/>
    </xf>
    <xf numFmtId="0" fontId="0" fillId="0" borderId="15" xfId="0" applyFont="1" applyFill="1" applyBorder="1" applyAlignment="1">
      <alignment wrapText="1"/>
    </xf>
    <xf numFmtId="0" fontId="0" fillId="0" borderId="14" xfId="0" applyFont="1" applyFill="1" applyBorder="1" applyAlignment="1">
      <alignment horizontal="center"/>
    </xf>
    <xf numFmtId="0" fontId="0" fillId="0" borderId="14" xfId="0" applyFont="1" applyFill="1" applyBorder="1" applyAlignment="1">
      <alignment/>
    </xf>
    <xf numFmtId="3" fontId="0" fillId="0" borderId="14" xfId="42" applyNumberFormat="1" applyFont="1" applyFill="1" applyBorder="1" applyAlignment="1">
      <alignment/>
    </xf>
    <xf numFmtId="0" fontId="0" fillId="0" borderId="14" xfId="0" applyFont="1" applyBorder="1" applyAlignment="1">
      <alignment horizontal="center"/>
    </xf>
    <xf numFmtId="0" fontId="0" fillId="0" borderId="15" xfId="0" applyFont="1" applyBorder="1" applyAlignment="1">
      <alignment wrapText="1"/>
    </xf>
    <xf numFmtId="0" fontId="0" fillId="0" borderId="15" xfId="0" applyFont="1" applyBorder="1" applyAlignment="1">
      <alignment horizontal="left" wrapText="1" indent="2"/>
    </xf>
    <xf numFmtId="0" fontId="0" fillId="0" borderId="14" xfId="0" applyFont="1" applyBorder="1" applyAlignment="1">
      <alignment horizontal="center"/>
    </xf>
    <xf numFmtId="0" fontId="0" fillId="0" borderId="14" xfId="0" applyFont="1" applyBorder="1" applyAlignment="1">
      <alignment/>
    </xf>
    <xf numFmtId="3" fontId="0" fillId="0" borderId="14" xfId="0" applyNumberFormat="1" applyFont="1" applyBorder="1" applyAlignment="1">
      <alignment/>
    </xf>
    <xf numFmtId="0" fontId="0" fillId="0" borderId="14" xfId="0" applyFont="1" applyFill="1" applyBorder="1" applyAlignment="1">
      <alignment/>
    </xf>
    <xf numFmtId="3" fontId="0" fillId="0" borderId="14" xfId="0" applyNumberFormat="1" applyFont="1" applyFill="1" applyBorder="1" applyAlignment="1">
      <alignment/>
    </xf>
    <xf numFmtId="0" fontId="0" fillId="0" borderId="15" xfId="0" applyBorder="1" applyAlignment="1">
      <alignment wrapText="1"/>
    </xf>
    <xf numFmtId="0" fontId="0" fillId="0" borderId="15" xfId="0" applyFont="1" applyFill="1" applyBorder="1" applyAlignment="1">
      <alignment horizontal="left" wrapText="1" indent="2"/>
    </xf>
    <xf numFmtId="0" fontId="0" fillId="0" borderId="15" xfId="0" applyFont="1" applyBorder="1" applyAlignment="1">
      <alignment vertical="center" wrapText="1"/>
    </xf>
    <xf numFmtId="0" fontId="0" fillId="0" borderId="15" xfId="0" applyFont="1" applyFill="1" applyBorder="1" applyAlignment="1">
      <alignment wrapText="1"/>
    </xf>
    <xf numFmtId="0" fontId="0" fillId="0" borderId="14" xfId="0" applyFont="1" applyBorder="1" applyAlignment="1">
      <alignment/>
    </xf>
    <xf numFmtId="3" fontId="0" fillId="0" borderId="14" xfId="0" applyNumberFormat="1" applyFont="1" applyBorder="1" applyAlignment="1">
      <alignment/>
    </xf>
    <xf numFmtId="0" fontId="0" fillId="0" borderId="15" xfId="0" applyFont="1" applyBorder="1" applyAlignment="1">
      <alignment vertical="center" wrapText="1"/>
    </xf>
    <xf numFmtId="0" fontId="0" fillId="0" borderId="14" xfId="0" applyFont="1" applyBorder="1" applyAlignment="1">
      <alignment horizontal="center"/>
    </xf>
    <xf numFmtId="0" fontId="2" fillId="0" borderId="15" xfId="0" applyFont="1" applyBorder="1" applyAlignment="1">
      <alignment vertical="center" wrapText="1"/>
    </xf>
    <xf numFmtId="0" fontId="2" fillId="0" borderId="0" xfId="0" applyFont="1" applyAlignment="1">
      <alignment wrapText="1"/>
    </xf>
    <xf numFmtId="0" fontId="0" fillId="0" borderId="15" xfId="0" applyFont="1" applyFill="1" applyBorder="1" applyAlignment="1">
      <alignment vertical="center" wrapText="1"/>
    </xf>
    <xf numFmtId="0" fontId="0" fillId="0" borderId="15" xfId="0" applyFont="1" applyFill="1" applyBorder="1" applyAlignment="1">
      <alignment horizontal="left" vertical="center" wrapText="1"/>
    </xf>
    <xf numFmtId="0" fontId="0" fillId="0" borderId="14" xfId="0" applyFont="1" applyBorder="1" applyAlignment="1">
      <alignment horizontal="center" wrapText="1"/>
    </xf>
    <xf numFmtId="9" fontId="0" fillId="33" borderId="14" xfId="0" applyNumberFormat="1" applyFont="1" applyFill="1" applyBorder="1" applyAlignment="1" applyProtection="1">
      <alignment wrapText="1"/>
      <protection locked="0"/>
    </xf>
    <xf numFmtId="204" fontId="3" fillId="0" borderId="14" xfId="0" applyNumberFormat="1" applyFont="1" applyFill="1" applyBorder="1" applyAlignment="1" applyProtection="1">
      <alignment wrapText="1"/>
      <protection/>
    </xf>
    <xf numFmtId="204" fontId="0" fillId="33" borderId="0" xfId="0" applyNumberFormat="1" applyFont="1" applyFill="1" applyAlignment="1" applyProtection="1">
      <alignment/>
      <protection locked="0"/>
    </xf>
    <xf numFmtId="204" fontId="0" fillId="33" borderId="0" xfId="0" applyNumberFormat="1" applyFont="1" applyFill="1" applyAlignment="1" applyProtection="1">
      <alignment horizontal="left"/>
      <protection locked="0"/>
    </xf>
    <xf numFmtId="204" fontId="9" fillId="40" borderId="10" xfId="0" applyNumberFormat="1" applyFont="1" applyFill="1" applyBorder="1" applyAlignment="1" applyProtection="1">
      <alignment horizontal="center" wrapText="1"/>
      <protection locked="0"/>
    </xf>
    <xf numFmtId="204" fontId="5" fillId="33" borderId="0" xfId="0" applyNumberFormat="1" applyFont="1" applyFill="1" applyAlignment="1" applyProtection="1">
      <alignment horizontal="left"/>
      <protection locked="0"/>
    </xf>
    <xf numFmtId="204" fontId="9" fillId="40" borderId="14" xfId="0" applyNumberFormat="1" applyFont="1" applyFill="1" applyBorder="1" applyAlignment="1" applyProtection="1">
      <alignment horizontal="center" vertical="center" wrapText="1"/>
      <protection/>
    </xf>
    <xf numFmtId="204" fontId="13" fillId="45" borderId="14" xfId="0" applyNumberFormat="1" applyFont="1" applyFill="1" applyBorder="1" applyAlignment="1" applyProtection="1">
      <alignment horizontal="center" wrapText="1"/>
      <protection locked="0"/>
    </xf>
    <xf numFmtId="204" fontId="15" fillId="33" borderId="14" xfId="0" applyNumberFormat="1" applyFont="1" applyFill="1" applyBorder="1" applyAlignment="1" applyProtection="1">
      <alignment horizontal="center" wrapText="1"/>
      <protection locked="0"/>
    </xf>
    <xf numFmtId="204" fontId="22" fillId="45" borderId="14" xfId="0" applyNumberFormat="1" applyFont="1" applyFill="1" applyBorder="1" applyAlignment="1" applyProtection="1">
      <alignment horizontal="center" wrapText="1"/>
      <protection/>
    </xf>
    <xf numFmtId="204" fontId="11" fillId="40" borderId="14" xfId="0" applyNumberFormat="1" applyFont="1" applyFill="1" applyBorder="1" applyAlignment="1" applyProtection="1">
      <alignment horizontal="center" wrapText="1"/>
      <protection/>
    </xf>
    <xf numFmtId="204" fontId="11" fillId="0" borderId="14" xfId="0" applyNumberFormat="1" applyFont="1" applyFill="1" applyBorder="1" applyAlignment="1" applyProtection="1">
      <alignment wrapText="1"/>
      <protection locked="0"/>
    </xf>
    <xf numFmtId="204" fontId="4" fillId="0" borderId="14" xfId="0" applyNumberFormat="1" applyFont="1" applyFill="1" applyBorder="1" applyAlignment="1" applyProtection="1">
      <alignment wrapText="1"/>
      <protection locked="0"/>
    </xf>
    <xf numFmtId="204" fontId="3" fillId="33" borderId="14" xfId="0" applyNumberFormat="1" applyFont="1" applyFill="1" applyBorder="1" applyAlignment="1" applyProtection="1">
      <alignment wrapText="1"/>
      <protection/>
    </xf>
    <xf numFmtId="204" fontId="3" fillId="40" borderId="14" xfId="0" applyNumberFormat="1" applyFont="1" applyFill="1" applyBorder="1" applyAlignment="1" applyProtection="1">
      <alignment wrapText="1"/>
      <protection/>
    </xf>
    <xf numFmtId="204" fontId="4" fillId="40" borderId="14" xfId="0" applyNumberFormat="1" applyFont="1" applyFill="1" applyBorder="1" applyAlignment="1" applyProtection="1">
      <alignment wrapText="1"/>
      <protection/>
    </xf>
    <xf numFmtId="204" fontId="20" fillId="35" borderId="14" xfId="0" applyNumberFormat="1" applyFont="1" applyFill="1" applyBorder="1" applyAlignment="1" applyProtection="1">
      <alignment wrapText="1"/>
      <protection/>
    </xf>
    <xf numFmtId="204" fontId="3" fillId="0" borderId="14" xfId="0" applyNumberFormat="1" applyFont="1" applyBorder="1" applyAlignment="1" applyProtection="1">
      <alignment wrapText="1"/>
      <protection/>
    </xf>
    <xf numFmtId="204" fontId="21" fillId="35" borderId="14" xfId="0" applyNumberFormat="1" applyFont="1" applyFill="1" applyBorder="1" applyAlignment="1" applyProtection="1">
      <alignment horizontal="center" wrapText="1"/>
      <protection/>
    </xf>
    <xf numFmtId="204" fontId="4" fillId="40" borderId="14" xfId="0" applyNumberFormat="1" applyFont="1" applyFill="1" applyBorder="1" applyAlignment="1" applyProtection="1">
      <alignment horizontal="center" wrapText="1"/>
      <protection/>
    </xf>
    <xf numFmtId="204" fontId="3" fillId="35" borderId="14" xfId="0" applyNumberFormat="1" applyFont="1" applyFill="1" applyBorder="1" applyAlignment="1" applyProtection="1">
      <alignment wrapText="1"/>
      <protection/>
    </xf>
    <xf numFmtId="204" fontId="4" fillId="40" borderId="14" xfId="0" applyNumberFormat="1" applyFont="1" applyFill="1" applyBorder="1" applyAlignment="1" applyProtection="1">
      <alignment wrapText="1"/>
      <protection locked="0"/>
    </xf>
    <xf numFmtId="204" fontId="17" fillId="33" borderId="0" xfId="0" applyNumberFormat="1" applyFont="1" applyFill="1" applyAlignment="1" applyProtection="1">
      <alignment/>
      <protection locked="0"/>
    </xf>
    <xf numFmtId="204" fontId="17" fillId="0" borderId="0" xfId="0" applyNumberFormat="1" applyFont="1" applyAlignment="1" applyProtection="1">
      <alignment/>
      <protection locked="0"/>
    </xf>
    <xf numFmtId="204" fontId="5" fillId="0" borderId="0" xfId="0" applyNumberFormat="1" applyFont="1" applyAlignment="1" applyProtection="1">
      <alignment/>
      <protection locked="0"/>
    </xf>
    <xf numFmtId="204" fontId="7" fillId="0" borderId="0" xfId="0" applyNumberFormat="1" applyFont="1" applyAlignment="1" applyProtection="1">
      <alignment/>
      <protection locked="0"/>
    </xf>
    <xf numFmtId="2" fontId="0" fillId="0" borderId="14" xfId="0" applyNumberFormat="1" applyFont="1" applyFill="1" applyBorder="1" applyAlignment="1">
      <alignment/>
    </xf>
    <xf numFmtId="3" fontId="0" fillId="0" borderId="14" xfId="42" applyNumberFormat="1" applyFont="1" applyBorder="1" applyAlignment="1">
      <alignment/>
    </xf>
    <xf numFmtId="17" fontId="12" fillId="36" borderId="14" xfId="0" applyNumberFormat="1" applyFont="1" applyFill="1" applyBorder="1" applyAlignment="1" applyProtection="1">
      <alignment horizontal="center" vertical="center" wrapText="1"/>
      <protection locked="0"/>
    </xf>
    <xf numFmtId="210" fontId="0" fillId="33" borderId="0" xfId="0" applyNumberFormat="1" applyFont="1" applyFill="1" applyBorder="1" applyAlignment="1" applyProtection="1">
      <alignment/>
      <protection locked="0"/>
    </xf>
    <xf numFmtId="196" fontId="0" fillId="33" borderId="0" xfId="0" applyNumberFormat="1" applyFont="1" applyFill="1" applyAlignment="1" applyProtection="1">
      <alignment horizontal="left"/>
      <protection locked="0"/>
    </xf>
    <xf numFmtId="212" fontId="0" fillId="33" borderId="0" xfId="45" applyNumberFormat="1" applyFont="1" applyFill="1" applyAlignment="1" applyProtection="1">
      <alignment/>
      <protection locked="0"/>
    </xf>
    <xf numFmtId="212" fontId="9" fillId="39" borderId="10" xfId="45" applyNumberFormat="1" applyFont="1" applyFill="1" applyBorder="1" applyAlignment="1" applyProtection="1">
      <alignment horizontal="centerContinuous" wrapText="1"/>
      <protection locked="0"/>
    </xf>
    <xf numFmtId="212" fontId="5" fillId="33" borderId="0" xfId="45" applyNumberFormat="1" applyFont="1" applyFill="1" applyAlignment="1" applyProtection="1">
      <alignment horizontal="center"/>
      <protection locked="0"/>
    </xf>
    <xf numFmtId="212" fontId="2" fillId="39" borderId="14" xfId="45" applyNumberFormat="1" applyFont="1" applyFill="1" applyBorder="1" applyAlignment="1" applyProtection="1">
      <alignment horizontal="left" wrapText="1"/>
      <protection locked="0"/>
    </xf>
    <xf numFmtId="212" fontId="13" fillId="45" borderId="14" xfId="45" applyNumberFormat="1" applyFont="1" applyFill="1" applyBorder="1" applyAlignment="1" applyProtection="1">
      <alignment horizontal="center" wrapText="1"/>
      <protection locked="0"/>
    </xf>
    <xf numFmtId="212" fontId="15" fillId="33" borderId="14" xfId="45" applyNumberFormat="1" applyFont="1" applyFill="1" applyBorder="1" applyAlignment="1" applyProtection="1">
      <alignment horizontal="center" wrapText="1"/>
      <protection locked="0"/>
    </xf>
    <xf numFmtId="212" fontId="16" fillId="45" borderId="14" xfId="45" applyNumberFormat="1" applyFont="1" applyFill="1" applyBorder="1" applyAlignment="1" applyProtection="1">
      <alignment horizontal="center" wrapText="1"/>
      <protection locked="0"/>
    </xf>
    <xf numFmtId="212" fontId="11" fillId="39" borderId="14" xfId="45" applyNumberFormat="1" applyFont="1" applyFill="1" applyBorder="1" applyAlignment="1" applyProtection="1">
      <alignment wrapText="1"/>
      <protection locked="0"/>
    </xf>
    <xf numFmtId="212" fontId="11" fillId="0" borderId="14" xfId="45" applyNumberFormat="1" applyFont="1" applyFill="1" applyBorder="1" applyAlignment="1" applyProtection="1">
      <alignment wrapText="1"/>
      <protection locked="0"/>
    </xf>
    <xf numFmtId="212" fontId="3" fillId="42" borderId="14" xfId="45" applyNumberFormat="1" applyFont="1" applyFill="1" applyBorder="1" applyAlignment="1" applyProtection="1">
      <alignment wrapText="1"/>
      <protection/>
    </xf>
    <xf numFmtId="212" fontId="4" fillId="0" borderId="14" xfId="45" applyNumberFormat="1" applyFont="1" applyFill="1" applyBorder="1" applyAlignment="1" applyProtection="1">
      <alignment wrapText="1"/>
      <protection locked="0"/>
    </xf>
    <xf numFmtId="212" fontId="3" fillId="33" borderId="14" xfId="45" applyNumberFormat="1" applyFont="1" applyFill="1" applyBorder="1" applyAlignment="1" applyProtection="1">
      <alignment wrapText="1"/>
      <protection/>
    </xf>
    <xf numFmtId="212" fontId="3" fillId="39" borderId="14" xfId="45" applyNumberFormat="1" applyFont="1" applyFill="1" applyBorder="1" applyAlignment="1" applyProtection="1">
      <alignment wrapText="1"/>
      <protection/>
    </xf>
    <xf numFmtId="212" fontId="4" fillId="39" borderId="14" xfId="45" applyNumberFormat="1" applyFont="1" applyFill="1" applyBorder="1" applyAlignment="1" applyProtection="1">
      <alignment wrapText="1"/>
      <protection/>
    </xf>
    <xf numFmtId="212" fontId="20" fillId="45" borderId="14" xfId="45" applyNumberFormat="1" applyFont="1" applyFill="1" applyBorder="1" applyAlignment="1" applyProtection="1">
      <alignment wrapText="1"/>
      <protection/>
    </xf>
    <xf numFmtId="212" fontId="20" fillId="45" borderId="14" xfId="45" applyNumberFormat="1" applyFont="1" applyFill="1" applyBorder="1" applyAlignment="1" applyProtection="1">
      <alignment horizontal="center" wrapText="1"/>
      <protection locked="0"/>
    </xf>
    <xf numFmtId="212" fontId="4" fillId="39" borderId="14" xfId="45" applyNumberFormat="1" applyFont="1" applyFill="1" applyBorder="1" applyAlignment="1" applyProtection="1">
      <alignment horizontal="left" wrapText="1"/>
      <protection locked="0"/>
    </xf>
    <xf numFmtId="212" fontId="20" fillId="35" borderId="14" xfId="45" applyNumberFormat="1" applyFont="1" applyFill="1" applyBorder="1" applyAlignment="1" applyProtection="1">
      <alignment wrapText="1"/>
      <protection/>
    </xf>
    <xf numFmtId="212" fontId="3" fillId="45" borderId="14" xfId="45" applyNumberFormat="1" applyFont="1" applyFill="1" applyBorder="1" applyAlignment="1" applyProtection="1">
      <alignment wrapText="1"/>
      <protection/>
    </xf>
    <xf numFmtId="212" fontId="4" fillId="39" borderId="14" xfId="45" applyNumberFormat="1" applyFont="1" applyFill="1" applyBorder="1" applyAlignment="1" applyProtection="1">
      <alignment wrapText="1"/>
      <protection locked="0"/>
    </xf>
    <xf numFmtId="212" fontId="17" fillId="33" borderId="0" xfId="45" applyNumberFormat="1" applyFont="1" applyFill="1" applyBorder="1" applyAlignment="1" applyProtection="1">
      <alignment/>
      <protection locked="0"/>
    </xf>
    <xf numFmtId="212" fontId="17" fillId="0" borderId="0" xfId="45" applyNumberFormat="1" applyFont="1" applyAlignment="1" applyProtection="1">
      <alignment/>
      <protection locked="0"/>
    </xf>
    <xf numFmtId="212" fontId="5" fillId="0" borderId="0" xfId="45" applyNumberFormat="1" applyFont="1" applyAlignment="1" applyProtection="1">
      <alignment/>
      <protection locked="0"/>
    </xf>
    <xf numFmtId="212" fontId="7" fillId="0" borderId="0" xfId="45" applyNumberFormat="1" applyFont="1" applyAlignment="1" applyProtection="1">
      <alignment/>
      <protection locked="0"/>
    </xf>
    <xf numFmtId="0" fontId="0" fillId="0" borderId="16" xfId="0" applyFont="1" applyBorder="1" applyAlignment="1">
      <alignment horizontal="center"/>
    </xf>
    <xf numFmtId="212" fontId="4" fillId="33" borderId="0" xfId="0" applyNumberFormat="1" applyFont="1" applyFill="1" applyAlignment="1" applyProtection="1">
      <alignment/>
      <protection locked="0"/>
    </xf>
    <xf numFmtId="212" fontId="0" fillId="33" borderId="0" xfId="0" applyNumberFormat="1" applyFont="1" applyFill="1" applyBorder="1" applyAlignment="1" applyProtection="1">
      <alignment/>
      <protection locked="0"/>
    </xf>
    <xf numFmtId="212" fontId="0" fillId="33" borderId="0" xfId="0" applyNumberFormat="1" applyFont="1" applyFill="1" applyAlignment="1" quotePrefix="1">
      <alignment horizontal="left"/>
    </xf>
    <xf numFmtId="212" fontId="0" fillId="33" borderId="0" xfId="0" applyNumberFormat="1" applyFont="1" applyFill="1" applyBorder="1" applyAlignment="1" applyProtection="1">
      <alignment/>
      <protection locked="0"/>
    </xf>
    <xf numFmtId="212" fontId="0" fillId="33" borderId="0" xfId="0" applyNumberFormat="1" applyFont="1" applyFill="1" applyBorder="1" applyAlignment="1" applyProtection="1">
      <alignment/>
      <protection locked="0"/>
    </xf>
    <xf numFmtId="212" fontId="0" fillId="33" borderId="0" xfId="0" applyNumberFormat="1" applyFont="1" applyFill="1" applyBorder="1" applyAlignment="1" applyProtection="1">
      <alignment horizontal="left"/>
      <protection locked="0"/>
    </xf>
    <xf numFmtId="212" fontId="0" fillId="33" borderId="0" xfId="0" applyNumberFormat="1" applyFont="1" applyFill="1" applyBorder="1" applyAlignment="1" applyProtection="1">
      <alignment horizontal="left"/>
      <protection locked="0"/>
    </xf>
    <xf numFmtId="212" fontId="0" fillId="33" borderId="0" xfId="0" applyNumberFormat="1" applyFont="1" applyFill="1" applyAlignment="1" applyProtection="1">
      <alignment horizontal="left"/>
      <protection locked="0"/>
    </xf>
    <xf numFmtId="212" fontId="0" fillId="33" borderId="0" xfId="0" applyNumberFormat="1" applyFont="1" applyFill="1" applyAlignment="1" applyProtection="1">
      <alignment horizontal="left"/>
      <protection locked="0"/>
    </xf>
    <xf numFmtId="212" fontId="0" fillId="33" borderId="0" xfId="0" applyNumberFormat="1" applyFont="1" applyFill="1" applyBorder="1" applyAlignment="1" applyProtection="1">
      <alignment/>
      <protection locked="0"/>
    </xf>
    <xf numFmtId="212" fontId="0" fillId="33" borderId="0" xfId="0" applyNumberFormat="1" applyFont="1" applyFill="1" applyAlignment="1" applyProtection="1">
      <alignment/>
      <protection locked="0"/>
    </xf>
    <xf numFmtId="212" fontId="5" fillId="33" borderId="0" xfId="0" applyNumberFormat="1" applyFont="1" applyFill="1" applyBorder="1" applyAlignment="1" applyProtection="1">
      <alignment horizontal="left"/>
      <protection locked="0"/>
    </xf>
    <xf numFmtId="212" fontId="9" fillId="34" borderId="14" xfId="0" applyNumberFormat="1" applyFont="1" applyFill="1" applyBorder="1" applyAlignment="1" applyProtection="1">
      <alignment horizontal="center" vertical="center" wrapText="1"/>
      <protection locked="0"/>
    </xf>
    <xf numFmtId="212" fontId="8" fillId="35" borderId="14" xfId="0" applyNumberFormat="1" applyFont="1" applyFill="1" applyBorder="1" applyAlignment="1" applyProtection="1">
      <alignment horizontal="center" wrapText="1"/>
      <protection/>
    </xf>
    <xf numFmtId="212" fontId="14" fillId="33" borderId="14" xfId="0" applyNumberFormat="1" applyFont="1" applyFill="1" applyBorder="1" applyAlignment="1" applyProtection="1">
      <alignment horizontal="center" wrapText="1"/>
      <protection locked="0"/>
    </xf>
    <xf numFmtId="212" fontId="22" fillId="35" borderId="14" xfId="0" applyNumberFormat="1" applyFont="1" applyFill="1" applyBorder="1" applyAlignment="1" applyProtection="1">
      <alignment horizontal="center" wrapText="1"/>
      <protection/>
    </xf>
    <xf numFmtId="212" fontId="11" fillId="34" borderId="14" xfId="0" applyNumberFormat="1" applyFont="1" applyFill="1" applyBorder="1" applyAlignment="1" applyProtection="1">
      <alignment horizontal="center" wrapText="1"/>
      <protection locked="0"/>
    </xf>
    <xf numFmtId="212" fontId="11" fillId="0" borderId="14" xfId="45" applyNumberFormat="1" applyFont="1" applyFill="1" applyBorder="1" applyAlignment="1" applyProtection="1">
      <alignment wrapText="1"/>
      <protection/>
    </xf>
    <xf numFmtId="212" fontId="4" fillId="0" borderId="14" xfId="45" applyNumberFormat="1" applyFont="1" applyFill="1" applyBorder="1" applyAlignment="1" applyProtection="1">
      <alignment wrapText="1"/>
      <protection/>
    </xf>
    <xf numFmtId="212" fontId="3" fillId="34" borderId="14" xfId="45" applyNumberFormat="1" applyFont="1" applyFill="1" applyBorder="1" applyAlignment="1" applyProtection="1">
      <alignment wrapText="1"/>
      <protection/>
    </xf>
    <xf numFmtId="212" fontId="4" fillId="34" borderId="14" xfId="45" applyNumberFormat="1" applyFont="1" applyFill="1" applyBorder="1" applyAlignment="1" applyProtection="1">
      <alignment wrapText="1"/>
      <protection/>
    </xf>
    <xf numFmtId="212" fontId="3" fillId="0" borderId="14" xfId="45" applyNumberFormat="1" applyFont="1" applyBorder="1" applyAlignment="1" applyProtection="1">
      <alignment wrapText="1"/>
      <protection/>
    </xf>
    <xf numFmtId="212" fontId="21" fillId="35" borderId="14" xfId="45" applyNumberFormat="1" applyFont="1" applyFill="1" applyBorder="1" applyAlignment="1" applyProtection="1">
      <alignment horizontal="center" wrapText="1"/>
      <protection/>
    </xf>
    <xf numFmtId="212" fontId="4" fillId="34" borderId="14" xfId="45" applyNumberFormat="1" applyFont="1" applyFill="1" applyBorder="1" applyAlignment="1" applyProtection="1">
      <alignment horizontal="center" wrapText="1"/>
      <protection/>
    </xf>
    <xf numFmtId="212" fontId="3" fillId="35" borderId="14" xfId="45" applyNumberFormat="1" applyFont="1" applyFill="1" applyBorder="1" applyAlignment="1" applyProtection="1">
      <alignment wrapText="1"/>
      <protection/>
    </xf>
    <xf numFmtId="212" fontId="4" fillId="34" borderId="14" xfId="45" applyNumberFormat="1" applyFont="1" applyFill="1" applyBorder="1" applyAlignment="1" applyProtection="1">
      <alignment horizontal="center" wrapText="1"/>
      <protection locked="0"/>
    </xf>
    <xf numFmtId="212" fontId="17" fillId="33" borderId="0" xfId="0" applyNumberFormat="1" applyFont="1" applyFill="1" applyBorder="1" applyAlignment="1" applyProtection="1">
      <alignment/>
      <protection locked="0"/>
    </xf>
    <xf numFmtId="212" fontId="17" fillId="0" borderId="0" xfId="0" applyNumberFormat="1" applyFont="1" applyAlignment="1" applyProtection="1">
      <alignment/>
      <protection locked="0"/>
    </xf>
    <xf numFmtId="212" fontId="5" fillId="0" borderId="0" xfId="0" applyNumberFormat="1" applyFont="1" applyAlignment="1" applyProtection="1">
      <alignment/>
      <protection locked="0"/>
    </xf>
    <xf numFmtId="212" fontId="7" fillId="0" borderId="0" xfId="0" applyNumberFormat="1" applyFont="1" applyAlignment="1" applyProtection="1">
      <alignment/>
      <protection locked="0"/>
    </xf>
    <xf numFmtId="173" fontId="4" fillId="33" borderId="0" xfId="0" applyNumberFormat="1" applyFont="1" applyFill="1" applyAlignment="1" applyProtection="1">
      <alignment/>
      <protection locked="0"/>
    </xf>
    <xf numFmtId="173" fontId="3" fillId="33" borderId="0" xfId="0" applyNumberFormat="1" applyFont="1" applyFill="1" applyAlignment="1" applyProtection="1">
      <alignment/>
      <protection locked="0"/>
    </xf>
    <xf numFmtId="173" fontId="0" fillId="33" borderId="0" xfId="0" applyNumberFormat="1" applyFont="1" applyFill="1" applyBorder="1" applyAlignment="1" applyProtection="1">
      <alignment/>
      <protection locked="0"/>
    </xf>
    <xf numFmtId="173" fontId="0" fillId="33" borderId="0" xfId="0" applyNumberFormat="1" applyFont="1" applyFill="1" applyAlignment="1" applyProtection="1">
      <alignment/>
      <protection locked="0"/>
    </xf>
    <xf numFmtId="173" fontId="0" fillId="33" borderId="0" xfId="0" applyNumberFormat="1" applyFont="1" applyFill="1" applyAlignment="1" quotePrefix="1">
      <alignment horizontal="left"/>
    </xf>
    <xf numFmtId="173" fontId="0" fillId="33" borderId="0" xfId="0" applyNumberFormat="1" applyFont="1" applyFill="1" applyBorder="1" applyAlignment="1" applyProtection="1">
      <alignment/>
      <protection locked="0"/>
    </xf>
    <xf numFmtId="173" fontId="0" fillId="33" borderId="0" xfId="0" applyNumberFormat="1" applyFont="1" applyFill="1" applyBorder="1" applyAlignment="1" applyProtection="1">
      <alignment/>
      <protection locked="0"/>
    </xf>
    <xf numFmtId="173" fontId="0" fillId="33" borderId="0" xfId="0" applyNumberFormat="1" applyFont="1" applyFill="1" applyBorder="1" applyAlignment="1" applyProtection="1">
      <alignment horizontal="left"/>
      <protection locked="0"/>
    </xf>
    <xf numFmtId="173" fontId="0" fillId="33" borderId="0" xfId="0" applyNumberFormat="1" applyFont="1" applyFill="1" applyAlignment="1" applyProtection="1">
      <alignment horizontal="left"/>
      <protection locked="0"/>
    </xf>
    <xf numFmtId="173" fontId="0" fillId="33" borderId="0" xfId="0" applyNumberFormat="1" applyFont="1" applyFill="1" applyAlignment="1" applyProtection="1">
      <alignment horizontal="left"/>
      <protection locked="0"/>
    </xf>
    <xf numFmtId="173" fontId="0" fillId="33" borderId="0" xfId="0" applyNumberFormat="1" applyFont="1" applyFill="1" applyBorder="1" applyAlignment="1" applyProtection="1">
      <alignment/>
      <protection locked="0"/>
    </xf>
    <xf numFmtId="173" fontId="11" fillId="34" borderId="10" xfId="0" applyNumberFormat="1" applyFont="1" applyFill="1" applyBorder="1" applyAlignment="1" applyProtection="1">
      <alignment horizontal="center" wrapText="1"/>
      <protection locked="0"/>
    </xf>
    <xf numFmtId="173" fontId="9" fillId="40" borderId="10" xfId="0" applyNumberFormat="1" applyFont="1" applyFill="1" applyBorder="1" applyAlignment="1" applyProtection="1">
      <alignment horizontal="center" wrapText="1"/>
      <protection locked="0"/>
    </xf>
    <xf numFmtId="173" fontId="5" fillId="33" borderId="0" xfId="0" applyNumberFormat="1" applyFont="1" applyFill="1" applyBorder="1" applyAlignment="1" applyProtection="1">
      <alignment horizontal="left"/>
      <protection locked="0"/>
    </xf>
    <xf numFmtId="173" fontId="5" fillId="33" borderId="0" xfId="0" applyNumberFormat="1" applyFont="1" applyFill="1" applyAlignment="1" applyProtection="1">
      <alignment/>
      <protection locked="0"/>
    </xf>
    <xf numFmtId="173" fontId="9" fillId="34" borderId="14" xfId="0" applyNumberFormat="1" applyFont="1" applyFill="1" applyBorder="1" applyAlignment="1" applyProtection="1">
      <alignment horizontal="center" vertical="center" wrapText="1"/>
      <protection locked="0"/>
    </xf>
    <xf numFmtId="173" fontId="9" fillId="40" borderId="14" xfId="0" applyNumberFormat="1" applyFont="1" applyFill="1" applyBorder="1" applyAlignment="1" applyProtection="1">
      <alignment horizontal="center" vertical="center" wrapText="1"/>
      <protection locked="0"/>
    </xf>
    <xf numFmtId="173" fontId="8" fillId="35" borderId="14" xfId="0" applyNumberFormat="1" applyFont="1" applyFill="1" applyBorder="1" applyAlignment="1" applyProtection="1">
      <alignment horizontal="center" wrapText="1"/>
      <protection/>
    </xf>
    <xf numFmtId="173" fontId="14" fillId="33" borderId="14" xfId="0" applyNumberFormat="1" applyFont="1" applyFill="1" applyBorder="1" applyAlignment="1" applyProtection="1">
      <alignment horizontal="center" wrapText="1"/>
      <protection locked="0"/>
    </xf>
    <xf numFmtId="173" fontId="22" fillId="35" borderId="14" xfId="0" applyNumberFormat="1" applyFont="1" applyFill="1" applyBorder="1" applyAlignment="1" applyProtection="1">
      <alignment horizontal="center" wrapText="1"/>
      <protection/>
    </xf>
    <xf numFmtId="173" fontId="11" fillId="34" borderId="14" xfId="0" applyNumberFormat="1" applyFont="1" applyFill="1" applyBorder="1" applyAlignment="1" applyProtection="1">
      <alignment horizontal="center" wrapText="1"/>
      <protection locked="0"/>
    </xf>
    <xf numFmtId="173" fontId="11" fillId="40" borderId="14" xfId="0" applyNumberFormat="1" applyFont="1" applyFill="1" applyBorder="1" applyAlignment="1" applyProtection="1">
      <alignment horizontal="center" wrapText="1"/>
      <protection/>
    </xf>
    <xf numFmtId="173" fontId="11" fillId="0" borderId="14" xfId="0" applyNumberFormat="1" applyFont="1" applyFill="1" applyBorder="1" applyAlignment="1" applyProtection="1">
      <alignment wrapText="1"/>
      <protection/>
    </xf>
    <xf numFmtId="173" fontId="3" fillId="42" borderId="14" xfId="0" applyNumberFormat="1" applyFont="1" applyFill="1" applyBorder="1" applyAlignment="1" applyProtection="1">
      <alignment wrapText="1"/>
      <protection/>
    </xf>
    <xf numFmtId="173" fontId="4" fillId="0" borderId="14" xfId="0" applyNumberFormat="1" applyFont="1" applyFill="1" applyBorder="1" applyAlignment="1" applyProtection="1">
      <alignment wrapText="1"/>
      <protection/>
    </xf>
    <xf numFmtId="173" fontId="3" fillId="33" borderId="14" xfId="0" applyNumberFormat="1" applyFont="1" applyFill="1" applyBorder="1" applyAlignment="1" applyProtection="1">
      <alignment wrapText="1"/>
      <protection/>
    </xf>
    <xf numFmtId="173" fontId="3" fillId="34" borderId="14" xfId="0" applyNumberFormat="1" applyFont="1" applyFill="1" applyBorder="1" applyAlignment="1" applyProtection="1">
      <alignment wrapText="1"/>
      <protection/>
    </xf>
    <xf numFmtId="173" fontId="3" fillId="40" borderId="14" xfId="0" applyNumberFormat="1" applyFont="1" applyFill="1" applyBorder="1" applyAlignment="1" applyProtection="1">
      <alignment wrapText="1"/>
      <protection/>
    </xf>
    <xf numFmtId="173" fontId="4" fillId="34" borderId="14" xfId="0" applyNumberFormat="1" applyFont="1" applyFill="1" applyBorder="1" applyAlignment="1" applyProtection="1">
      <alignment wrapText="1"/>
      <protection/>
    </xf>
    <xf numFmtId="173" fontId="4" fillId="40" borderId="14" xfId="0" applyNumberFormat="1" applyFont="1" applyFill="1" applyBorder="1" applyAlignment="1" applyProtection="1">
      <alignment wrapText="1"/>
      <protection/>
    </xf>
    <xf numFmtId="173" fontId="20" fillId="35" borderId="14" xfId="0" applyNumberFormat="1" applyFont="1" applyFill="1" applyBorder="1" applyAlignment="1" applyProtection="1">
      <alignment wrapText="1"/>
      <protection/>
    </xf>
    <xf numFmtId="173" fontId="3" fillId="0" borderId="14" xfId="0" applyNumberFormat="1" applyFont="1" applyBorder="1" applyAlignment="1" applyProtection="1">
      <alignment wrapText="1"/>
      <protection/>
    </xf>
    <xf numFmtId="173" fontId="21" fillId="35" borderId="14" xfId="0" applyNumberFormat="1" applyFont="1" applyFill="1" applyBorder="1" applyAlignment="1" applyProtection="1">
      <alignment horizontal="center" wrapText="1"/>
      <protection/>
    </xf>
    <xf numFmtId="173" fontId="4" fillId="34" borderId="14" xfId="0" applyNumberFormat="1" applyFont="1" applyFill="1" applyBorder="1" applyAlignment="1" applyProtection="1">
      <alignment horizontal="center" wrapText="1"/>
      <protection/>
    </xf>
    <xf numFmtId="173" fontId="4" fillId="40" borderId="14" xfId="0" applyNumberFormat="1" applyFont="1" applyFill="1" applyBorder="1" applyAlignment="1" applyProtection="1">
      <alignment horizontal="center" wrapText="1"/>
      <protection/>
    </xf>
    <xf numFmtId="173" fontId="3" fillId="35" borderId="14" xfId="0" applyNumberFormat="1" applyFont="1" applyFill="1" applyBorder="1" applyAlignment="1" applyProtection="1">
      <alignment wrapText="1"/>
      <protection/>
    </xf>
    <xf numFmtId="173" fontId="4" fillId="34" borderId="14" xfId="0" applyNumberFormat="1" applyFont="1" applyFill="1" applyBorder="1" applyAlignment="1" applyProtection="1">
      <alignment horizontal="center" wrapText="1"/>
      <protection locked="0"/>
    </xf>
    <xf numFmtId="173" fontId="17" fillId="33" borderId="0" xfId="0" applyNumberFormat="1" applyFont="1" applyFill="1" applyBorder="1" applyAlignment="1" applyProtection="1">
      <alignment/>
      <protection locked="0"/>
    </xf>
    <xf numFmtId="173" fontId="17" fillId="33" borderId="0" xfId="0" applyNumberFormat="1" applyFont="1" applyFill="1" applyAlignment="1" applyProtection="1">
      <alignment/>
      <protection locked="0"/>
    </xf>
    <xf numFmtId="173" fontId="17" fillId="0" borderId="0" xfId="0" applyNumberFormat="1" applyFont="1" applyAlignment="1" applyProtection="1">
      <alignment/>
      <protection locked="0"/>
    </xf>
    <xf numFmtId="173" fontId="5" fillId="0" borderId="0" xfId="0" applyNumberFormat="1" applyFont="1" applyAlignment="1" applyProtection="1">
      <alignment/>
      <protection locked="0"/>
    </xf>
    <xf numFmtId="173" fontId="7" fillId="0" borderId="0" xfId="0" applyNumberFormat="1" applyFont="1" applyAlignment="1" applyProtection="1">
      <alignment/>
      <protection locked="0"/>
    </xf>
    <xf numFmtId="214" fontId="4" fillId="33" borderId="0" xfId="0" applyNumberFormat="1" applyFont="1" applyFill="1" applyAlignment="1" applyProtection="1">
      <alignment/>
      <protection locked="0"/>
    </xf>
    <xf numFmtId="214" fontId="0" fillId="33" borderId="0" xfId="0" applyNumberFormat="1" applyFont="1" applyFill="1" applyBorder="1" applyAlignment="1" applyProtection="1">
      <alignment/>
      <protection locked="0"/>
    </xf>
    <xf numFmtId="214" fontId="0" fillId="33" borderId="0" xfId="0" applyNumberFormat="1" applyFont="1" applyFill="1" applyAlignment="1" quotePrefix="1">
      <alignment horizontal="left"/>
    </xf>
    <xf numFmtId="214" fontId="0" fillId="33" borderId="0" xfId="0" applyNumberFormat="1" applyFont="1" applyFill="1" applyBorder="1" applyAlignment="1" applyProtection="1">
      <alignment/>
      <protection locked="0"/>
    </xf>
    <xf numFmtId="214" fontId="0" fillId="33" borderId="0" xfId="0" applyNumberFormat="1" applyFont="1" applyFill="1" applyBorder="1" applyAlignment="1" applyProtection="1">
      <alignment/>
      <protection locked="0"/>
    </xf>
    <xf numFmtId="214" fontId="0" fillId="33" borderId="0" xfId="0" applyNumberFormat="1" applyFont="1" applyFill="1" applyBorder="1" applyAlignment="1" applyProtection="1">
      <alignment horizontal="left"/>
      <protection locked="0"/>
    </xf>
    <xf numFmtId="214" fontId="0" fillId="33" borderId="0" xfId="0" applyNumberFormat="1" applyFont="1" applyFill="1" applyBorder="1" applyAlignment="1" applyProtection="1">
      <alignment horizontal="left"/>
      <protection locked="0"/>
    </xf>
    <xf numFmtId="214" fontId="0" fillId="33" borderId="0" xfId="0" applyNumberFormat="1" applyFont="1" applyFill="1" applyAlignment="1" applyProtection="1">
      <alignment horizontal="left"/>
      <protection locked="0"/>
    </xf>
    <xf numFmtId="214" fontId="0" fillId="33" borderId="0" xfId="0" applyNumberFormat="1" applyFont="1" applyFill="1" applyAlignment="1" applyProtection="1">
      <alignment horizontal="left"/>
      <protection locked="0"/>
    </xf>
    <xf numFmtId="214" fontId="0" fillId="33" borderId="0" xfId="0" applyNumberFormat="1" applyFont="1" applyFill="1" applyBorder="1" applyAlignment="1" applyProtection="1">
      <alignment/>
      <protection locked="0"/>
    </xf>
    <xf numFmtId="214" fontId="0" fillId="33" borderId="0" xfId="0" applyNumberFormat="1" applyFont="1" applyFill="1" applyAlignment="1" applyProtection="1">
      <alignment/>
      <protection locked="0"/>
    </xf>
    <xf numFmtId="214" fontId="5" fillId="33" borderId="0" xfId="0" applyNumberFormat="1" applyFont="1" applyFill="1" applyBorder="1" applyAlignment="1" applyProtection="1">
      <alignment horizontal="left"/>
      <protection locked="0"/>
    </xf>
    <xf numFmtId="214" fontId="9" fillId="34" borderId="14" xfId="0" applyNumberFormat="1" applyFont="1" applyFill="1" applyBorder="1" applyAlignment="1" applyProtection="1">
      <alignment horizontal="center" vertical="center" wrapText="1"/>
      <protection locked="0"/>
    </xf>
    <xf numFmtId="214" fontId="8" fillId="35" borderId="14" xfId="0" applyNumberFormat="1" applyFont="1" applyFill="1" applyBorder="1" applyAlignment="1" applyProtection="1">
      <alignment horizontal="center" wrapText="1"/>
      <protection/>
    </xf>
    <xf numFmtId="214" fontId="14" fillId="33" borderId="14" xfId="0" applyNumberFormat="1" applyFont="1" applyFill="1" applyBorder="1" applyAlignment="1" applyProtection="1">
      <alignment horizontal="center" wrapText="1"/>
      <protection locked="0"/>
    </xf>
    <xf numFmtId="214" fontId="22" fillId="35" borderId="14" xfId="0" applyNumberFormat="1" applyFont="1" applyFill="1" applyBorder="1" applyAlignment="1" applyProtection="1">
      <alignment horizontal="center" wrapText="1"/>
      <protection/>
    </xf>
    <xf numFmtId="214" fontId="11" fillId="34" borderId="14" xfId="0" applyNumberFormat="1" applyFont="1" applyFill="1" applyBorder="1" applyAlignment="1" applyProtection="1">
      <alignment horizontal="center" wrapText="1"/>
      <protection locked="0"/>
    </xf>
    <xf numFmtId="214" fontId="11" fillId="0" borderId="14" xfId="0" applyNumberFormat="1" applyFont="1" applyFill="1" applyBorder="1" applyAlignment="1" applyProtection="1">
      <alignment wrapText="1"/>
      <protection/>
    </xf>
    <xf numFmtId="214" fontId="3" fillId="42" borderId="14" xfId="0" applyNumberFormat="1" applyFont="1" applyFill="1" applyBorder="1" applyAlignment="1" applyProtection="1">
      <alignment wrapText="1"/>
      <protection/>
    </xf>
    <xf numFmtId="214" fontId="4" fillId="0" borderId="14" xfId="0" applyNumberFormat="1" applyFont="1" applyFill="1" applyBorder="1" applyAlignment="1" applyProtection="1">
      <alignment wrapText="1"/>
      <protection/>
    </xf>
    <xf numFmtId="214" fontId="3" fillId="33" borderId="14" xfId="0" applyNumberFormat="1" applyFont="1" applyFill="1" applyBorder="1" applyAlignment="1" applyProtection="1">
      <alignment wrapText="1"/>
      <protection/>
    </xf>
    <xf numFmtId="214" fontId="3" fillId="34" borderId="14" xfId="0" applyNumberFormat="1" applyFont="1" applyFill="1" applyBorder="1" applyAlignment="1" applyProtection="1">
      <alignment wrapText="1"/>
      <protection/>
    </xf>
    <xf numFmtId="214" fontId="4" fillId="34" borderId="14" xfId="0" applyNumberFormat="1" applyFont="1" applyFill="1" applyBorder="1" applyAlignment="1" applyProtection="1">
      <alignment wrapText="1"/>
      <protection/>
    </xf>
    <xf numFmtId="214" fontId="20" fillId="35" borderId="14" xfId="0" applyNumberFormat="1" applyFont="1" applyFill="1" applyBorder="1" applyAlignment="1" applyProtection="1">
      <alignment wrapText="1"/>
      <protection/>
    </xf>
    <xf numFmtId="214" fontId="3" fillId="0" borderId="14" xfId="0" applyNumberFormat="1" applyFont="1" applyBorder="1" applyAlignment="1" applyProtection="1">
      <alignment wrapText="1"/>
      <protection/>
    </xf>
    <xf numFmtId="214" fontId="21" fillId="35" borderId="14" xfId="0" applyNumberFormat="1" applyFont="1" applyFill="1" applyBorder="1" applyAlignment="1" applyProtection="1">
      <alignment horizontal="center" wrapText="1"/>
      <protection/>
    </xf>
    <xf numFmtId="214" fontId="4" fillId="34" borderId="14" xfId="0" applyNumberFormat="1" applyFont="1" applyFill="1" applyBorder="1" applyAlignment="1" applyProtection="1">
      <alignment horizontal="center" wrapText="1"/>
      <protection/>
    </xf>
    <xf numFmtId="214" fontId="3" fillId="35" borderId="14" xfId="0" applyNumberFormat="1" applyFont="1" applyFill="1" applyBorder="1" applyAlignment="1" applyProtection="1">
      <alignment wrapText="1"/>
      <protection/>
    </xf>
    <xf numFmtId="214" fontId="4" fillId="34" borderId="14" xfId="0" applyNumberFormat="1" applyFont="1" applyFill="1" applyBorder="1" applyAlignment="1" applyProtection="1">
      <alignment horizontal="center" wrapText="1"/>
      <protection locked="0"/>
    </xf>
    <xf numFmtId="214" fontId="17" fillId="33" borderId="0" xfId="0" applyNumberFormat="1" applyFont="1" applyFill="1" applyBorder="1" applyAlignment="1" applyProtection="1">
      <alignment/>
      <protection locked="0"/>
    </xf>
    <xf numFmtId="214" fontId="17" fillId="0" borderId="0" xfId="0" applyNumberFormat="1" applyFont="1" applyAlignment="1" applyProtection="1">
      <alignment/>
      <protection locked="0"/>
    </xf>
    <xf numFmtId="214" fontId="5" fillId="0" borderId="0" xfId="0" applyNumberFormat="1" applyFont="1" applyAlignment="1" applyProtection="1">
      <alignment/>
      <protection locked="0"/>
    </xf>
    <xf numFmtId="214" fontId="7" fillId="0" borderId="0" xfId="0" applyNumberFormat="1" applyFont="1" applyAlignment="1" applyProtection="1">
      <alignment/>
      <protection locked="0"/>
    </xf>
    <xf numFmtId="181" fontId="0" fillId="33" borderId="0" xfId="0" applyNumberFormat="1" applyFont="1" applyFill="1" applyAlignment="1" applyProtection="1">
      <alignment/>
      <protection locked="0"/>
    </xf>
    <xf numFmtId="181" fontId="0" fillId="33" borderId="0" xfId="0" applyNumberFormat="1" applyFont="1" applyFill="1" applyBorder="1" applyAlignment="1" applyProtection="1">
      <alignment/>
      <protection locked="0"/>
    </xf>
    <xf numFmtId="0" fontId="99" fillId="37" borderId="0" xfId="0" applyFont="1" applyFill="1" applyAlignment="1" applyProtection="1">
      <alignment horizontal="left"/>
      <protection locked="0"/>
    </xf>
    <xf numFmtId="0" fontId="2" fillId="33" borderId="0" xfId="0" applyFont="1" applyFill="1" applyAlignment="1" applyProtection="1">
      <alignment/>
      <protection locked="0"/>
    </xf>
    <xf numFmtId="196" fontId="2" fillId="33" borderId="0" xfId="0" applyNumberFormat="1" applyFont="1" applyFill="1" applyAlignment="1" applyProtection="1">
      <alignment/>
      <protection locked="0"/>
    </xf>
    <xf numFmtId="0" fontId="0" fillId="0" borderId="0" xfId="0" applyFont="1" applyAlignment="1" applyProtection="1">
      <alignment/>
      <protection locked="0"/>
    </xf>
    <xf numFmtId="0" fontId="2" fillId="0" borderId="0" xfId="0" applyFont="1" applyAlignment="1" applyProtection="1">
      <alignment/>
      <protection locked="0"/>
    </xf>
    <xf numFmtId="0" fontId="99" fillId="0" borderId="0" xfId="0" applyFont="1" applyAlignment="1" applyProtection="1">
      <alignment/>
      <protection locked="0"/>
    </xf>
    <xf numFmtId="181" fontId="0" fillId="0" borderId="0" xfId="0" applyNumberFormat="1" applyFont="1" applyAlignment="1" applyProtection="1">
      <alignment/>
      <protection locked="0"/>
    </xf>
    <xf numFmtId="0" fontId="26" fillId="0" borderId="0" xfId="0" applyFont="1" applyAlignment="1" applyProtection="1">
      <alignment/>
      <protection locked="0"/>
    </xf>
    <xf numFmtId="0" fontId="26" fillId="0" borderId="0" xfId="0" applyFont="1" applyFill="1" applyAlignment="1" applyProtection="1">
      <alignment/>
      <protection locked="0"/>
    </xf>
    <xf numFmtId="175" fontId="26" fillId="42" borderId="14" xfId="0" applyNumberFormat="1" applyFont="1" applyFill="1" applyBorder="1" applyAlignment="1" applyProtection="1">
      <alignment horizontal="right" wrapText="1"/>
      <protection locked="0"/>
    </xf>
    <xf numFmtId="181" fontId="0" fillId="33" borderId="0" xfId="0" applyNumberFormat="1" applyFont="1" applyFill="1" applyAlignment="1" applyProtection="1" quotePrefix="1">
      <alignment/>
      <protection locked="0"/>
    </xf>
    <xf numFmtId="181" fontId="27" fillId="0" borderId="0" xfId="0" applyNumberFormat="1" applyFont="1" applyFill="1" applyAlignment="1" applyProtection="1">
      <alignment/>
      <protection locked="0"/>
    </xf>
    <xf numFmtId="0" fontId="0" fillId="0" borderId="0" xfId="0" applyFont="1" applyFill="1" applyAlignment="1" applyProtection="1">
      <alignment/>
      <protection locked="0"/>
    </xf>
    <xf numFmtId="181" fontId="0" fillId="0" borderId="0" xfId="0" applyNumberFormat="1" applyFont="1" applyFill="1" applyAlignment="1" applyProtection="1">
      <alignment/>
      <protection locked="0"/>
    </xf>
    <xf numFmtId="0" fontId="56" fillId="0" borderId="14" xfId="0" applyFont="1" applyFill="1" applyBorder="1" applyAlignment="1">
      <alignment horizontal="center" vertical="center" wrapText="1"/>
    </xf>
    <xf numFmtId="0" fontId="56" fillId="0" borderId="14" xfId="0" applyFont="1" applyFill="1" applyBorder="1" applyAlignment="1">
      <alignment horizontal="center" vertical="top" wrapText="1"/>
    </xf>
    <xf numFmtId="9" fontId="56" fillId="0" borderId="14" xfId="62" applyFont="1" applyFill="1" applyBorder="1" applyAlignment="1">
      <alignment horizontal="left" vertical="top" wrapText="1"/>
    </xf>
    <xf numFmtId="0" fontId="56" fillId="47" borderId="14" xfId="0" applyFont="1" applyFill="1" applyBorder="1" applyAlignment="1">
      <alignment horizontal="center" vertical="center" wrapText="1"/>
    </xf>
    <xf numFmtId="0" fontId="56" fillId="47" borderId="14" xfId="0" applyFont="1" applyFill="1" applyBorder="1" applyAlignment="1">
      <alignment horizontal="center" wrapText="1"/>
    </xf>
    <xf numFmtId="9" fontId="57" fillId="0" borderId="14" xfId="62" applyFont="1" applyFill="1" applyBorder="1" applyAlignment="1">
      <alignment horizontal="left" vertical="top" wrapText="1"/>
    </xf>
    <xf numFmtId="0" fontId="58" fillId="48" borderId="14" xfId="0" applyFont="1" applyFill="1" applyBorder="1" applyAlignment="1">
      <alignment horizontal="left" vertical="center"/>
    </xf>
    <xf numFmtId="0" fontId="57" fillId="49" borderId="14" xfId="0" applyFont="1" applyFill="1" applyBorder="1" applyAlignment="1">
      <alignment vertical="top" wrapText="1"/>
    </xf>
    <xf numFmtId="0" fontId="10" fillId="33" borderId="0" xfId="0" applyFont="1" applyFill="1" applyAlignment="1" applyProtection="1">
      <alignment/>
      <protection locked="0"/>
    </xf>
    <xf numFmtId="9" fontId="0" fillId="50" borderId="14" xfId="62" applyFont="1" applyFill="1" applyBorder="1" applyAlignment="1" applyProtection="1">
      <alignment wrapText="1" shrinkToFit="1"/>
      <protection locked="0"/>
    </xf>
    <xf numFmtId="0" fontId="0" fillId="0" borderId="14" xfId="0" applyFont="1" applyBorder="1" applyAlignment="1" applyProtection="1">
      <alignment wrapText="1" shrinkToFit="1"/>
      <protection locked="0"/>
    </xf>
    <xf numFmtId="9" fontId="0" fillId="51" borderId="14" xfId="62" applyFont="1" applyFill="1" applyBorder="1" applyAlignment="1" applyProtection="1">
      <alignment wrapText="1" shrinkToFit="1"/>
      <protection locked="0"/>
    </xf>
    <xf numFmtId="0" fontId="58" fillId="4" borderId="14" xfId="0" applyFont="1" applyFill="1" applyBorder="1" applyAlignment="1">
      <alignment vertical="center"/>
    </xf>
    <xf numFmtId="0" fontId="58" fillId="25" borderId="14" xfId="0" applyFont="1" applyFill="1" applyBorder="1" applyAlignment="1">
      <alignment horizontal="right" vertical="center"/>
    </xf>
    <xf numFmtId="0" fontId="57" fillId="0" borderId="14" xfId="0" applyFont="1" applyBorder="1" applyAlignment="1">
      <alignment/>
    </xf>
    <xf numFmtId="0" fontId="58" fillId="25" borderId="14" xfId="0" applyFont="1" applyFill="1" applyBorder="1" applyAlignment="1">
      <alignment vertical="center"/>
    </xf>
    <xf numFmtId="0" fontId="58" fillId="48" borderId="14" xfId="0" applyFont="1" applyFill="1" applyBorder="1" applyAlignment="1">
      <alignment vertical="center"/>
    </xf>
    <xf numFmtId="0" fontId="58" fillId="49" borderId="14" xfId="0" applyFont="1" applyFill="1" applyBorder="1" applyAlignment="1">
      <alignment/>
    </xf>
    <xf numFmtId="0" fontId="58" fillId="52" borderId="15" xfId="0" applyFont="1" applyFill="1" applyBorder="1" applyAlignment="1" quotePrefix="1">
      <alignment/>
    </xf>
    <xf numFmtId="0" fontId="58" fillId="0" borderId="15" xfId="0" applyFont="1" applyBorder="1" applyAlignment="1">
      <alignment/>
    </xf>
    <xf numFmtId="0" fontId="57" fillId="0" borderId="17" xfId="0" applyFont="1" applyBorder="1" applyAlignment="1">
      <alignment/>
    </xf>
    <xf numFmtId="0" fontId="58" fillId="49" borderId="18" xfId="0" applyFont="1" applyFill="1" applyBorder="1" applyAlignment="1">
      <alignment vertical="center"/>
    </xf>
    <xf numFmtId="0" fontId="58" fillId="49" borderId="18" xfId="0" applyFont="1" applyFill="1" applyBorder="1" applyAlignment="1">
      <alignment horizontal="left" vertical="center"/>
    </xf>
    <xf numFmtId="0" fontId="100" fillId="53" borderId="19" xfId="57" applyNumberFormat="1" applyFont="1" applyFill="1" applyBorder="1" applyAlignment="1">
      <alignment horizontal="center" vertical="center" wrapText="1"/>
      <protection/>
    </xf>
    <xf numFmtId="0" fontId="100" fillId="53" borderId="20" xfId="57" applyNumberFormat="1" applyFont="1" applyFill="1" applyBorder="1" applyAlignment="1">
      <alignment horizontal="center" vertical="center" wrapText="1"/>
      <protection/>
    </xf>
    <xf numFmtId="0" fontId="100" fillId="53" borderId="21" xfId="57" applyNumberFormat="1" applyFont="1" applyFill="1" applyBorder="1" applyAlignment="1">
      <alignment horizontal="center" vertical="center" wrapText="1"/>
      <protection/>
    </xf>
    <xf numFmtId="0" fontId="100" fillId="53" borderId="22" xfId="57" applyNumberFormat="1" applyFont="1" applyFill="1" applyBorder="1" applyAlignment="1">
      <alignment horizontal="center" vertical="center" wrapText="1"/>
      <protection/>
    </xf>
    <xf numFmtId="204" fontId="13" fillId="50" borderId="21" xfId="0" applyNumberFormat="1" applyFont="1" applyFill="1" applyBorder="1" applyAlignment="1" applyProtection="1">
      <alignment horizontal="center" wrapText="1"/>
      <protection/>
    </xf>
    <xf numFmtId="0" fontId="13" fillId="35" borderId="21" xfId="0" applyFont="1" applyFill="1" applyBorder="1" applyAlignment="1" applyProtection="1">
      <alignment wrapText="1"/>
      <protection locked="0"/>
    </xf>
    <xf numFmtId="181" fontId="13" fillId="35" borderId="21" xfId="0" applyNumberFormat="1" applyFont="1" applyFill="1" applyBorder="1" applyAlignment="1" applyProtection="1">
      <alignment horizontal="center" wrapText="1"/>
      <protection/>
    </xf>
    <xf numFmtId="204" fontId="13" fillId="35" borderId="21" xfId="0" applyNumberFormat="1" applyFont="1" applyFill="1" applyBorder="1" applyAlignment="1" applyProtection="1">
      <alignment horizontal="center" wrapText="1"/>
      <protection/>
    </xf>
    <xf numFmtId="0" fontId="2" fillId="50" borderId="21" xfId="0" applyFont="1" applyFill="1" applyBorder="1" applyAlignment="1" applyProtection="1">
      <alignment wrapText="1"/>
      <protection locked="0"/>
    </xf>
    <xf numFmtId="0" fontId="2" fillId="33" borderId="21" xfId="0" applyFont="1" applyFill="1" applyBorder="1" applyAlignment="1" applyProtection="1">
      <alignment wrapText="1"/>
      <protection locked="0"/>
    </xf>
    <xf numFmtId="0" fontId="9" fillId="25" borderId="23" xfId="0" applyFont="1" applyFill="1" applyBorder="1" applyAlignment="1">
      <alignment wrapText="1"/>
    </xf>
    <xf numFmtId="0" fontId="0" fillId="50" borderId="23" xfId="0" applyFont="1" applyFill="1" applyBorder="1" applyAlignment="1" applyProtection="1">
      <alignment wrapText="1" shrinkToFit="1"/>
      <protection locked="0"/>
    </xf>
    <xf numFmtId="0" fontId="0" fillId="0" borderId="23" xfId="0" applyFont="1" applyBorder="1" applyAlignment="1" applyProtection="1">
      <alignment wrapText="1" shrinkToFit="1"/>
      <protection locked="0"/>
    </xf>
    <xf numFmtId="204" fontId="2" fillId="50" borderId="19" xfId="0" applyNumberFormat="1" applyFont="1" applyFill="1" applyBorder="1" applyAlignment="1" applyProtection="1">
      <alignment horizontal="center" vertical="center" wrapText="1"/>
      <protection locked="0"/>
    </xf>
    <xf numFmtId="0" fontId="2" fillId="34" borderId="19" xfId="0" applyFont="1" applyFill="1" applyBorder="1" applyAlignment="1" applyProtection="1">
      <alignment wrapText="1"/>
      <protection locked="0"/>
    </xf>
    <xf numFmtId="181" fontId="2" fillId="34" borderId="19" xfId="0" applyNumberFormat="1" applyFont="1" applyFill="1" applyBorder="1" applyAlignment="1" applyProtection="1">
      <alignment horizontal="center" vertical="center" wrapText="1"/>
      <protection locked="0"/>
    </xf>
    <xf numFmtId="204" fontId="2" fillId="34" borderId="19" xfId="0" applyNumberFormat="1" applyFont="1" applyFill="1" applyBorder="1" applyAlignment="1" applyProtection="1">
      <alignment horizontal="center" vertical="center" wrapText="1"/>
      <protection locked="0"/>
    </xf>
    <xf numFmtId="0" fontId="9" fillId="25" borderId="24" xfId="0" applyFont="1" applyFill="1" applyBorder="1" applyAlignment="1">
      <alignment wrapText="1"/>
    </xf>
    <xf numFmtId="0" fontId="0" fillId="50" borderId="24" xfId="0" applyFont="1" applyFill="1" applyBorder="1" applyAlignment="1" applyProtection="1">
      <alignment wrapText="1" shrinkToFit="1"/>
      <protection locked="0"/>
    </xf>
    <xf numFmtId="0" fontId="0" fillId="0" borderId="24" xfId="0" applyFont="1" applyBorder="1" applyAlignment="1" applyProtection="1">
      <alignment wrapText="1" shrinkToFit="1"/>
      <protection locked="0"/>
    </xf>
    <xf numFmtId="0" fontId="58" fillId="52" borderId="15" xfId="0" applyFont="1" applyFill="1" applyBorder="1" applyAlignment="1" quotePrefix="1">
      <alignment horizontal="left"/>
    </xf>
    <xf numFmtId="9" fontId="58" fillId="49" borderId="18" xfId="62" applyFont="1" applyFill="1" applyBorder="1" applyAlignment="1">
      <alignment/>
    </xf>
    <xf numFmtId="222" fontId="26" fillId="0" borderId="14" xfId="0" applyNumberFormat="1" applyFont="1" applyFill="1" applyBorder="1" applyAlignment="1" applyProtection="1">
      <alignment horizontal="right" wrapText="1"/>
      <protection locked="0"/>
    </xf>
    <xf numFmtId="222" fontId="28" fillId="42" borderId="14" xfId="0" applyNumberFormat="1" applyFont="1" applyFill="1" applyBorder="1" applyAlignment="1" applyProtection="1">
      <alignment horizontal="right" wrapText="1"/>
      <protection locked="0"/>
    </xf>
    <xf numFmtId="222" fontId="26" fillId="42" borderId="14" xfId="0" applyNumberFormat="1" applyFont="1" applyFill="1" applyBorder="1" applyAlignment="1" applyProtection="1">
      <alignment horizontal="right" wrapText="1"/>
      <protection locked="0"/>
    </xf>
    <xf numFmtId="222" fontId="0" fillId="0" borderId="0" xfId="42" applyNumberFormat="1" applyFont="1" applyAlignment="1" applyProtection="1">
      <alignment/>
      <protection locked="0"/>
    </xf>
    <xf numFmtId="222" fontId="27" fillId="0" borderId="0" xfId="42" applyNumberFormat="1" applyFont="1" applyFill="1" applyAlignment="1" applyProtection="1">
      <alignment/>
      <protection locked="0"/>
    </xf>
    <xf numFmtId="222" fontId="0" fillId="33" borderId="0" xfId="42" applyNumberFormat="1" applyFont="1" applyFill="1" applyAlignment="1" applyProtection="1">
      <alignment/>
      <protection locked="0"/>
    </xf>
    <xf numFmtId="222" fontId="2" fillId="50" borderId="25" xfId="42" applyNumberFormat="1" applyFont="1" applyFill="1" applyBorder="1" applyAlignment="1" applyProtection="1">
      <alignment wrapText="1"/>
      <protection locked="0"/>
    </xf>
    <xf numFmtId="222" fontId="2" fillId="50" borderId="21" xfId="42" applyNumberFormat="1" applyFont="1" applyFill="1" applyBorder="1" applyAlignment="1" applyProtection="1">
      <alignment wrapText="1"/>
      <protection locked="0"/>
    </xf>
    <xf numFmtId="222" fontId="2" fillId="50" borderId="26" xfId="42" applyNumberFormat="1" applyFont="1" applyFill="1" applyBorder="1" applyAlignment="1" applyProtection="1">
      <alignment wrapText="1"/>
      <protection locked="0"/>
    </xf>
    <xf numFmtId="222" fontId="2" fillId="50" borderId="19" xfId="42" applyNumberFormat="1" applyFont="1" applyFill="1" applyBorder="1" applyAlignment="1" applyProtection="1">
      <alignment wrapText="1"/>
      <protection locked="0"/>
    </xf>
    <xf numFmtId="222" fontId="13" fillId="50" borderId="25" xfId="42" applyNumberFormat="1" applyFont="1" applyFill="1" applyBorder="1" applyAlignment="1" applyProtection="1">
      <alignment wrapText="1"/>
      <protection locked="0"/>
    </xf>
    <xf numFmtId="222" fontId="13" fillId="50" borderId="21" xfId="42" applyNumberFormat="1" applyFont="1" applyFill="1" applyBorder="1" applyAlignment="1" applyProtection="1">
      <alignment horizontal="center" wrapText="1"/>
      <protection/>
    </xf>
    <xf numFmtId="222" fontId="0" fillId="50" borderId="24" xfId="42" applyNumberFormat="1" applyFont="1" applyFill="1" applyBorder="1" applyAlignment="1" applyProtection="1">
      <alignment wrapText="1" shrinkToFit="1"/>
      <protection locked="0"/>
    </xf>
    <xf numFmtId="222" fontId="0" fillId="50" borderId="23" xfId="42" applyNumberFormat="1" applyFont="1" applyFill="1" applyBorder="1" applyAlignment="1" applyProtection="1">
      <alignment wrapText="1" shrinkToFit="1"/>
      <protection locked="0"/>
    </xf>
    <xf numFmtId="222" fontId="0" fillId="50" borderId="14" xfId="42" applyNumberFormat="1" applyFont="1" applyFill="1" applyBorder="1" applyAlignment="1" applyProtection="1">
      <alignment wrapText="1" shrinkToFit="1"/>
      <protection locked="0"/>
    </xf>
    <xf numFmtId="222" fontId="0" fillId="0" borderId="0" xfId="0" applyNumberFormat="1" applyFont="1" applyAlignment="1" applyProtection="1">
      <alignment/>
      <protection locked="0"/>
    </xf>
    <xf numFmtId="222" fontId="0" fillId="0" borderId="0" xfId="0" applyNumberFormat="1" applyFont="1" applyFill="1" applyAlignment="1" applyProtection="1">
      <alignment/>
      <protection locked="0"/>
    </xf>
    <xf numFmtId="222" fontId="0" fillId="33" borderId="0" xfId="0" applyNumberFormat="1" applyFont="1" applyFill="1" applyAlignment="1" applyProtection="1">
      <alignment/>
      <protection locked="0"/>
    </xf>
    <xf numFmtId="222" fontId="2" fillId="51" borderId="21" xfId="0" applyNumberFormat="1" applyFont="1" applyFill="1" applyBorder="1" applyAlignment="1" applyProtection="1">
      <alignment wrapText="1"/>
      <protection locked="0"/>
    </xf>
    <xf numFmtId="222" fontId="2" fillId="51" borderId="19" xfId="42" applyNumberFormat="1" applyFont="1" applyFill="1" applyBorder="1" applyAlignment="1" applyProtection="1">
      <alignment wrapText="1"/>
      <protection locked="0"/>
    </xf>
    <xf numFmtId="222" fontId="13" fillId="51" borderId="21" xfId="42" applyNumberFormat="1" applyFont="1" applyFill="1" applyBorder="1" applyAlignment="1" applyProtection="1">
      <alignment wrapText="1"/>
      <protection locked="0"/>
    </xf>
    <xf numFmtId="222" fontId="13" fillId="51" borderId="21" xfId="42" applyNumberFormat="1" applyFont="1" applyFill="1" applyBorder="1" applyAlignment="1" applyProtection="1">
      <alignment horizontal="center" wrapText="1"/>
      <protection/>
    </xf>
    <xf numFmtId="222" fontId="0" fillId="51" borderId="24" xfId="42" applyNumberFormat="1" applyFont="1" applyFill="1" applyBorder="1" applyAlignment="1" applyProtection="1">
      <alignment wrapText="1" shrinkToFit="1"/>
      <protection locked="0"/>
    </xf>
    <xf numFmtId="222" fontId="0" fillId="51" borderId="23" xfId="42" applyNumberFormat="1" applyFont="1" applyFill="1" applyBorder="1" applyAlignment="1" applyProtection="1">
      <alignment wrapText="1" shrinkToFit="1"/>
      <protection locked="0"/>
    </xf>
    <xf numFmtId="222" fontId="0" fillId="51" borderId="14" xfId="42" applyNumberFormat="1" applyFont="1" applyFill="1" applyBorder="1" applyAlignment="1" applyProtection="1">
      <alignment wrapText="1" shrinkToFit="1"/>
      <protection locked="0"/>
    </xf>
    <xf numFmtId="222" fontId="56" fillId="0" borderId="14" xfId="42" applyNumberFormat="1" applyFont="1" applyFill="1" applyBorder="1" applyAlignment="1">
      <alignment vertical="center"/>
    </xf>
    <xf numFmtId="9" fontId="59" fillId="4" borderId="14" xfId="62" applyFont="1" applyFill="1" applyBorder="1" applyAlignment="1">
      <alignment/>
    </xf>
    <xf numFmtId="9" fontId="59" fillId="25" borderId="14" xfId="62" applyFont="1" applyFill="1" applyBorder="1" applyAlignment="1">
      <alignment/>
    </xf>
    <xf numFmtId="9" fontId="58" fillId="48" borderId="14" xfId="62" applyFont="1" applyFill="1" applyBorder="1" applyAlignment="1">
      <alignment horizontal="center" vertical="center" wrapText="1"/>
    </xf>
    <xf numFmtId="0" fontId="101" fillId="47" borderId="0" xfId="0" applyFont="1" applyFill="1" applyBorder="1" applyAlignment="1">
      <alignment/>
    </xf>
    <xf numFmtId="0" fontId="101" fillId="47" borderId="0" xfId="0" applyFont="1" applyFill="1" applyAlignment="1">
      <alignment/>
    </xf>
    <xf numFmtId="0" fontId="31" fillId="17" borderId="27" xfId="0" applyFont="1" applyFill="1" applyBorder="1" applyAlignment="1">
      <alignment vertical="center" wrapText="1"/>
    </xf>
    <xf numFmtId="0" fontId="61" fillId="17" borderId="28" xfId="0" applyFont="1" applyFill="1" applyBorder="1" applyAlignment="1">
      <alignment vertical="center"/>
    </xf>
    <xf numFmtId="0" fontId="58" fillId="17" borderId="28" xfId="0" applyFont="1" applyFill="1" applyBorder="1" applyAlignment="1">
      <alignment vertical="center"/>
    </xf>
    <xf numFmtId="224" fontId="102" fillId="53" borderId="28" xfId="57" applyNumberFormat="1" applyFont="1" applyFill="1" applyBorder="1" applyAlignment="1">
      <alignment horizontal="center" vertical="center" wrapText="1"/>
      <protection/>
    </xf>
    <xf numFmtId="224" fontId="102" fillId="53" borderId="28" xfId="0" applyNumberFormat="1" applyFont="1" applyFill="1" applyBorder="1" applyAlignment="1">
      <alignment horizontal="center" vertical="center" wrapText="1"/>
    </xf>
    <xf numFmtId="0" fontId="102" fillId="53" borderId="29" xfId="0" applyFont="1" applyFill="1" applyBorder="1" applyAlignment="1">
      <alignment horizontal="center"/>
    </xf>
    <xf numFmtId="0" fontId="102" fillId="53" borderId="24" xfId="0" applyFont="1" applyFill="1" applyBorder="1" applyAlignment="1">
      <alignment horizontal="center" vertical="center"/>
    </xf>
    <xf numFmtId="9" fontId="103" fillId="53" borderId="30" xfId="62" applyFont="1" applyFill="1" applyBorder="1" applyAlignment="1">
      <alignment horizontal="left" vertical="center" wrapText="1"/>
    </xf>
    <xf numFmtId="0" fontId="104" fillId="53" borderId="24" xfId="0" applyFont="1" applyFill="1" applyBorder="1" applyAlignment="1">
      <alignment horizontal="center" vertical="center" wrapText="1"/>
    </xf>
    <xf numFmtId="0" fontId="102" fillId="53" borderId="24" xfId="0" applyFont="1" applyFill="1" applyBorder="1" applyAlignment="1">
      <alignment horizontal="center" vertical="center" wrapText="1"/>
    </xf>
    <xf numFmtId="224" fontId="102" fillId="53" borderId="24" xfId="57" applyNumberFormat="1" applyFont="1" applyFill="1" applyBorder="1" applyAlignment="1">
      <alignment horizontal="center" vertical="center" wrapText="1"/>
      <protection/>
    </xf>
    <xf numFmtId="224" fontId="102" fillId="53" borderId="24" xfId="0" applyNumberFormat="1" applyFont="1" applyFill="1" applyBorder="1" applyAlignment="1">
      <alignment horizontal="center" vertical="center" wrapText="1"/>
    </xf>
    <xf numFmtId="0" fontId="102" fillId="53" borderId="29" xfId="0" applyFont="1" applyFill="1" applyBorder="1" applyAlignment="1">
      <alignment horizontal="center" vertical="center"/>
    </xf>
    <xf numFmtId="0" fontId="61" fillId="53" borderId="24" xfId="0" applyFont="1" applyFill="1" applyBorder="1" applyAlignment="1">
      <alignment horizontal="center" vertical="center" wrapText="1"/>
    </xf>
    <xf numFmtId="224" fontId="58" fillId="25" borderId="24" xfId="0" applyNumberFormat="1" applyFont="1" applyFill="1" applyBorder="1" applyAlignment="1">
      <alignment wrapText="1"/>
    </xf>
    <xf numFmtId="0" fontId="101" fillId="0" borderId="29" xfId="0" applyFont="1" applyBorder="1" applyAlignment="1">
      <alignment/>
    </xf>
    <xf numFmtId="0" fontId="93" fillId="47" borderId="24" xfId="0" applyFont="1" applyFill="1" applyBorder="1" applyAlignment="1">
      <alignment horizontal="center" vertical="center"/>
    </xf>
    <xf numFmtId="0" fontId="105" fillId="54" borderId="31" xfId="0" applyFont="1" applyFill="1" applyBorder="1" applyAlignment="1">
      <alignment vertical="center" wrapText="1"/>
    </xf>
    <xf numFmtId="0" fontId="106" fillId="54" borderId="31" xfId="0" applyFont="1" applyFill="1" applyBorder="1" applyAlignment="1">
      <alignment vertical="center"/>
    </xf>
    <xf numFmtId="0" fontId="107" fillId="54" borderId="31" xfId="0" applyFont="1" applyFill="1" applyBorder="1" applyAlignment="1">
      <alignment vertical="center"/>
    </xf>
    <xf numFmtId="0" fontId="58" fillId="52" borderId="26" xfId="0" applyFont="1" applyFill="1" applyBorder="1" applyAlignment="1" quotePrefix="1">
      <alignment vertical="top"/>
    </xf>
    <xf numFmtId="0" fontId="30" fillId="47" borderId="19" xfId="0" applyFont="1" applyFill="1" applyBorder="1" applyAlignment="1">
      <alignment vertical="center" wrapText="1"/>
    </xf>
    <xf numFmtId="0" fontId="56" fillId="0" borderId="19" xfId="0" applyFont="1" applyFill="1" applyBorder="1" applyAlignment="1">
      <alignment horizontal="left" vertical="center" wrapText="1"/>
    </xf>
    <xf numFmtId="0" fontId="56" fillId="0" borderId="19" xfId="0" applyFont="1" applyFill="1" applyBorder="1" applyAlignment="1">
      <alignment horizontal="center" vertical="top" wrapText="1"/>
    </xf>
    <xf numFmtId="0" fontId="57" fillId="0" borderId="19" xfId="0" applyFont="1" applyFill="1" applyBorder="1" applyAlignment="1">
      <alignment horizontal="left" vertical="top" wrapText="1"/>
    </xf>
    <xf numFmtId="1" fontId="57" fillId="0" borderId="19" xfId="0" applyNumberFormat="1" applyFont="1" applyFill="1" applyBorder="1" applyAlignment="1">
      <alignment horizontal="left" vertical="top" wrapText="1"/>
    </xf>
    <xf numFmtId="224" fontId="57" fillId="0" borderId="19" xfId="42" applyNumberFormat="1" applyFont="1" applyFill="1" applyBorder="1" applyAlignment="1">
      <alignment vertical="top"/>
    </xf>
    <xf numFmtId="224" fontId="57" fillId="0" borderId="19" xfId="0" applyNumberFormat="1" applyFont="1" applyFill="1" applyBorder="1" applyAlignment="1">
      <alignment horizontal="left" vertical="top" wrapText="1"/>
    </xf>
    <xf numFmtId="0" fontId="58" fillId="54" borderId="15" xfId="0" applyFont="1" applyFill="1" applyBorder="1" applyAlignment="1" quotePrefix="1">
      <alignment/>
    </xf>
    <xf numFmtId="9" fontId="32" fillId="23" borderId="14" xfId="62" applyFont="1" applyFill="1" applyBorder="1" applyAlignment="1">
      <alignment horizontal="left" vertical="center" wrapText="1"/>
    </xf>
    <xf numFmtId="0" fontId="57" fillId="0" borderId="14" xfId="0" applyFont="1" applyBorder="1" applyAlignment="1">
      <alignment horizontal="left" wrapText="1"/>
    </xf>
    <xf numFmtId="1" fontId="57" fillId="0" borderId="14" xfId="0" applyNumberFormat="1" applyFont="1" applyBorder="1" applyAlignment="1">
      <alignment horizontal="left" wrapText="1"/>
    </xf>
    <xf numFmtId="224" fontId="57" fillId="0" borderId="14" xfId="42" applyNumberFormat="1" applyFont="1" applyFill="1" applyBorder="1" applyAlignment="1">
      <alignment/>
    </xf>
    <xf numFmtId="224" fontId="57" fillId="0" borderId="14" xfId="0" applyNumberFormat="1" applyFont="1" applyBorder="1" applyAlignment="1">
      <alignment horizontal="left" wrapText="1"/>
    </xf>
    <xf numFmtId="224" fontId="57" fillId="0" borderId="14" xfId="42" applyNumberFormat="1" applyFont="1" applyFill="1" applyBorder="1" applyAlignment="1">
      <alignment vertical="top"/>
    </xf>
    <xf numFmtId="9" fontId="31" fillId="0" borderId="14" xfId="62" applyFont="1" applyFill="1" applyBorder="1" applyAlignment="1">
      <alignment horizontal="left" vertical="center" wrapText="1"/>
    </xf>
    <xf numFmtId="9" fontId="32" fillId="0" borderId="14" xfId="62" applyFont="1" applyFill="1" applyBorder="1" applyAlignment="1">
      <alignment horizontal="left" vertical="center" wrapText="1"/>
    </xf>
    <xf numFmtId="0" fontId="57" fillId="0" borderId="14" xfId="0" applyFont="1" applyBorder="1" applyAlignment="1">
      <alignment horizontal="left" vertical="center" wrapText="1"/>
    </xf>
    <xf numFmtId="1" fontId="57" fillId="0" borderId="14" xfId="0" applyNumberFormat="1" applyFont="1" applyBorder="1" applyAlignment="1">
      <alignment horizontal="left" vertical="center" wrapText="1"/>
    </xf>
    <xf numFmtId="224" fontId="57" fillId="0" borderId="14" xfId="42" applyNumberFormat="1" applyFont="1" applyFill="1" applyBorder="1" applyAlignment="1">
      <alignment vertical="center"/>
    </xf>
    <xf numFmtId="224" fontId="57" fillId="0" borderId="14" xfId="0" applyNumberFormat="1" applyFont="1" applyBorder="1" applyAlignment="1">
      <alignment horizontal="left" vertical="center" wrapText="1"/>
    </xf>
    <xf numFmtId="0" fontId="108" fillId="52" borderId="15" xfId="0" applyFont="1" applyFill="1" applyBorder="1" applyAlignment="1" quotePrefix="1">
      <alignment vertical="center"/>
    </xf>
    <xf numFmtId="9" fontId="33" fillId="0" borderId="14" xfId="62" applyFont="1" applyFill="1" applyBorder="1" applyAlignment="1">
      <alignment horizontal="left" vertical="center" wrapText="1"/>
    </xf>
    <xf numFmtId="0" fontId="109" fillId="0" borderId="19" xfId="0" applyFont="1" applyFill="1" applyBorder="1" applyAlignment="1">
      <alignment horizontal="left" vertical="center" wrapText="1"/>
    </xf>
    <xf numFmtId="0" fontId="109" fillId="47" borderId="14" xfId="0" applyFont="1" applyFill="1" applyBorder="1" applyAlignment="1">
      <alignment horizontal="center" vertical="center" wrapText="1"/>
    </xf>
    <xf numFmtId="0" fontId="109" fillId="0" borderId="14" xfId="0" applyFont="1" applyBorder="1" applyAlignment="1">
      <alignment horizontal="left" vertical="center" wrapText="1"/>
    </xf>
    <xf numFmtId="1" fontId="109" fillId="0" borderId="14" xfId="0" applyNumberFormat="1" applyFont="1" applyBorder="1" applyAlignment="1">
      <alignment horizontal="left" vertical="center" wrapText="1"/>
    </xf>
    <xf numFmtId="224" fontId="109" fillId="0" borderId="14" xfId="42" applyNumberFormat="1" applyFont="1" applyFill="1" applyBorder="1" applyAlignment="1">
      <alignment vertical="center"/>
    </xf>
    <xf numFmtId="224" fontId="109" fillId="0" borderId="14" xfId="0" applyNumberFormat="1" applyFont="1" applyBorder="1" applyAlignment="1">
      <alignment horizontal="left" vertical="center" wrapText="1"/>
    </xf>
    <xf numFmtId="224" fontId="57" fillId="0" borderId="14" xfId="42" applyNumberFormat="1" applyFont="1" applyBorder="1" applyAlignment="1">
      <alignment horizontal="right" vertical="center" wrapText="1"/>
    </xf>
    <xf numFmtId="9" fontId="110" fillId="0" borderId="14" xfId="62" applyFont="1" applyFill="1" applyBorder="1" applyAlignment="1">
      <alignment horizontal="left" vertical="center" wrapText="1"/>
    </xf>
    <xf numFmtId="0" fontId="59" fillId="44" borderId="15" xfId="0" applyFont="1" applyFill="1" applyBorder="1" applyAlignment="1" quotePrefix="1">
      <alignment/>
    </xf>
    <xf numFmtId="0" fontId="59" fillId="44" borderId="14" xfId="0" applyFont="1" applyFill="1" applyBorder="1" applyAlignment="1" quotePrefix="1">
      <alignment/>
    </xf>
    <xf numFmtId="9" fontId="34" fillId="44" borderId="14" xfId="62" applyFont="1" applyFill="1" applyBorder="1" applyAlignment="1">
      <alignment horizontal="left" vertical="center" wrapText="1"/>
    </xf>
    <xf numFmtId="0" fontId="69" fillId="44" borderId="14" xfId="0" applyFont="1" applyFill="1" applyBorder="1" applyAlignment="1">
      <alignment horizontal="left" vertical="center" wrapText="1"/>
    </xf>
    <xf numFmtId="0" fontId="69" fillId="44" borderId="14" xfId="0" applyFont="1" applyFill="1" applyBorder="1" applyAlignment="1">
      <alignment horizontal="center" vertical="center" wrapText="1"/>
    </xf>
    <xf numFmtId="0" fontId="59" fillId="44" borderId="14" xfId="0" applyFont="1" applyFill="1" applyBorder="1" applyAlignment="1">
      <alignment horizontal="left" vertical="center" wrapText="1"/>
    </xf>
    <xf numFmtId="1" fontId="59" fillId="44" borderId="14" xfId="0" applyNumberFormat="1" applyFont="1" applyFill="1" applyBorder="1" applyAlignment="1">
      <alignment horizontal="left" vertical="center" wrapText="1"/>
    </xf>
    <xf numFmtId="224" fontId="59" fillId="44" borderId="14" xfId="42" applyNumberFormat="1" applyFont="1" applyFill="1" applyBorder="1" applyAlignment="1">
      <alignment horizontal="right" vertical="center" wrapText="1"/>
    </xf>
    <xf numFmtId="224" fontId="59" fillId="44" borderId="14" xfId="0" applyNumberFormat="1" applyFont="1" applyFill="1" applyBorder="1" applyAlignment="1">
      <alignment horizontal="left" vertical="center" wrapText="1"/>
    </xf>
    <xf numFmtId="9" fontId="31" fillId="23" borderId="14" xfId="62" applyFont="1" applyFill="1" applyBorder="1" applyAlignment="1">
      <alignment horizontal="left" vertical="center" wrapText="1"/>
    </xf>
    <xf numFmtId="0" fontId="57" fillId="0" borderId="14" xfId="0" applyFont="1" applyFill="1" applyBorder="1" applyAlignment="1">
      <alignment horizontal="left" vertical="center" wrapText="1"/>
    </xf>
    <xf numFmtId="1" fontId="57" fillId="0" borderId="14" xfId="0" applyNumberFormat="1" applyFont="1" applyFill="1" applyBorder="1" applyAlignment="1">
      <alignment horizontal="left" vertical="center" wrapText="1"/>
    </xf>
    <xf numFmtId="224" fontId="57" fillId="0" borderId="14" xfId="0" applyNumberFormat="1" applyFont="1" applyFill="1" applyBorder="1" applyAlignment="1">
      <alignment horizontal="left" vertical="center" wrapText="1"/>
    </xf>
    <xf numFmtId="0" fontId="108" fillId="52" borderId="15" xfId="0" applyFont="1" applyFill="1" applyBorder="1" applyAlignment="1" quotePrefix="1">
      <alignment/>
    </xf>
    <xf numFmtId="0" fontId="111" fillId="0" borderId="19" xfId="0" applyFont="1" applyFill="1" applyBorder="1" applyAlignment="1">
      <alignment horizontal="left" vertical="center" wrapText="1"/>
    </xf>
    <xf numFmtId="0" fontId="111" fillId="0" borderId="14" xfId="0" applyFont="1" applyFill="1" applyBorder="1" applyAlignment="1">
      <alignment horizontal="center" vertical="center" wrapText="1"/>
    </xf>
    <xf numFmtId="0" fontId="111" fillId="0" borderId="14" xfId="0" applyFont="1" applyBorder="1" applyAlignment="1">
      <alignment horizontal="left" vertical="center" wrapText="1"/>
    </xf>
    <xf numFmtId="1" fontId="111" fillId="0" borderId="14" xfId="0" applyNumberFormat="1" applyFont="1" applyBorder="1" applyAlignment="1">
      <alignment horizontal="left" vertical="center" wrapText="1"/>
    </xf>
    <xf numFmtId="224" fontId="111" fillId="0" borderId="14" xfId="0" applyNumberFormat="1" applyFont="1" applyBorder="1" applyAlignment="1">
      <alignment horizontal="left" vertical="center" wrapText="1"/>
    </xf>
    <xf numFmtId="224" fontId="111" fillId="0" borderId="14" xfId="42" applyNumberFormat="1" applyFont="1" applyFill="1" applyBorder="1" applyAlignment="1">
      <alignment vertical="center"/>
    </xf>
    <xf numFmtId="0" fontId="112" fillId="44" borderId="15" xfId="0" applyFont="1" applyFill="1" applyBorder="1" applyAlignment="1">
      <alignment/>
    </xf>
    <xf numFmtId="0" fontId="112" fillId="44" borderId="14" xfId="0" applyFont="1" applyFill="1" applyBorder="1" applyAlignment="1">
      <alignment/>
    </xf>
    <xf numFmtId="0" fontId="113" fillId="44" borderId="14" xfId="0" applyFont="1" applyFill="1" applyBorder="1" applyAlignment="1">
      <alignment/>
    </xf>
    <xf numFmtId="0" fontId="58" fillId="44" borderId="15" xfId="0" applyFont="1" applyFill="1" applyBorder="1" applyAlignment="1" quotePrefix="1">
      <alignment/>
    </xf>
    <xf numFmtId="0" fontId="58" fillId="44" borderId="14" xfId="0" applyFont="1" applyFill="1" applyBorder="1" applyAlignment="1" quotePrefix="1">
      <alignment/>
    </xf>
    <xf numFmtId="0" fontId="61" fillId="44" borderId="14" xfId="0" applyFont="1" applyFill="1" applyBorder="1" applyAlignment="1">
      <alignment horizontal="center" vertical="center" wrapText="1"/>
    </xf>
    <xf numFmtId="0" fontId="58" fillId="44" borderId="14" xfId="0" applyFont="1" applyFill="1" applyBorder="1" applyAlignment="1">
      <alignment horizontal="left" vertical="center" wrapText="1"/>
    </xf>
    <xf numFmtId="224" fontId="58" fillId="44" borderId="14" xfId="42" applyNumberFormat="1" applyFont="1" applyFill="1" applyBorder="1" applyAlignment="1">
      <alignment horizontal="right" vertical="center" wrapText="1"/>
    </xf>
    <xf numFmtId="224" fontId="58" fillId="44" borderId="14" xfId="0" applyNumberFormat="1" applyFont="1" applyFill="1" applyBorder="1" applyAlignment="1">
      <alignment horizontal="left" vertical="center" wrapText="1"/>
    </xf>
    <xf numFmtId="0" fontId="58" fillId="19" borderId="15" xfId="0" applyFont="1" applyFill="1" applyBorder="1" applyAlignment="1" quotePrefix="1">
      <alignment/>
    </xf>
    <xf numFmtId="0" fontId="59" fillId="19" borderId="14" xfId="0" applyFont="1" applyFill="1" applyBorder="1" applyAlignment="1" quotePrefix="1">
      <alignment/>
    </xf>
    <xf numFmtId="9" fontId="34" fillId="19" borderId="14" xfId="62" applyFont="1" applyFill="1" applyBorder="1" applyAlignment="1">
      <alignment horizontal="left" vertical="center" wrapText="1"/>
    </xf>
    <xf numFmtId="0" fontId="69" fillId="19" borderId="14" xfId="0" applyFont="1" applyFill="1" applyBorder="1" applyAlignment="1">
      <alignment horizontal="left" vertical="center" wrapText="1"/>
    </xf>
    <xf numFmtId="0" fontId="69" fillId="19" borderId="14" xfId="0" applyFont="1" applyFill="1" applyBorder="1" applyAlignment="1">
      <alignment horizontal="center" vertical="center" wrapText="1"/>
    </xf>
    <xf numFmtId="0" fontId="59" fillId="19" borderId="14" xfId="0" applyFont="1" applyFill="1" applyBorder="1" applyAlignment="1">
      <alignment horizontal="left" vertical="center" wrapText="1"/>
    </xf>
    <xf numFmtId="224" fontId="59" fillId="19" borderId="14" xfId="42" applyNumberFormat="1" applyFont="1" applyFill="1" applyBorder="1" applyAlignment="1">
      <alignment vertical="center"/>
    </xf>
    <xf numFmtId="224" fontId="59" fillId="19" borderId="14" xfId="0" applyNumberFormat="1" applyFont="1" applyFill="1" applyBorder="1" applyAlignment="1">
      <alignment horizontal="left" vertical="center" wrapText="1"/>
    </xf>
    <xf numFmtId="0" fontId="101" fillId="0" borderId="15" xfId="0" applyFont="1" applyBorder="1" applyAlignment="1">
      <alignment/>
    </xf>
    <xf numFmtId="0" fontId="101" fillId="47" borderId="14" xfId="0" applyFont="1" applyFill="1" applyBorder="1" applyAlignment="1">
      <alignment/>
    </xf>
    <xf numFmtId="0" fontId="107" fillId="21" borderId="22" xfId="0" applyFont="1" applyFill="1" applyBorder="1" applyAlignment="1">
      <alignment vertical="center" wrapText="1"/>
    </xf>
    <xf numFmtId="0" fontId="0" fillId="0" borderId="11" xfId="0" applyFont="1" applyBorder="1" applyAlignment="1">
      <alignment vertical="center" wrapText="1"/>
    </xf>
    <xf numFmtId="0" fontId="0" fillId="0" borderId="32" xfId="0" applyFont="1" applyBorder="1" applyAlignment="1">
      <alignment vertical="center" wrapText="1"/>
    </xf>
    <xf numFmtId="0" fontId="107" fillId="21" borderId="14" xfId="0" applyFont="1" applyFill="1" applyBorder="1" applyAlignment="1">
      <alignment vertical="center"/>
    </xf>
    <xf numFmtId="9" fontId="32" fillId="47" borderId="14" xfId="62" applyFont="1" applyFill="1" applyBorder="1" applyAlignment="1">
      <alignment horizontal="left" vertical="center" wrapText="1"/>
    </xf>
    <xf numFmtId="0" fontId="56" fillId="0" borderId="14" xfId="0" applyFont="1" applyFill="1" applyBorder="1" applyAlignment="1">
      <alignment horizontal="left" vertical="center" wrapText="1"/>
    </xf>
    <xf numFmtId="0" fontId="111" fillId="0" borderId="14" xfId="0" applyFont="1" applyFill="1" applyBorder="1" applyAlignment="1">
      <alignment horizontal="left" vertical="center" wrapText="1"/>
    </xf>
    <xf numFmtId="224" fontId="59" fillId="44" borderId="14" xfId="42" applyNumberFormat="1" applyFont="1" applyFill="1" applyBorder="1" applyAlignment="1">
      <alignment vertical="center"/>
    </xf>
    <xf numFmtId="0" fontId="57" fillId="47" borderId="14" xfId="0" applyFont="1" applyFill="1" applyBorder="1" applyAlignment="1">
      <alignment horizontal="left" vertical="center" wrapText="1"/>
    </xf>
    <xf numFmtId="1" fontId="57" fillId="47" borderId="14" xfId="0" applyNumberFormat="1" applyFont="1" applyFill="1" applyBorder="1" applyAlignment="1">
      <alignment horizontal="left" vertical="center" wrapText="1"/>
    </xf>
    <xf numFmtId="224" fontId="57" fillId="47" borderId="14" xfId="42" applyNumberFormat="1" applyFont="1" applyFill="1" applyBorder="1" applyAlignment="1">
      <alignment vertical="center"/>
    </xf>
    <xf numFmtId="224" fontId="57" fillId="47" borderId="14" xfId="0" applyNumberFormat="1" applyFont="1" applyFill="1" applyBorder="1" applyAlignment="1">
      <alignment horizontal="left" vertical="center" wrapText="1"/>
    </xf>
    <xf numFmtId="224" fontId="57" fillId="47" borderId="14" xfId="42" applyNumberFormat="1" applyFont="1" applyFill="1" applyBorder="1" applyAlignment="1">
      <alignment horizontal="right" vertical="center" wrapText="1"/>
    </xf>
    <xf numFmtId="0" fontId="112" fillId="44" borderId="15" xfId="0" applyFont="1" applyFill="1" applyBorder="1" applyAlignment="1">
      <alignment horizontal="left" vertical="center" wrapText="1"/>
    </xf>
    <xf numFmtId="224" fontId="112" fillId="44" borderId="14" xfId="0" applyNumberFormat="1" applyFont="1" applyFill="1" applyBorder="1" applyAlignment="1">
      <alignment/>
    </xf>
    <xf numFmtId="0" fontId="112" fillId="19" borderId="15" xfId="0" applyFont="1" applyFill="1" applyBorder="1" applyAlignment="1">
      <alignment/>
    </xf>
    <xf numFmtId="0" fontId="112" fillId="19" borderId="14" xfId="0" applyFont="1" applyFill="1" applyBorder="1" applyAlignment="1">
      <alignment/>
    </xf>
    <xf numFmtId="0" fontId="113" fillId="19" borderId="14" xfId="0" applyFont="1" applyFill="1" applyBorder="1" applyAlignment="1">
      <alignment vertical="center"/>
    </xf>
    <xf numFmtId="0" fontId="113" fillId="19" borderId="14" xfId="0" applyFont="1" applyFill="1" applyBorder="1" applyAlignment="1">
      <alignment/>
    </xf>
    <xf numFmtId="224" fontId="112" fillId="19" borderId="14" xfId="0" applyNumberFormat="1" applyFont="1" applyFill="1" applyBorder="1" applyAlignment="1">
      <alignment/>
    </xf>
    <xf numFmtId="0" fontId="105" fillId="21" borderId="14" xfId="0" applyFont="1" applyFill="1" applyBorder="1" applyAlignment="1">
      <alignment vertical="center" wrapText="1"/>
    </xf>
    <xf numFmtId="0" fontId="114" fillId="21" borderId="14" xfId="0" applyFont="1" applyFill="1" applyBorder="1" applyAlignment="1">
      <alignment vertical="center"/>
    </xf>
    <xf numFmtId="0" fontId="114" fillId="21" borderId="14" xfId="0" applyFont="1" applyFill="1" applyBorder="1" applyAlignment="1">
      <alignment/>
    </xf>
    <xf numFmtId="0" fontId="101" fillId="21" borderId="14" xfId="0" applyFont="1" applyFill="1" applyBorder="1" applyAlignment="1">
      <alignment/>
    </xf>
    <xf numFmtId="0" fontId="31" fillId="47" borderId="14" xfId="59" applyFont="1" applyFill="1" applyBorder="1" applyAlignment="1">
      <alignment vertical="center" wrapText="1"/>
      <protection/>
    </xf>
    <xf numFmtId="224" fontId="115" fillId="47" borderId="14" xfId="42" applyNumberFormat="1" applyFont="1" applyFill="1" applyBorder="1" applyAlignment="1">
      <alignment horizontal="right" vertical="center" wrapText="1"/>
    </xf>
    <xf numFmtId="224" fontId="115" fillId="0" borderId="14" xfId="42" applyNumberFormat="1" applyFont="1" applyBorder="1" applyAlignment="1">
      <alignment horizontal="right" vertical="center" wrapText="1"/>
    </xf>
    <xf numFmtId="9" fontId="110" fillId="0" borderId="14" xfId="62" applyFont="1" applyFill="1" applyBorder="1" applyAlignment="1">
      <alignment horizontal="left" vertical="top" wrapText="1"/>
    </xf>
    <xf numFmtId="0" fontId="109" fillId="0" borderId="14" xfId="0" applyFont="1" applyFill="1" applyBorder="1" applyAlignment="1">
      <alignment horizontal="center" vertical="center" wrapText="1"/>
    </xf>
    <xf numFmtId="0" fontId="34" fillId="47" borderId="14" xfId="59" applyFont="1" applyFill="1" applyBorder="1" applyAlignment="1">
      <alignment vertical="center" wrapText="1"/>
      <protection/>
    </xf>
    <xf numFmtId="0" fontId="58" fillId="47" borderId="14" xfId="0" applyFont="1" applyFill="1" applyBorder="1" applyAlignment="1" quotePrefix="1">
      <alignment vertical="center" wrapText="1"/>
    </xf>
    <xf numFmtId="0" fontId="112" fillId="19" borderId="17" xfId="0" applyFont="1" applyFill="1" applyBorder="1" applyAlignment="1">
      <alignment/>
    </xf>
    <xf numFmtId="0" fontId="112" fillId="19" borderId="18" xfId="0" applyFont="1" applyFill="1" applyBorder="1" applyAlignment="1">
      <alignment/>
    </xf>
    <xf numFmtId="9" fontId="31" fillId="19" borderId="14" xfId="62" applyFont="1" applyFill="1" applyBorder="1" applyAlignment="1">
      <alignment horizontal="left" vertical="center" wrapText="1"/>
    </xf>
    <xf numFmtId="0" fontId="113" fillId="19" borderId="18" xfId="0" applyFont="1" applyFill="1" applyBorder="1" applyAlignment="1">
      <alignment vertical="center"/>
    </xf>
    <xf numFmtId="0" fontId="113" fillId="19" borderId="18" xfId="0" applyFont="1" applyFill="1" applyBorder="1" applyAlignment="1">
      <alignment/>
    </xf>
    <xf numFmtId="224" fontId="112" fillId="19" borderId="18" xfId="0" applyNumberFormat="1" applyFont="1" applyFill="1" applyBorder="1" applyAlignment="1">
      <alignment/>
    </xf>
    <xf numFmtId="0" fontId="58" fillId="0" borderId="33" xfId="0" applyFont="1" applyBorder="1" applyAlignment="1">
      <alignment/>
    </xf>
    <xf numFmtId="0" fontId="58" fillId="47" borderId="23" xfId="0" applyFont="1" applyFill="1" applyBorder="1" applyAlignment="1">
      <alignment horizontal="center" vertical="center" wrapText="1"/>
    </xf>
    <xf numFmtId="9" fontId="31" fillId="47" borderId="23" xfId="62" applyFont="1" applyFill="1" applyBorder="1" applyAlignment="1">
      <alignment horizontal="left" vertical="center" wrapText="1"/>
    </xf>
    <xf numFmtId="0" fontId="56" fillId="0" borderId="23" xfId="0" applyFont="1" applyFill="1" applyBorder="1" applyAlignment="1">
      <alignment vertical="top" wrapText="1"/>
    </xf>
    <xf numFmtId="0" fontId="56" fillId="0" borderId="23" xfId="0" applyFont="1" applyFill="1" applyBorder="1" applyAlignment="1">
      <alignment horizontal="center" vertical="top" wrapText="1"/>
    </xf>
    <xf numFmtId="0" fontId="57" fillId="0" borderId="23" xfId="0" applyFont="1" applyBorder="1" applyAlignment="1">
      <alignment horizontal="left" wrapText="1"/>
    </xf>
    <xf numFmtId="9" fontId="57" fillId="0" borderId="23" xfId="62" applyFont="1" applyBorder="1" applyAlignment="1">
      <alignment horizontal="left" wrapText="1"/>
    </xf>
    <xf numFmtId="224" fontId="57" fillId="0" borderId="23" xfId="42" applyNumberFormat="1" applyFont="1" applyFill="1" applyBorder="1" applyAlignment="1">
      <alignment/>
    </xf>
    <xf numFmtId="224" fontId="57" fillId="0" borderId="23" xfId="0" applyNumberFormat="1" applyFont="1" applyBorder="1" applyAlignment="1">
      <alignment horizontal="left" wrapText="1"/>
    </xf>
    <xf numFmtId="224" fontId="57" fillId="0" borderId="23" xfId="62" applyNumberFormat="1" applyFont="1" applyBorder="1" applyAlignment="1">
      <alignment horizontal="left" wrapText="1"/>
    </xf>
    <xf numFmtId="0" fontId="58" fillId="47" borderId="14" xfId="0" applyFont="1" applyFill="1" applyBorder="1" applyAlignment="1">
      <alignment horizontal="center" vertical="center" wrapText="1"/>
    </xf>
    <xf numFmtId="9" fontId="32" fillId="0" borderId="14" xfId="62" applyFont="1" applyFill="1" applyBorder="1" applyAlignment="1">
      <alignment horizontal="left" vertical="top" wrapText="1"/>
    </xf>
    <xf numFmtId="0" fontId="56" fillId="0" borderId="14" xfId="0" applyFont="1" applyBorder="1" applyAlignment="1">
      <alignment wrapText="1"/>
    </xf>
    <xf numFmtId="0" fontId="56" fillId="0" borderId="14" xfId="0" applyFont="1" applyBorder="1" applyAlignment="1">
      <alignment horizontal="center" wrapText="1"/>
    </xf>
    <xf numFmtId="9" fontId="57" fillId="0" borderId="14" xfId="62" applyFont="1" applyBorder="1" applyAlignment="1">
      <alignment horizontal="left" wrapText="1"/>
    </xf>
    <xf numFmtId="224" fontId="57" fillId="0" borderId="14" xfId="62" applyNumberFormat="1" applyFont="1" applyBorder="1" applyAlignment="1">
      <alignment horizontal="left" wrapText="1"/>
    </xf>
    <xf numFmtId="224" fontId="57" fillId="0" borderId="14" xfId="42" applyNumberFormat="1" applyFont="1" applyBorder="1" applyAlignment="1">
      <alignment horizontal="right" wrapText="1"/>
    </xf>
    <xf numFmtId="9" fontId="32" fillId="23" borderId="14" xfId="62" applyFont="1" applyFill="1" applyBorder="1" applyAlignment="1">
      <alignment horizontal="left" vertical="top" wrapText="1"/>
    </xf>
    <xf numFmtId="224" fontId="57" fillId="0" borderId="14" xfId="62" applyNumberFormat="1" applyFont="1" applyFill="1" applyBorder="1" applyAlignment="1">
      <alignment horizontal="left" vertical="top" wrapText="1"/>
    </xf>
    <xf numFmtId="9" fontId="31" fillId="25" borderId="14" xfId="62" applyFont="1" applyFill="1" applyBorder="1" applyAlignment="1">
      <alignment horizontal="left" vertical="center"/>
    </xf>
    <xf numFmtId="0" fontId="61" fillId="25" borderId="14" xfId="0" applyFont="1" applyFill="1" applyBorder="1" applyAlignment="1">
      <alignment horizontal="right" vertical="center"/>
    </xf>
    <xf numFmtId="0" fontId="61" fillId="25" borderId="14" xfId="0" applyFont="1" applyFill="1" applyBorder="1" applyAlignment="1">
      <alignment horizontal="center" vertical="center"/>
    </xf>
    <xf numFmtId="224" fontId="59" fillId="25" borderId="14" xfId="42" applyNumberFormat="1" applyFont="1" applyFill="1" applyBorder="1" applyAlignment="1">
      <alignment/>
    </xf>
    <xf numFmtId="0" fontId="58" fillId="53" borderId="14" xfId="0" applyFont="1" applyFill="1" applyBorder="1" applyAlignment="1">
      <alignment horizontal="center" vertical="center" wrapText="1"/>
    </xf>
    <xf numFmtId="9" fontId="31" fillId="53" borderId="14" xfId="62" applyFont="1" applyFill="1" applyBorder="1" applyAlignment="1">
      <alignment horizontal="left" vertical="center" wrapText="1"/>
    </xf>
    <xf numFmtId="0" fontId="61" fillId="53" borderId="14" xfId="0" applyFont="1" applyFill="1" applyBorder="1" applyAlignment="1">
      <alignment horizontal="center" vertical="center" wrapText="1"/>
    </xf>
    <xf numFmtId="224" fontId="58" fillId="53" borderId="14" xfId="0" applyNumberFormat="1" applyFont="1" applyFill="1" applyBorder="1" applyAlignment="1">
      <alignment horizontal="center" vertical="center" wrapText="1"/>
    </xf>
    <xf numFmtId="9" fontId="32" fillId="0" borderId="14" xfId="62" applyFont="1" applyFill="1" applyBorder="1" applyAlignment="1">
      <alignment horizontal="left"/>
    </xf>
    <xf numFmtId="0" fontId="56" fillId="0" borderId="14" xfId="0" applyFont="1" applyBorder="1" applyAlignment="1">
      <alignment/>
    </xf>
    <xf numFmtId="0" fontId="56" fillId="0" borderId="14" xfId="0" applyFont="1" applyBorder="1" applyAlignment="1">
      <alignment horizontal="center"/>
    </xf>
    <xf numFmtId="224" fontId="57" fillId="0" borderId="14" xfId="0" applyNumberFormat="1" applyFont="1" applyFill="1" applyBorder="1" applyAlignment="1">
      <alignment/>
    </xf>
    <xf numFmtId="0" fontId="31" fillId="4" borderId="14" xfId="0" applyFont="1" applyFill="1" applyBorder="1" applyAlignment="1">
      <alignment vertical="center"/>
    </xf>
    <xf numFmtId="0" fontId="61" fillId="4" borderId="14" xfId="0" applyFont="1" applyFill="1" applyBorder="1" applyAlignment="1">
      <alignment vertical="center"/>
    </xf>
    <xf numFmtId="224" fontId="59" fillId="4" borderId="14" xfId="42" applyNumberFormat="1" applyFont="1" applyFill="1" applyBorder="1" applyAlignment="1">
      <alignment/>
    </xf>
    <xf numFmtId="224" fontId="58" fillId="53" borderId="14" xfId="57" applyNumberFormat="1" applyFont="1" applyFill="1" applyBorder="1" applyAlignment="1">
      <alignment horizontal="center" vertical="center" wrapText="1"/>
      <protection/>
    </xf>
    <xf numFmtId="224" fontId="58" fillId="53" borderId="14" xfId="42" applyNumberFormat="1" applyFont="1" applyFill="1" applyBorder="1" applyAlignment="1">
      <alignment horizontal="center" vertical="center" wrapText="1"/>
    </xf>
    <xf numFmtId="0" fontId="56" fillId="0" borderId="14" xfId="0" applyFont="1" applyBorder="1" applyAlignment="1">
      <alignment vertical="top" wrapText="1"/>
    </xf>
    <xf numFmtId="0" fontId="56" fillId="0" borderId="14" xfId="0" applyFont="1" applyBorder="1" applyAlignment="1">
      <alignment horizontal="center" vertical="top" wrapText="1"/>
    </xf>
    <xf numFmtId="220" fontId="57" fillId="0" borderId="14" xfId="42" applyNumberFormat="1" applyFont="1" applyBorder="1" applyAlignment="1">
      <alignment horizontal="left" wrapText="1"/>
    </xf>
    <xf numFmtId="1" fontId="58" fillId="53" borderId="14" xfId="0" applyNumberFormat="1" applyFont="1" applyFill="1" applyBorder="1" applyAlignment="1">
      <alignment horizontal="center" vertical="center" wrapText="1"/>
    </xf>
    <xf numFmtId="0" fontId="31" fillId="25" borderId="14" xfId="0" applyFont="1" applyFill="1" applyBorder="1" applyAlignment="1">
      <alignment vertical="center"/>
    </xf>
    <xf numFmtId="0" fontId="31" fillId="48" borderId="14" xfId="0" applyFont="1" applyFill="1" applyBorder="1" applyAlignment="1">
      <alignment vertical="center"/>
    </xf>
    <xf numFmtId="0" fontId="61" fillId="48" borderId="14" xfId="0" applyFont="1" applyFill="1" applyBorder="1" applyAlignment="1">
      <alignment vertical="center"/>
    </xf>
    <xf numFmtId="0" fontId="61" fillId="48" borderId="14" xfId="0" applyFont="1" applyFill="1" applyBorder="1" applyAlignment="1">
      <alignment horizontal="left" vertical="center"/>
    </xf>
    <xf numFmtId="224" fontId="58" fillId="48" borderId="14" xfId="0" applyNumberFormat="1" applyFont="1" applyFill="1" applyBorder="1" applyAlignment="1">
      <alignment vertical="center" wrapText="1"/>
    </xf>
    <xf numFmtId="224" fontId="58" fillId="48" borderId="14" xfId="42" applyNumberFormat="1" applyFont="1" applyFill="1" applyBorder="1" applyAlignment="1">
      <alignment horizontal="center" vertical="center" wrapText="1"/>
    </xf>
    <xf numFmtId="0" fontId="31" fillId="49" borderId="14" xfId="0" applyFont="1" applyFill="1" applyBorder="1" applyAlignment="1">
      <alignment/>
    </xf>
    <xf numFmtId="0" fontId="61" fillId="49" borderId="14" xfId="0" applyFont="1" applyFill="1" applyBorder="1" applyAlignment="1">
      <alignment/>
    </xf>
    <xf numFmtId="0" fontId="61" fillId="49" borderId="14" xfId="0" applyFont="1" applyFill="1" applyBorder="1" applyAlignment="1">
      <alignment horizontal="center"/>
    </xf>
    <xf numFmtId="224" fontId="58" fillId="49" borderId="14" xfId="0" applyNumberFormat="1" applyFont="1" applyFill="1" applyBorder="1" applyAlignment="1">
      <alignment/>
    </xf>
    <xf numFmtId="224" fontId="58" fillId="49" borderId="14" xfId="42" applyNumberFormat="1" applyFont="1" applyFill="1" applyBorder="1" applyAlignment="1">
      <alignment/>
    </xf>
    <xf numFmtId="0" fontId="31" fillId="49" borderId="18" xfId="0" applyFont="1" applyFill="1" applyBorder="1" applyAlignment="1">
      <alignment vertical="center"/>
    </xf>
    <xf numFmtId="0" fontId="61" fillId="49" borderId="18" xfId="0" applyFont="1" applyFill="1" applyBorder="1" applyAlignment="1">
      <alignment vertical="center"/>
    </xf>
    <xf numFmtId="0" fontId="61" fillId="49" borderId="18" xfId="0" applyFont="1" applyFill="1" applyBorder="1" applyAlignment="1">
      <alignment horizontal="center" vertical="center"/>
    </xf>
    <xf numFmtId="224" fontId="58" fillId="49" borderId="18" xfId="0" applyNumberFormat="1" applyFont="1" applyFill="1" applyBorder="1" applyAlignment="1">
      <alignment/>
    </xf>
    <xf numFmtId="224" fontId="58" fillId="49" borderId="18" xfId="42" applyNumberFormat="1" applyFont="1" applyFill="1" applyBorder="1" applyAlignment="1">
      <alignment/>
    </xf>
    <xf numFmtId="9" fontId="59" fillId="44" borderId="14" xfId="62" applyFont="1" applyFill="1" applyBorder="1" applyAlignment="1">
      <alignment horizontal="right" vertical="center" wrapText="1"/>
    </xf>
    <xf numFmtId="9" fontId="58" fillId="44" borderId="14" xfId="62" applyFont="1" applyFill="1" applyBorder="1" applyAlignment="1">
      <alignment horizontal="right" vertical="center" wrapText="1"/>
    </xf>
    <xf numFmtId="9" fontId="59" fillId="19" borderId="14" xfId="62" applyFont="1" applyFill="1" applyBorder="1" applyAlignment="1">
      <alignment vertical="center"/>
    </xf>
    <xf numFmtId="9" fontId="107" fillId="21" borderId="14" xfId="62" applyFont="1" applyFill="1" applyBorder="1" applyAlignment="1">
      <alignment vertical="center"/>
    </xf>
    <xf numFmtId="9" fontId="59" fillId="44" borderId="14" xfId="62" applyFont="1" applyFill="1" applyBorder="1" applyAlignment="1">
      <alignment vertical="center"/>
    </xf>
    <xf numFmtId="9" fontId="112" fillId="44" borderId="14" xfId="62" applyFont="1" applyFill="1" applyBorder="1" applyAlignment="1">
      <alignment/>
    </xf>
    <xf numFmtId="9" fontId="112" fillId="19" borderId="14" xfId="62" applyFont="1" applyFill="1" applyBorder="1" applyAlignment="1">
      <alignment/>
    </xf>
    <xf numFmtId="9" fontId="101" fillId="21" borderId="14" xfId="62" applyFont="1" applyFill="1" applyBorder="1" applyAlignment="1">
      <alignment/>
    </xf>
    <xf numFmtId="9" fontId="112" fillId="19" borderId="18" xfId="62" applyFont="1" applyFill="1" applyBorder="1" applyAlignment="1">
      <alignment/>
    </xf>
    <xf numFmtId="9" fontId="58" fillId="53" borderId="14" xfId="62" applyFont="1" applyFill="1" applyBorder="1" applyAlignment="1">
      <alignment horizontal="center" vertical="center" wrapText="1"/>
    </xf>
    <xf numFmtId="0" fontId="0" fillId="0" borderId="14" xfId="0" applyFont="1" applyBorder="1" applyAlignment="1" applyProtection="1">
      <alignment/>
      <protection locked="0"/>
    </xf>
    <xf numFmtId="0" fontId="26" fillId="0" borderId="14" xfId="0" applyFont="1" applyBorder="1" applyAlignment="1" applyProtection="1">
      <alignment/>
      <protection locked="0"/>
    </xf>
    <xf numFmtId="0" fontId="26" fillId="0" borderId="14" xfId="0" applyFont="1" applyFill="1" applyBorder="1" applyAlignment="1" applyProtection="1">
      <alignment/>
      <protection locked="0"/>
    </xf>
    <xf numFmtId="0" fontId="26" fillId="44" borderId="14" xfId="0" applyFont="1" applyFill="1" applyBorder="1" applyAlignment="1" applyProtection="1">
      <alignment/>
      <protection locked="0"/>
    </xf>
    <xf numFmtId="0" fontId="26" fillId="53" borderId="14" xfId="0" applyFont="1" applyFill="1" applyBorder="1" applyAlignment="1" applyProtection="1">
      <alignment/>
      <protection locked="0"/>
    </xf>
    <xf numFmtId="0" fontId="26" fillId="21" borderId="14" xfId="0" applyFont="1" applyFill="1" applyBorder="1" applyAlignment="1" applyProtection="1">
      <alignment/>
      <protection locked="0"/>
    </xf>
    <xf numFmtId="222" fontId="0" fillId="47" borderId="14" xfId="42" applyNumberFormat="1" applyFont="1" applyFill="1" applyBorder="1" applyAlignment="1" applyProtection="1">
      <alignment wrapText="1" shrinkToFit="1"/>
      <protection locked="0"/>
    </xf>
    <xf numFmtId="9" fontId="0" fillId="47" borderId="14" xfId="62" applyFont="1" applyFill="1" applyBorder="1" applyAlignment="1" applyProtection="1">
      <alignment wrapText="1" shrinkToFit="1"/>
      <protection locked="0"/>
    </xf>
    <xf numFmtId="222" fontId="0" fillId="4" borderId="14" xfId="42" applyNumberFormat="1" applyFont="1" applyFill="1" applyBorder="1" applyAlignment="1" applyProtection="1">
      <alignment wrapText="1" shrinkToFit="1"/>
      <protection locked="0"/>
    </xf>
    <xf numFmtId="9" fontId="0" fillId="4" borderId="14" xfId="62" applyFont="1" applyFill="1" applyBorder="1" applyAlignment="1" applyProtection="1">
      <alignment wrapText="1" shrinkToFit="1"/>
      <protection locked="0"/>
    </xf>
    <xf numFmtId="0" fontId="0" fillId="55" borderId="14" xfId="0" applyFont="1" applyFill="1" applyBorder="1" applyAlignment="1" applyProtection="1">
      <alignment wrapText="1"/>
      <protection locked="0"/>
    </xf>
    <xf numFmtId="0" fontId="0" fillId="55" borderId="14" xfId="0" applyFont="1" applyFill="1" applyBorder="1" applyAlignment="1" applyProtection="1">
      <alignment/>
      <protection locked="0"/>
    </xf>
    <xf numFmtId="0" fontId="2" fillId="55" borderId="14" xfId="0" applyFont="1" applyFill="1" applyBorder="1" applyAlignment="1" applyProtection="1">
      <alignment/>
      <protection locked="0"/>
    </xf>
    <xf numFmtId="0" fontId="26" fillId="55" borderId="14" xfId="0" applyFont="1" applyFill="1" applyBorder="1" applyAlignment="1" applyProtection="1">
      <alignment/>
      <protection locked="0"/>
    </xf>
    <xf numFmtId="222" fontId="0" fillId="55" borderId="14" xfId="42" applyNumberFormat="1" applyFont="1" applyFill="1" applyBorder="1" applyAlignment="1" applyProtection="1">
      <alignment wrapText="1" shrinkToFit="1"/>
      <protection locked="0"/>
    </xf>
    <xf numFmtId="0" fontId="0" fillId="22" borderId="14" xfId="0" applyFont="1" applyFill="1" applyBorder="1" applyAlignment="1" applyProtection="1">
      <alignment/>
      <protection locked="0"/>
    </xf>
    <xf numFmtId="0" fontId="2" fillId="22" borderId="14" xfId="0" applyFont="1" applyFill="1" applyBorder="1" applyAlignment="1" applyProtection="1">
      <alignment/>
      <protection locked="0"/>
    </xf>
    <xf numFmtId="0" fontId="26" fillId="22" borderId="14" xfId="0" applyFont="1" applyFill="1" applyBorder="1" applyAlignment="1" applyProtection="1">
      <alignment/>
      <protection locked="0"/>
    </xf>
    <xf numFmtId="222" fontId="0" fillId="22" borderId="14" xfId="42" applyNumberFormat="1" applyFont="1" applyFill="1" applyBorder="1" applyAlignment="1" applyProtection="1">
      <alignment wrapText="1" shrinkToFit="1"/>
      <protection locked="0"/>
    </xf>
    <xf numFmtId="9" fontId="0" fillId="22" borderId="14" xfId="62" applyFont="1" applyFill="1" applyBorder="1" applyAlignment="1" applyProtection="1">
      <alignment wrapText="1" shrinkToFit="1"/>
      <protection locked="0"/>
    </xf>
    <xf numFmtId="222" fontId="0" fillId="44" borderId="14" xfId="42" applyNumberFormat="1" applyFont="1" applyFill="1" applyBorder="1" applyAlignment="1" applyProtection="1">
      <alignment wrapText="1" shrinkToFit="1"/>
      <protection locked="0"/>
    </xf>
    <xf numFmtId="9" fontId="0" fillId="44" borderId="14" xfId="62" applyFont="1" applyFill="1" applyBorder="1" applyAlignment="1" applyProtection="1">
      <alignment wrapText="1" shrinkToFit="1"/>
      <protection locked="0"/>
    </xf>
    <xf numFmtId="222" fontId="0" fillId="19" borderId="14" xfId="42" applyNumberFormat="1" applyFont="1" applyFill="1" applyBorder="1" applyAlignment="1" applyProtection="1">
      <alignment wrapText="1" shrinkToFit="1"/>
      <protection locked="0"/>
    </xf>
    <xf numFmtId="9" fontId="0" fillId="19" borderId="14" xfId="62" applyFont="1" applyFill="1" applyBorder="1" applyAlignment="1" applyProtection="1">
      <alignment wrapText="1" shrinkToFit="1"/>
      <protection locked="0"/>
    </xf>
    <xf numFmtId="222" fontId="0" fillId="25" borderId="14" xfId="42" applyNumberFormat="1" applyFont="1" applyFill="1" applyBorder="1" applyAlignment="1" applyProtection="1">
      <alignment wrapText="1" shrinkToFit="1"/>
      <protection locked="0"/>
    </xf>
    <xf numFmtId="9" fontId="0" fillId="25" borderId="14" xfId="62" applyFont="1" applyFill="1" applyBorder="1" applyAlignment="1" applyProtection="1">
      <alignment wrapText="1" shrinkToFit="1"/>
      <protection locked="0"/>
    </xf>
    <xf numFmtId="222" fontId="0" fillId="54" borderId="14" xfId="42" applyNumberFormat="1" applyFont="1" applyFill="1" applyBorder="1" applyAlignment="1" applyProtection="1">
      <alignment wrapText="1" shrinkToFit="1"/>
      <protection locked="0"/>
    </xf>
    <xf numFmtId="9" fontId="0" fillId="54" borderId="14" xfId="62" applyFont="1" applyFill="1" applyBorder="1" applyAlignment="1" applyProtection="1">
      <alignment wrapText="1" shrinkToFit="1"/>
      <protection locked="0"/>
    </xf>
    <xf numFmtId="222" fontId="0" fillId="49" borderId="14" xfId="42" applyNumberFormat="1" applyFont="1" applyFill="1" applyBorder="1" applyAlignment="1" applyProtection="1">
      <alignment wrapText="1" shrinkToFit="1"/>
      <protection locked="0"/>
    </xf>
    <xf numFmtId="9" fontId="0" fillId="49" borderId="14" xfId="62" applyFont="1" applyFill="1" applyBorder="1" applyAlignment="1" applyProtection="1">
      <alignment wrapText="1" shrinkToFit="1"/>
      <protection locked="0"/>
    </xf>
    <xf numFmtId="222" fontId="0" fillId="48" borderId="14" xfId="42" applyNumberFormat="1" applyFont="1" applyFill="1" applyBorder="1" applyAlignment="1" applyProtection="1">
      <alignment wrapText="1" shrinkToFit="1"/>
      <protection locked="0"/>
    </xf>
    <xf numFmtId="9" fontId="0" fillId="48" borderId="14" xfId="62" applyFont="1" applyFill="1" applyBorder="1" applyAlignment="1" applyProtection="1">
      <alignment wrapText="1" shrinkToFit="1"/>
      <protection locked="0"/>
    </xf>
    <xf numFmtId="0" fontId="2" fillId="36" borderId="28" xfId="0" applyFont="1" applyFill="1" applyBorder="1" applyAlignment="1" applyProtection="1">
      <alignment vertical="center"/>
      <protection locked="0"/>
    </xf>
    <xf numFmtId="0" fontId="2" fillId="36" borderId="34" xfId="0" applyFont="1" applyFill="1" applyBorder="1" applyAlignment="1" applyProtection="1">
      <alignment vertical="center"/>
      <protection locked="0"/>
    </xf>
    <xf numFmtId="0" fontId="2" fillId="51" borderId="14" xfId="0" applyFont="1" applyFill="1" applyBorder="1" applyAlignment="1" applyProtection="1">
      <alignment wrapText="1"/>
      <protection locked="0"/>
    </xf>
    <xf numFmtId="0" fontId="0" fillId="33" borderId="14" xfId="0" applyFont="1" applyFill="1" applyBorder="1" applyAlignment="1" applyProtection="1">
      <alignment/>
      <protection locked="0"/>
    </xf>
    <xf numFmtId="204" fontId="2" fillId="51" borderId="14" xfId="0" applyNumberFormat="1" applyFont="1" applyFill="1" applyBorder="1" applyAlignment="1" applyProtection="1">
      <alignment horizontal="center" vertical="center" wrapText="1"/>
      <protection locked="0"/>
    </xf>
    <xf numFmtId="0" fontId="24" fillId="36" borderId="14" xfId="0" applyFont="1" applyFill="1" applyBorder="1" applyAlignment="1" applyProtection="1">
      <alignment horizontal="center" vertical="center" wrapText="1"/>
      <protection locked="0"/>
    </xf>
    <xf numFmtId="204" fontId="13" fillId="51" borderId="14" xfId="0" applyNumberFormat="1" applyFont="1" applyFill="1" applyBorder="1" applyAlignment="1" applyProtection="1">
      <alignment horizontal="center" wrapText="1"/>
      <protection/>
    </xf>
    <xf numFmtId="0" fontId="13" fillId="46" borderId="14" xfId="0" applyFont="1" applyFill="1" applyBorder="1" applyAlignment="1" applyProtection="1">
      <alignment horizontal="center" wrapText="1"/>
      <protection locked="0"/>
    </xf>
    <xf numFmtId="0" fontId="0" fillId="51" borderId="14" xfId="0" applyFont="1" applyFill="1" applyBorder="1" applyAlignment="1" applyProtection="1">
      <alignment wrapText="1" shrinkToFit="1"/>
      <protection locked="0"/>
    </xf>
    <xf numFmtId="0" fontId="2" fillId="0" borderId="14" xfId="0" applyFont="1" applyBorder="1" applyAlignment="1" applyProtection="1">
      <alignment wrapText="1"/>
      <protection locked="0"/>
    </xf>
    <xf numFmtId="0" fontId="25" fillId="46" borderId="14" xfId="0" applyFont="1" applyFill="1" applyBorder="1" applyAlignment="1" applyProtection="1">
      <alignment horizontal="center" wrapText="1"/>
      <protection locked="0"/>
    </xf>
    <xf numFmtId="9" fontId="58" fillId="49" borderId="14" xfId="62" applyFont="1" applyFill="1" applyBorder="1" applyAlignment="1">
      <alignment/>
    </xf>
    <xf numFmtId="224" fontId="59" fillId="55" borderId="14" xfId="42" applyNumberFormat="1" applyFont="1" applyFill="1" applyBorder="1" applyAlignment="1">
      <alignment horizontal="right" vertical="center" wrapText="1"/>
    </xf>
    <xf numFmtId="224" fontId="58" fillId="55" borderId="14" xfId="42" applyNumberFormat="1" applyFont="1" applyFill="1" applyBorder="1" applyAlignment="1">
      <alignment horizontal="right" vertical="center" wrapText="1"/>
    </xf>
    <xf numFmtId="224" fontId="59" fillId="55" borderId="14" xfId="42" applyNumberFormat="1" applyFont="1" applyFill="1" applyBorder="1" applyAlignment="1">
      <alignment vertical="center"/>
    </xf>
    <xf numFmtId="224" fontId="112" fillId="55" borderId="14" xfId="0" applyNumberFormat="1" applyFont="1" applyFill="1" applyBorder="1" applyAlignment="1">
      <alignment/>
    </xf>
    <xf numFmtId="224" fontId="59" fillId="55" borderId="14" xfId="42" applyNumberFormat="1" applyFont="1" applyFill="1" applyBorder="1" applyAlignment="1">
      <alignment/>
    </xf>
    <xf numFmtId="9" fontId="58" fillId="55" borderId="14" xfId="62" applyFont="1" applyFill="1" applyBorder="1" applyAlignment="1">
      <alignment horizontal="center" vertical="center" wrapText="1"/>
    </xf>
    <xf numFmtId="224" fontId="58" fillId="55" borderId="14" xfId="42" applyNumberFormat="1" applyFont="1" applyFill="1" applyBorder="1" applyAlignment="1">
      <alignment horizontal="center" vertical="center" wrapText="1"/>
    </xf>
    <xf numFmtId="224" fontId="58" fillId="55" borderId="14" xfId="57" applyNumberFormat="1" applyFont="1" applyFill="1" applyBorder="1" applyAlignment="1">
      <alignment horizontal="center" vertical="center" wrapText="1"/>
      <protection/>
    </xf>
    <xf numFmtId="224" fontId="58" fillId="55" borderId="14" xfId="42" applyNumberFormat="1" applyFont="1" applyFill="1" applyBorder="1" applyAlignment="1">
      <alignment/>
    </xf>
    <xf numFmtId="0" fontId="20" fillId="41" borderId="0" xfId="0" applyFont="1" applyFill="1" applyAlignment="1" applyProtection="1">
      <alignment horizontal="left" vertical="center" wrapText="1"/>
      <protection locked="0"/>
    </xf>
    <xf numFmtId="173" fontId="116" fillId="44" borderId="0" xfId="0" applyNumberFormat="1" applyFont="1" applyFill="1" applyAlignment="1" applyProtection="1">
      <alignment horizontal="center"/>
      <protection locked="0"/>
    </xf>
    <xf numFmtId="180" fontId="18" fillId="41" borderId="0" xfId="0" applyNumberFormat="1" applyFont="1" applyFill="1" applyBorder="1" applyAlignment="1" applyProtection="1">
      <alignment horizontal="center" vertical="center" wrapText="1"/>
      <protection locked="0"/>
    </xf>
    <xf numFmtId="17" fontId="117" fillId="44" borderId="0" xfId="0" applyNumberFormat="1" applyFont="1" applyFill="1" applyAlignment="1" applyProtection="1">
      <alignment horizontal="center"/>
      <protection locked="0"/>
    </xf>
    <xf numFmtId="0" fontId="117" fillId="44" borderId="0" xfId="0" applyNumberFormat="1" applyFont="1" applyFill="1" applyAlignment="1" applyProtection="1">
      <alignment horizontal="center"/>
      <protection locked="0"/>
    </xf>
    <xf numFmtId="0" fontId="2" fillId="50" borderId="26" xfId="0" applyFont="1" applyFill="1" applyBorder="1" applyAlignment="1" applyProtection="1">
      <alignment horizontal="center"/>
      <protection locked="0"/>
    </xf>
    <xf numFmtId="0" fontId="2" fillId="50" borderId="19" xfId="0" applyFont="1" applyFill="1" applyBorder="1" applyAlignment="1" applyProtection="1">
      <alignment horizontal="center"/>
      <protection locked="0"/>
    </xf>
    <xf numFmtId="0" fontId="2" fillId="33" borderId="19" xfId="0" applyFont="1" applyFill="1" applyBorder="1" applyAlignment="1" applyProtection="1">
      <alignment horizontal="center"/>
      <protection locked="0"/>
    </xf>
    <xf numFmtId="0" fontId="2" fillId="51" borderId="19" xfId="0" applyFont="1" applyFill="1" applyBorder="1" applyAlignment="1" applyProtection="1">
      <alignment horizontal="center"/>
      <protection locked="0"/>
    </xf>
    <xf numFmtId="0" fontId="2" fillId="51" borderId="28" xfId="0" applyFont="1" applyFill="1" applyBorder="1" applyAlignment="1" applyProtection="1">
      <alignment horizontal="center"/>
      <protection locked="0"/>
    </xf>
    <xf numFmtId="0" fontId="2" fillId="0" borderId="14" xfId="0" applyFont="1" applyFill="1" applyBorder="1" applyAlignment="1" applyProtection="1">
      <alignment horizontal="left"/>
      <protection locked="0"/>
    </xf>
    <xf numFmtId="0" fontId="2" fillId="33" borderId="14" xfId="0" applyFont="1" applyFill="1" applyBorder="1" applyAlignment="1" applyProtection="1">
      <alignment horizontal="center"/>
      <protection locked="0"/>
    </xf>
    <xf numFmtId="0" fontId="58" fillId="47" borderId="28" xfId="0" applyFont="1" applyFill="1" applyBorder="1" applyAlignment="1" quotePrefix="1">
      <alignment vertical="center" wrapText="1"/>
    </xf>
    <xf numFmtId="0" fontId="58" fillId="47" borderId="13" xfId="0" applyFont="1" applyFill="1" applyBorder="1" applyAlignment="1" quotePrefix="1">
      <alignment vertical="center" wrapText="1"/>
    </xf>
    <xf numFmtId="0" fontId="0" fillId="0" borderId="13" xfId="0" applyFont="1" applyBorder="1" applyAlignment="1">
      <alignment vertical="center" wrapText="1"/>
    </xf>
    <xf numFmtId="0" fontId="0" fillId="0" borderId="23" xfId="0" applyFont="1" applyBorder="1" applyAlignment="1">
      <alignment vertical="center" wrapText="1"/>
    </xf>
    <xf numFmtId="0" fontId="58" fillId="47" borderId="21" xfId="0" applyFont="1" applyFill="1" applyBorder="1" applyAlignment="1" quotePrefix="1">
      <alignment vertical="center" wrapText="1"/>
    </xf>
    <xf numFmtId="0" fontId="101" fillId="0" borderId="13" xfId="0" applyFont="1" applyBorder="1" applyAlignment="1">
      <alignment vertical="center" wrapText="1"/>
    </xf>
    <xf numFmtId="0" fontId="58" fillId="4" borderId="14" xfId="0" applyFont="1" applyFill="1" applyBorder="1" applyAlignment="1">
      <alignment horizontal="right" vertical="center"/>
    </xf>
    <xf numFmtId="0" fontId="101" fillId="0" borderId="23" xfId="0" applyFont="1" applyBorder="1" applyAlignment="1">
      <alignment vertical="center" wrapText="1"/>
    </xf>
    <xf numFmtId="0" fontId="58" fillId="47" borderId="21" xfId="0" applyFont="1" applyFill="1" applyBorder="1" applyAlignment="1" quotePrefix="1">
      <alignment wrapText="1"/>
    </xf>
    <xf numFmtId="0" fontId="0" fillId="0" borderId="23" xfId="0" applyFont="1" applyBorder="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4"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9525</xdr:colOff>
      <xdr:row>26</xdr:row>
      <xdr:rowOff>0</xdr:rowOff>
    </xdr:from>
    <xdr:to>
      <xdr:col>42</xdr:col>
      <xdr:colOff>485775</xdr:colOff>
      <xdr:row>203</xdr:row>
      <xdr:rowOff>0</xdr:rowOff>
    </xdr:to>
    <xdr:sp>
      <xdr:nvSpPr>
        <xdr:cNvPr id="1" name="Text Box 29"/>
        <xdr:cNvSpPr txBox="1">
          <a:spLocks noChangeArrowheads="1"/>
        </xdr:cNvSpPr>
      </xdr:nvSpPr>
      <xdr:spPr>
        <a:xfrm>
          <a:off x="8810625" y="4438650"/>
          <a:ext cx="476250" cy="40471725"/>
        </a:xfrm>
        <a:prstGeom prst="rect">
          <a:avLst/>
        </a:prstGeom>
        <a:solidFill>
          <a:srgbClr val="800000"/>
        </a:solidFill>
        <a:ln w="9525" cmpd="sng">
          <a:noFill/>
        </a:ln>
      </xdr:spPr>
      <xdr:txBody>
        <a:bodyPr vertOverflow="clip" wrap="square" lIns="45720" tIns="36576" rIns="0" bIns="36576" anchor="just" vert="vert"/>
        <a:p>
          <a:pPr algn="l">
            <a:defRPr/>
          </a:pPr>
          <a:r>
            <a:rPr lang="en-US" cap="none" sz="2200" b="0" i="0" u="none" baseline="0">
              <a:solidFill>
                <a:srgbClr val="FFFFFF"/>
              </a:solidFill>
              <a:latin typeface="Arial"/>
              <a:ea typeface="Arial"/>
              <a:cs typeface="Arial"/>
            </a:rPr>
            <a:t>Actual Expenditure per Month in GB £</a:t>
          </a:r>
        </a:p>
      </xdr:txBody>
    </xdr:sp>
    <xdr:clientData/>
  </xdr:twoCellAnchor>
  <xdr:twoCellAnchor>
    <xdr:from>
      <xdr:col>42</xdr:col>
      <xdr:colOff>28575</xdr:colOff>
      <xdr:row>20</xdr:row>
      <xdr:rowOff>38100</xdr:rowOff>
    </xdr:from>
    <xdr:to>
      <xdr:col>42</xdr:col>
      <xdr:colOff>533400</xdr:colOff>
      <xdr:row>24</xdr:row>
      <xdr:rowOff>133350</xdr:rowOff>
    </xdr:to>
    <xdr:sp>
      <xdr:nvSpPr>
        <xdr:cNvPr id="2" name="AutoShape 34"/>
        <xdr:cNvSpPr>
          <a:spLocks/>
        </xdr:cNvSpPr>
      </xdr:nvSpPr>
      <xdr:spPr>
        <a:xfrm>
          <a:off x="8829675" y="3228975"/>
          <a:ext cx="504825" cy="885825"/>
        </a:xfrm>
        <a:prstGeom prst="homePlate">
          <a:avLst>
            <a:gd name="adj" fmla="val -2147483648"/>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26</xdr:row>
      <xdr:rowOff>9525</xdr:rowOff>
    </xdr:from>
    <xdr:to>
      <xdr:col>7</xdr:col>
      <xdr:colOff>514350</xdr:colOff>
      <xdr:row>203</xdr:row>
      <xdr:rowOff>19050</xdr:rowOff>
    </xdr:to>
    <xdr:sp>
      <xdr:nvSpPr>
        <xdr:cNvPr id="3" name="Text Box 40"/>
        <xdr:cNvSpPr txBox="1">
          <a:spLocks noChangeArrowheads="1"/>
        </xdr:cNvSpPr>
      </xdr:nvSpPr>
      <xdr:spPr>
        <a:xfrm>
          <a:off x="342900" y="4448175"/>
          <a:ext cx="0" cy="40462200"/>
        </a:xfrm>
        <a:prstGeom prst="rect">
          <a:avLst/>
        </a:prstGeom>
        <a:solidFill>
          <a:srgbClr val="003366"/>
        </a:solidFill>
        <a:ln w="9525" cmpd="sng">
          <a:noFill/>
        </a:ln>
      </xdr:spPr>
      <xdr:txBody>
        <a:bodyPr vertOverflow="clip" wrap="square" lIns="45720" tIns="36576" rIns="0" bIns="36576" anchor="just" vert="vert"/>
        <a:p>
          <a:pPr algn="l">
            <a:defRPr/>
          </a:pPr>
          <a:r>
            <a:rPr lang="en-US" cap="none" sz="2200" b="0" i="0" u="none" baseline="0">
              <a:solidFill>
                <a:srgbClr val="FFFFFF"/>
              </a:solidFill>
              <a:latin typeface="Arial"/>
              <a:ea typeface="Arial"/>
              <a:cs typeface="Arial"/>
            </a:rPr>
            <a:t>Budget Summary</a:t>
          </a:r>
        </a:p>
      </xdr:txBody>
    </xdr:sp>
    <xdr:clientData/>
  </xdr:twoCellAnchor>
  <xdr:twoCellAnchor>
    <xdr:from>
      <xdr:col>7</xdr:col>
      <xdr:colOff>28575</xdr:colOff>
      <xdr:row>20</xdr:row>
      <xdr:rowOff>38100</xdr:rowOff>
    </xdr:from>
    <xdr:to>
      <xdr:col>7</xdr:col>
      <xdr:colOff>533400</xdr:colOff>
      <xdr:row>24</xdr:row>
      <xdr:rowOff>133350</xdr:rowOff>
    </xdr:to>
    <xdr:sp>
      <xdr:nvSpPr>
        <xdr:cNvPr id="4" name="AutoShape 41"/>
        <xdr:cNvSpPr>
          <a:spLocks/>
        </xdr:cNvSpPr>
      </xdr:nvSpPr>
      <xdr:spPr>
        <a:xfrm>
          <a:off x="342900" y="3228975"/>
          <a:ext cx="0" cy="885825"/>
        </a:xfrm>
        <a:prstGeom prst="homePlate">
          <a:avLst>
            <a:gd name="adj" fmla="val -2147483648"/>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28575</xdr:colOff>
      <xdr:row>26</xdr:row>
      <xdr:rowOff>9525</xdr:rowOff>
    </xdr:from>
    <xdr:to>
      <xdr:col>28</xdr:col>
      <xdr:colOff>514350</xdr:colOff>
      <xdr:row>203</xdr:row>
      <xdr:rowOff>19050</xdr:rowOff>
    </xdr:to>
    <xdr:sp>
      <xdr:nvSpPr>
        <xdr:cNvPr id="5" name="Text Box 42"/>
        <xdr:cNvSpPr txBox="1">
          <a:spLocks noChangeArrowheads="1"/>
        </xdr:cNvSpPr>
      </xdr:nvSpPr>
      <xdr:spPr>
        <a:xfrm>
          <a:off x="8801100" y="4448175"/>
          <a:ext cx="0" cy="40462200"/>
        </a:xfrm>
        <a:prstGeom prst="rect">
          <a:avLst/>
        </a:prstGeom>
        <a:solidFill>
          <a:srgbClr val="008080"/>
        </a:solidFill>
        <a:ln w="9525" cmpd="sng">
          <a:noFill/>
        </a:ln>
      </xdr:spPr>
      <xdr:txBody>
        <a:bodyPr vertOverflow="clip" wrap="square" lIns="45720" tIns="36576" rIns="0" bIns="36576" anchor="just" vert="vert"/>
        <a:p>
          <a:pPr algn="l">
            <a:defRPr/>
          </a:pPr>
          <a:r>
            <a:rPr lang="en-US" cap="none" sz="2200" b="0" i="0" u="none" baseline="0">
              <a:solidFill>
                <a:srgbClr val="FFFFFF"/>
              </a:solidFill>
              <a:latin typeface="Arial"/>
              <a:ea typeface="Arial"/>
              <a:cs typeface="Arial"/>
            </a:rPr>
            <a:t>Budget Specification All Years</a:t>
          </a:r>
        </a:p>
      </xdr:txBody>
    </xdr:sp>
    <xdr:clientData/>
  </xdr:twoCellAnchor>
  <xdr:twoCellAnchor>
    <xdr:from>
      <xdr:col>28</xdr:col>
      <xdr:colOff>28575</xdr:colOff>
      <xdr:row>20</xdr:row>
      <xdr:rowOff>38100</xdr:rowOff>
    </xdr:from>
    <xdr:to>
      <xdr:col>28</xdr:col>
      <xdr:colOff>533400</xdr:colOff>
      <xdr:row>24</xdr:row>
      <xdr:rowOff>133350</xdr:rowOff>
    </xdr:to>
    <xdr:sp>
      <xdr:nvSpPr>
        <xdr:cNvPr id="6" name="AutoShape 43"/>
        <xdr:cNvSpPr>
          <a:spLocks/>
        </xdr:cNvSpPr>
      </xdr:nvSpPr>
      <xdr:spPr>
        <a:xfrm>
          <a:off x="8801100" y="3228975"/>
          <a:ext cx="0" cy="885825"/>
        </a:xfrm>
        <a:prstGeom prst="homePlate">
          <a:avLst>
            <a:gd name="adj" fmla="val -2147483648"/>
          </a:avLst>
        </a:prstGeom>
        <a:solidFill>
          <a:srgbClr val="0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26</xdr:row>
      <xdr:rowOff>9525</xdr:rowOff>
    </xdr:from>
    <xdr:to>
      <xdr:col>41</xdr:col>
      <xdr:colOff>0</xdr:colOff>
      <xdr:row>203</xdr:row>
      <xdr:rowOff>19050</xdr:rowOff>
    </xdr:to>
    <xdr:sp>
      <xdr:nvSpPr>
        <xdr:cNvPr id="7" name="Text Box 44"/>
        <xdr:cNvSpPr txBox="1">
          <a:spLocks noChangeArrowheads="1"/>
        </xdr:cNvSpPr>
      </xdr:nvSpPr>
      <xdr:spPr>
        <a:xfrm>
          <a:off x="8801100" y="4448175"/>
          <a:ext cx="0" cy="40462200"/>
        </a:xfrm>
        <a:prstGeom prst="rect">
          <a:avLst/>
        </a:prstGeom>
        <a:solidFill>
          <a:srgbClr val="008080"/>
        </a:solidFill>
        <a:ln w="9525" cmpd="sng">
          <a:noFill/>
        </a:ln>
      </xdr:spPr>
      <xdr:txBody>
        <a:bodyPr vertOverflow="clip" wrap="square" lIns="45720" tIns="36576" rIns="0" bIns="36576" anchor="just" vert="vert"/>
        <a:p>
          <a:pPr algn="l">
            <a:defRPr/>
          </a:pPr>
          <a:r>
            <a:rPr lang="en-US" cap="none" sz="2200" b="0" i="0" u="none" baseline="0">
              <a:solidFill>
                <a:srgbClr val="FFFFFF"/>
              </a:solidFill>
              <a:latin typeface="Arial"/>
              <a:ea typeface="Arial"/>
              <a:cs typeface="Arial"/>
            </a:rPr>
            <a:t>Budget Specification Year 2</a:t>
          </a:r>
        </a:p>
      </xdr:txBody>
    </xdr:sp>
    <xdr:clientData/>
  </xdr:twoCellAnchor>
  <xdr:twoCellAnchor>
    <xdr:from>
      <xdr:col>41</xdr:col>
      <xdr:colOff>0</xdr:colOff>
      <xdr:row>20</xdr:row>
      <xdr:rowOff>38100</xdr:rowOff>
    </xdr:from>
    <xdr:to>
      <xdr:col>41</xdr:col>
      <xdr:colOff>0</xdr:colOff>
      <xdr:row>24</xdr:row>
      <xdr:rowOff>142875</xdr:rowOff>
    </xdr:to>
    <xdr:sp>
      <xdr:nvSpPr>
        <xdr:cNvPr id="8" name="AutoShape 45"/>
        <xdr:cNvSpPr>
          <a:spLocks/>
        </xdr:cNvSpPr>
      </xdr:nvSpPr>
      <xdr:spPr>
        <a:xfrm>
          <a:off x="8801100" y="3228975"/>
          <a:ext cx="0" cy="895350"/>
        </a:xfrm>
        <a:prstGeom prst="homePlate">
          <a:avLst>
            <a:gd name="adj" fmla="val -2147483648"/>
          </a:avLst>
        </a:prstGeom>
        <a:solidFill>
          <a:srgbClr val="0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276225</xdr:colOff>
      <xdr:row>15</xdr:row>
      <xdr:rowOff>28575</xdr:rowOff>
    </xdr:from>
    <xdr:to>
      <xdr:col>9</xdr:col>
      <xdr:colOff>1924050</xdr:colOff>
      <xdr:row>19</xdr:row>
      <xdr:rowOff>19050</xdr:rowOff>
    </xdr:to>
    <xdr:pic>
      <xdr:nvPicPr>
        <xdr:cNvPr id="9" name="Picture 554" descr="IAlogo_green"/>
        <xdr:cNvPicPr preferRelativeResize="1">
          <a:picLocks noChangeAspect="1"/>
        </xdr:cNvPicPr>
      </xdr:nvPicPr>
      <xdr:blipFill>
        <a:blip r:embed="rId1"/>
        <a:stretch>
          <a:fillRect/>
        </a:stretch>
      </xdr:blipFill>
      <xdr:spPr>
        <a:xfrm>
          <a:off x="619125" y="2524125"/>
          <a:ext cx="1647825" cy="628650"/>
        </a:xfrm>
        <a:prstGeom prst="rect">
          <a:avLst/>
        </a:prstGeom>
        <a:noFill/>
        <a:ln w="9525" cmpd="sng">
          <a:noFill/>
        </a:ln>
      </xdr:spPr>
    </xdr:pic>
    <xdr:clientData/>
  </xdr:twoCellAnchor>
  <xdr:twoCellAnchor>
    <xdr:from>
      <xdr:col>49</xdr:col>
      <xdr:colOff>409575</xdr:colOff>
      <xdr:row>11</xdr:row>
      <xdr:rowOff>9525</xdr:rowOff>
    </xdr:from>
    <xdr:to>
      <xdr:col>51</xdr:col>
      <xdr:colOff>600075</xdr:colOff>
      <xdr:row>14</xdr:row>
      <xdr:rowOff>152400</xdr:rowOff>
    </xdr:to>
    <xdr:pic>
      <xdr:nvPicPr>
        <xdr:cNvPr id="10" name="Picture 555" descr="IAlogo_green"/>
        <xdr:cNvPicPr preferRelativeResize="1">
          <a:picLocks noChangeAspect="1"/>
        </xdr:cNvPicPr>
      </xdr:nvPicPr>
      <xdr:blipFill>
        <a:blip r:embed="rId2"/>
        <a:stretch>
          <a:fillRect/>
        </a:stretch>
      </xdr:blipFill>
      <xdr:spPr>
        <a:xfrm>
          <a:off x="14258925" y="1857375"/>
          <a:ext cx="1981200" cy="628650"/>
        </a:xfrm>
        <a:prstGeom prst="rect">
          <a:avLst/>
        </a:prstGeom>
        <a:noFill/>
        <a:ln w="9525" cmpd="sng">
          <a:noFill/>
        </a:ln>
      </xdr:spPr>
    </xdr:pic>
    <xdr:clientData/>
  </xdr:twoCellAnchor>
  <xdr:twoCellAnchor>
    <xdr:from>
      <xdr:col>28</xdr:col>
      <xdr:colOff>0</xdr:colOff>
      <xdr:row>26</xdr:row>
      <xdr:rowOff>9525</xdr:rowOff>
    </xdr:from>
    <xdr:to>
      <xdr:col>28</xdr:col>
      <xdr:colOff>0</xdr:colOff>
      <xdr:row>203</xdr:row>
      <xdr:rowOff>19050</xdr:rowOff>
    </xdr:to>
    <xdr:sp>
      <xdr:nvSpPr>
        <xdr:cNvPr id="11" name="Text Box 556"/>
        <xdr:cNvSpPr txBox="1">
          <a:spLocks noChangeArrowheads="1"/>
        </xdr:cNvSpPr>
      </xdr:nvSpPr>
      <xdr:spPr>
        <a:xfrm>
          <a:off x="8801100" y="4448175"/>
          <a:ext cx="0" cy="40462200"/>
        </a:xfrm>
        <a:prstGeom prst="rect">
          <a:avLst/>
        </a:prstGeom>
        <a:solidFill>
          <a:srgbClr val="008080"/>
        </a:solidFill>
        <a:ln w="9525" cmpd="sng">
          <a:noFill/>
        </a:ln>
      </xdr:spPr>
      <xdr:txBody>
        <a:bodyPr vertOverflow="clip" wrap="square" lIns="45720" tIns="36576" rIns="0" bIns="36576" anchor="just" vert="vert"/>
        <a:p>
          <a:pPr algn="l">
            <a:defRPr/>
          </a:pPr>
          <a:r>
            <a:rPr lang="en-US" cap="none" sz="2200" b="0" i="0" u="none" baseline="0">
              <a:solidFill>
                <a:srgbClr val="FFFFFF"/>
              </a:solidFill>
              <a:latin typeface="Arial"/>
              <a:ea typeface="Arial"/>
              <a:cs typeface="Arial"/>
            </a:rPr>
            <a:t>Budget Specification Year 3</a:t>
          </a:r>
        </a:p>
      </xdr:txBody>
    </xdr:sp>
    <xdr:clientData/>
  </xdr:twoCellAnchor>
  <xdr:twoCellAnchor>
    <xdr:from>
      <xdr:col>41</xdr:col>
      <xdr:colOff>0</xdr:colOff>
      <xdr:row>20</xdr:row>
      <xdr:rowOff>38100</xdr:rowOff>
    </xdr:from>
    <xdr:to>
      <xdr:col>41</xdr:col>
      <xdr:colOff>0</xdr:colOff>
      <xdr:row>24</xdr:row>
      <xdr:rowOff>133350</xdr:rowOff>
    </xdr:to>
    <xdr:sp>
      <xdr:nvSpPr>
        <xdr:cNvPr id="12" name="AutoShape 557"/>
        <xdr:cNvSpPr>
          <a:spLocks/>
        </xdr:cNvSpPr>
      </xdr:nvSpPr>
      <xdr:spPr>
        <a:xfrm>
          <a:off x="8801100" y="3228975"/>
          <a:ext cx="0" cy="885825"/>
        </a:xfrm>
        <a:prstGeom prst="homePlate">
          <a:avLst>
            <a:gd name="adj" fmla="val -2147483648"/>
          </a:avLst>
        </a:prstGeom>
        <a:solidFill>
          <a:srgbClr val="0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26</xdr:row>
      <xdr:rowOff>9525</xdr:rowOff>
    </xdr:from>
    <xdr:to>
      <xdr:col>41</xdr:col>
      <xdr:colOff>0</xdr:colOff>
      <xdr:row>203</xdr:row>
      <xdr:rowOff>19050</xdr:rowOff>
    </xdr:to>
    <xdr:sp>
      <xdr:nvSpPr>
        <xdr:cNvPr id="13" name="Text Box 558"/>
        <xdr:cNvSpPr txBox="1">
          <a:spLocks noChangeArrowheads="1"/>
        </xdr:cNvSpPr>
      </xdr:nvSpPr>
      <xdr:spPr>
        <a:xfrm>
          <a:off x="8801100" y="4448175"/>
          <a:ext cx="0" cy="40462200"/>
        </a:xfrm>
        <a:prstGeom prst="rect">
          <a:avLst/>
        </a:prstGeom>
        <a:solidFill>
          <a:srgbClr val="008080"/>
        </a:solidFill>
        <a:ln w="9525" cmpd="sng">
          <a:noFill/>
        </a:ln>
      </xdr:spPr>
      <xdr:txBody>
        <a:bodyPr vertOverflow="clip" wrap="square" lIns="45720" tIns="36576" rIns="0" bIns="36576" anchor="just" vert="vert"/>
        <a:p>
          <a:pPr algn="l">
            <a:defRPr/>
          </a:pPr>
          <a:r>
            <a:rPr lang="en-US" cap="none" sz="2200" b="0" i="0" u="none" baseline="0">
              <a:solidFill>
                <a:srgbClr val="FFFFFF"/>
              </a:solidFill>
              <a:latin typeface="Arial"/>
              <a:ea typeface="Arial"/>
              <a:cs typeface="Arial"/>
            </a:rPr>
            <a:t>Budget Specification Year 3</a:t>
          </a:r>
        </a:p>
      </xdr:txBody>
    </xdr:sp>
    <xdr:clientData/>
  </xdr:twoCellAnchor>
  <xdr:twoCellAnchor>
    <xdr:from>
      <xdr:col>41</xdr:col>
      <xdr:colOff>0</xdr:colOff>
      <xdr:row>20</xdr:row>
      <xdr:rowOff>38100</xdr:rowOff>
    </xdr:from>
    <xdr:to>
      <xdr:col>41</xdr:col>
      <xdr:colOff>0</xdr:colOff>
      <xdr:row>24</xdr:row>
      <xdr:rowOff>133350</xdr:rowOff>
    </xdr:to>
    <xdr:sp>
      <xdr:nvSpPr>
        <xdr:cNvPr id="14" name="AutoShape 559"/>
        <xdr:cNvSpPr>
          <a:spLocks/>
        </xdr:cNvSpPr>
      </xdr:nvSpPr>
      <xdr:spPr>
        <a:xfrm>
          <a:off x="8801100" y="3228975"/>
          <a:ext cx="0" cy="885825"/>
        </a:xfrm>
        <a:prstGeom prst="homePlate">
          <a:avLst>
            <a:gd name="adj" fmla="val -2147483648"/>
          </a:avLst>
        </a:prstGeom>
        <a:solidFill>
          <a:srgbClr val="0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xdr:colOff>
      <xdr:row>26</xdr:row>
      <xdr:rowOff>9525</xdr:rowOff>
    </xdr:from>
    <xdr:to>
      <xdr:col>16</xdr:col>
      <xdr:colOff>514350</xdr:colOff>
      <xdr:row>203</xdr:row>
      <xdr:rowOff>19050</xdr:rowOff>
    </xdr:to>
    <xdr:sp>
      <xdr:nvSpPr>
        <xdr:cNvPr id="15" name="Text Box 42"/>
        <xdr:cNvSpPr txBox="1">
          <a:spLocks noChangeArrowheads="1"/>
        </xdr:cNvSpPr>
      </xdr:nvSpPr>
      <xdr:spPr>
        <a:xfrm>
          <a:off x="8801100" y="4448175"/>
          <a:ext cx="0" cy="40462200"/>
        </a:xfrm>
        <a:prstGeom prst="rect">
          <a:avLst/>
        </a:prstGeom>
        <a:solidFill>
          <a:srgbClr val="008080"/>
        </a:solidFill>
        <a:ln w="9525" cmpd="sng">
          <a:noFill/>
        </a:ln>
      </xdr:spPr>
      <xdr:txBody>
        <a:bodyPr vertOverflow="clip" wrap="square" lIns="45720" tIns="36576" rIns="0" bIns="36576" anchor="just" vert="vert"/>
        <a:p>
          <a:pPr algn="l">
            <a:defRPr/>
          </a:pPr>
          <a:r>
            <a:rPr lang="en-US" cap="none" sz="2200" b="0" i="0" u="none" baseline="0">
              <a:solidFill>
                <a:srgbClr val="FFFFFF"/>
              </a:solidFill>
              <a:latin typeface="Arial"/>
              <a:ea typeface="Arial"/>
              <a:cs typeface="Arial"/>
            </a:rPr>
            <a:t>Budget Specification Year 1</a:t>
          </a:r>
        </a:p>
      </xdr:txBody>
    </xdr:sp>
    <xdr:clientData/>
  </xdr:twoCellAnchor>
  <xdr:twoCellAnchor>
    <xdr:from>
      <xdr:col>16</xdr:col>
      <xdr:colOff>28575</xdr:colOff>
      <xdr:row>20</xdr:row>
      <xdr:rowOff>38100</xdr:rowOff>
    </xdr:from>
    <xdr:to>
      <xdr:col>16</xdr:col>
      <xdr:colOff>533400</xdr:colOff>
      <xdr:row>24</xdr:row>
      <xdr:rowOff>133350</xdr:rowOff>
    </xdr:to>
    <xdr:sp>
      <xdr:nvSpPr>
        <xdr:cNvPr id="16" name="AutoShape 43"/>
        <xdr:cNvSpPr>
          <a:spLocks/>
        </xdr:cNvSpPr>
      </xdr:nvSpPr>
      <xdr:spPr>
        <a:xfrm>
          <a:off x="8801100" y="3228975"/>
          <a:ext cx="0" cy="885825"/>
        </a:xfrm>
        <a:prstGeom prst="homePlate">
          <a:avLst>
            <a:gd name="adj" fmla="val -2147483648"/>
          </a:avLst>
        </a:prstGeom>
        <a:solidFill>
          <a:srgbClr val="0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26</xdr:row>
      <xdr:rowOff>9525</xdr:rowOff>
    </xdr:from>
    <xdr:to>
      <xdr:col>34</xdr:col>
      <xdr:colOff>0</xdr:colOff>
      <xdr:row>152</xdr:row>
      <xdr:rowOff>0</xdr:rowOff>
    </xdr:to>
    <xdr:sp>
      <xdr:nvSpPr>
        <xdr:cNvPr id="1" name="Text Box 556"/>
        <xdr:cNvSpPr txBox="1">
          <a:spLocks noChangeArrowheads="1"/>
        </xdr:cNvSpPr>
      </xdr:nvSpPr>
      <xdr:spPr>
        <a:xfrm>
          <a:off x="11734800" y="4905375"/>
          <a:ext cx="0" cy="30784800"/>
        </a:xfrm>
        <a:prstGeom prst="rect">
          <a:avLst/>
        </a:prstGeom>
        <a:solidFill>
          <a:srgbClr val="008080"/>
        </a:solidFill>
        <a:ln w="9525" cmpd="sng">
          <a:noFill/>
        </a:ln>
      </xdr:spPr>
      <xdr:txBody>
        <a:bodyPr vertOverflow="clip" wrap="square" lIns="45720" tIns="36576" rIns="0" bIns="36576" anchor="just" vert="vert"/>
        <a:p>
          <a:pPr algn="l">
            <a:defRPr/>
          </a:pPr>
          <a:r>
            <a:rPr lang="en-US" cap="none" sz="2200" b="0" i="0" u="none" baseline="0">
              <a:solidFill>
                <a:srgbClr val="FFFFFF"/>
              </a:solidFill>
              <a:latin typeface="Arial"/>
              <a:ea typeface="Arial"/>
              <a:cs typeface="Arial"/>
            </a:rPr>
            <a:t>Budget Specification Year 3</a:t>
          </a:r>
        </a:p>
      </xdr:txBody>
    </xdr:sp>
    <xdr:clientData/>
  </xdr:twoCellAnchor>
  <xdr:twoCellAnchor>
    <xdr:from>
      <xdr:col>19</xdr:col>
      <xdr:colOff>0</xdr:colOff>
      <xdr:row>26</xdr:row>
      <xdr:rowOff>9525</xdr:rowOff>
    </xdr:from>
    <xdr:to>
      <xdr:col>19</xdr:col>
      <xdr:colOff>0</xdr:colOff>
      <xdr:row>152</xdr:row>
      <xdr:rowOff>0</xdr:rowOff>
    </xdr:to>
    <xdr:sp>
      <xdr:nvSpPr>
        <xdr:cNvPr id="2" name="Text Box 556"/>
        <xdr:cNvSpPr txBox="1">
          <a:spLocks noChangeArrowheads="1"/>
        </xdr:cNvSpPr>
      </xdr:nvSpPr>
      <xdr:spPr>
        <a:xfrm>
          <a:off x="9105900" y="4905375"/>
          <a:ext cx="0" cy="30784800"/>
        </a:xfrm>
        <a:prstGeom prst="rect">
          <a:avLst/>
        </a:prstGeom>
        <a:solidFill>
          <a:srgbClr val="008080"/>
        </a:solidFill>
        <a:ln w="9525" cmpd="sng">
          <a:noFill/>
        </a:ln>
      </xdr:spPr>
      <xdr:txBody>
        <a:bodyPr vertOverflow="clip" wrap="square" lIns="45720" tIns="36576" rIns="0" bIns="36576" anchor="just" vert="vert"/>
        <a:p>
          <a:pPr algn="l">
            <a:defRPr/>
          </a:pPr>
          <a:r>
            <a:rPr lang="en-US" cap="none" sz="2200" b="0" i="0" u="none" baseline="0">
              <a:solidFill>
                <a:srgbClr val="FFFFFF"/>
              </a:solidFill>
              <a:latin typeface="Arial"/>
              <a:ea typeface="Arial"/>
              <a:cs typeface="Arial"/>
            </a:rPr>
            <a:t>Budget Specification Year 3</a:t>
          </a:r>
        </a:p>
      </xdr:txBody>
    </xdr:sp>
    <xdr:clientData/>
  </xdr:twoCellAnchor>
  <xdr:twoCellAnchor>
    <xdr:from>
      <xdr:col>27</xdr:col>
      <xdr:colOff>0</xdr:colOff>
      <xdr:row>26</xdr:row>
      <xdr:rowOff>9525</xdr:rowOff>
    </xdr:from>
    <xdr:to>
      <xdr:col>27</xdr:col>
      <xdr:colOff>0</xdr:colOff>
      <xdr:row>152</xdr:row>
      <xdr:rowOff>0</xdr:rowOff>
    </xdr:to>
    <xdr:sp>
      <xdr:nvSpPr>
        <xdr:cNvPr id="3" name="Text Box 556"/>
        <xdr:cNvSpPr txBox="1">
          <a:spLocks noChangeArrowheads="1"/>
        </xdr:cNvSpPr>
      </xdr:nvSpPr>
      <xdr:spPr>
        <a:xfrm>
          <a:off x="10001250" y="4905375"/>
          <a:ext cx="0" cy="30784800"/>
        </a:xfrm>
        <a:prstGeom prst="rect">
          <a:avLst/>
        </a:prstGeom>
        <a:solidFill>
          <a:srgbClr val="008080"/>
        </a:solidFill>
        <a:ln w="9525" cmpd="sng">
          <a:noFill/>
        </a:ln>
      </xdr:spPr>
      <xdr:txBody>
        <a:bodyPr vertOverflow="clip" wrap="square" lIns="45720" tIns="36576" rIns="0" bIns="36576" anchor="just" vert="vert"/>
        <a:p>
          <a:pPr algn="l">
            <a:defRPr/>
          </a:pPr>
          <a:r>
            <a:rPr lang="en-US" cap="none" sz="2200" b="0" i="0" u="none" baseline="0">
              <a:solidFill>
                <a:srgbClr val="FFFFFF"/>
              </a:solidFill>
              <a:latin typeface="Arial"/>
              <a:ea typeface="Arial"/>
              <a:cs typeface="Arial"/>
            </a:rPr>
            <a:t>Budget Specification Year 3</a:t>
          </a:r>
        </a:p>
      </xdr:txBody>
    </xdr:sp>
    <xdr:clientData/>
  </xdr:twoCellAnchor>
  <xdr:twoCellAnchor>
    <xdr:from>
      <xdr:col>23</xdr:col>
      <xdr:colOff>0</xdr:colOff>
      <xdr:row>26</xdr:row>
      <xdr:rowOff>9525</xdr:rowOff>
    </xdr:from>
    <xdr:to>
      <xdr:col>23</xdr:col>
      <xdr:colOff>0</xdr:colOff>
      <xdr:row>152</xdr:row>
      <xdr:rowOff>0</xdr:rowOff>
    </xdr:to>
    <xdr:sp>
      <xdr:nvSpPr>
        <xdr:cNvPr id="4" name="Text Box 556"/>
        <xdr:cNvSpPr txBox="1">
          <a:spLocks noChangeArrowheads="1"/>
        </xdr:cNvSpPr>
      </xdr:nvSpPr>
      <xdr:spPr>
        <a:xfrm>
          <a:off x="10001250" y="4905375"/>
          <a:ext cx="0" cy="30784800"/>
        </a:xfrm>
        <a:prstGeom prst="rect">
          <a:avLst/>
        </a:prstGeom>
        <a:solidFill>
          <a:srgbClr val="008080"/>
        </a:solidFill>
        <a:ln w="9525" cmpd="sng">
          <a:noFill/>
        </a:ln>
      </xdr:spPr>
      <xdr:txBody>
        <a:bodyPr vertOverflow="clip" wrap="square" lIns="45720" tIns="36576" rIns="0" bIns="36576" anchor="just" vert="vert"/>
        <a:p>
          <a:pPr algn="l">
            <a:defRPr/>
          </a:pPr>
          <a:r>
            <a:rPr lang="en-US" cap="none" sz="2200" b="0" i="0" u="none" baseline="0">
              <a:solidFill>
                <a:srgbClr val="FFFFFF"/>
              </a:solidFill>
              <a:latin typeface="Arial"/>
              <a:ea typeface="Arial"/>
              <a:cs typeface="Arial"/>
            </a:rPr>
            <a:t>Budget Specification Year 3</a:t>
          </a:r>
        </a:p>
      </xdr:txBody>
    </xdr:sp>
    <xdr:clientData/>
  </xdr:twoCellAnchor>
  <xdr:twoCellAnchor>
    <xdr:from>
      <xdr:col>31</xdr:col>
      <xdr:colOff>0</xdr:colOff>
      <xdr:row>26</xdr:row>
      <xdr:rowOff>9525</xdr:rowOff>
    </xdr:from>
    <xdr:to>
      <xdr:col>31</xdr:col>
      <xdr:colOff>0</xdr:colOff>
      <xdr:row>152</xdr:row>
      <xdr:rowOff>0</xdr:rowOff>
    </xdr:to>
    <xdr:sp>
      <xdr:nvSpPr>
        <xdr:cNvPr id="5" name="Text Box 556"/>
        <xdr:cNvSpPr txBox="1">
          <a:spLocks noChangeArrowheads="1"/>
        </xdr:cNvSpPr>
      </xdr:nvSpPr>
      <xdr:spPr>
        <a:xfrm>
          <a:off x="10001250" y="4905375"/>
          <a:ext cx="0" cy="30784800"/>
        </a:xfrm>
        <a:prstGeom prst="rect">
          <a:avLst/>
        </a:prstGeom>
        <a:solidFill>
          <a:srgbClr val="008080"/>
        </a:solidFill>
        <a:ln w="9525" cmpd="sng">
          <a:noFill/>
        </a:ln>
      </xdr:spPr>
      <xdr:txBody>
        <a:bodyPr vertOverflow="clip" wrap="square" lIns="45720" tIns="36576" rIns="0" bIns="36576" anchor="just" vert="vert"/>
        <a:p>
          <a:pPr algn="l">
            <a:defRPr/>
          </a:pPr>
          <a:r>
            <a:rPr lang="en-US" cap="none" sz="2200" b="0" i="0" u="none" baseline="0">
              <a:solidFill>
                <a:srgbClr val="FFFFFF"/>
              </a:solidFill>
              <a:latin typeface="Arial"/>
              <a:ea typeface="Arial"/>
              <a:cs typeface="Arial"/>
            </a:rPr>
            <a:t>Budget Specification Year 3</a:t>
          </a:r>
        </a:p>
      </xdr:txBody>
    </xdr:sp>
    <xdr:clientData/>
  </xdr:twoCellAnchor>
  <xdr:twoCellAnchor>
    <xdr:from>
      <xdr:col>35</xdr:col>
      <xdr:colOff>9525</xdr:colOff>
      <xdr:row>26</xdr:row>
      <xdr:rowOff>0</xdr:rowOff>
    </xdr:from>
    <xdr:to>
      <xdr:col>35</xdr:col>
      <xdr:colOff>495300</xdr:colOff>
      <xdr:row>164</xdr:row>
      <xdr:rowOff>9525</xdr:rowOff>
    </xdr:to>
    <xdr:sp>
      <xdr:nvSpPr>
        <xdr:cNvPr id="6" name="Text Box 29"/>
        <xdr:cNvSpPr txBox="1">
          <a:spLocks noChangeArrowheads="1"/>
        </xdr:cNvSpPr>
      </xdr:nvSpPr>
      <xdr:spPr>
        <a:xfrm>
          <a:off x="12306300" y="4895850"/>
          <a:ext cx="0" cy="33689925"/>
        </a:xfrm>
        <a:prstGeom prst="rect">
          <a:avLst/>
        </a:prstGeom>
        <a:solidFill>
          <a:srgbClr val="800000"/>
        </a:solidFill>
        <a:ln w="9525" cmpd="sng">
          <a:noFill/>
        </a:ln>
      </xdr:spPr>
      <xdr:txBody>
        <a:bodyPr vertOverflow="clip" wrap="square" lIns="45720" tIns="36576" rIns="0" bIns="36576" anchor="just" vert="vert"/>
        <a:p>
          <a:pPr algn="l">
            <a:defRPr/>
          </a:pPr>
          <a:r>
            <a:rPr lang="en-US" cap="none" sz="2200" b="0" i="0" u="none" baseline="0">
              <a:solidFill>
                <a:srgbClr val="FFFFFF"/>
              </a:solidFill>
              <a:latin typeface="Arial"/>
              <a:ea typeface="Arial"/>
              <a:cs typeface="Arial"/>
            </a:rPr>
            <a:t>Actual Expenditure per Month in USD $ </a:t>
          </a:r>
        </a:p>
      </xdr:txBody>
    </xdr:sp>
    <xdr:clientData/>
  </xdr:twoCellAnchor>
  <xdr:twoCellAnchor>
    <xdr:from>
      <xdr:col>34</xdr:col>
      <xdr:colOff>571500</xdr:colOff>
      <xdr:row>21</xdr:row>
      <xdr:rowOff>0</xdr:rowOff>
    </xdr:from>
    <xdr:to>
      <xdr:col>36</xdr:col>
      <xdr:colOff>0</xdr:colOff>
      <xdr:row>24</xdr:row>
      <xdr:rowOff>123825</xdr:rowOff>
    </xdr:to>
    <xdr:sp>
      <xdr:nvSpPr>
        <xdr:cNvPr id="7" name="AutoShape 34"/>
        <xdr:cNvSpPr>
          <a:spLocks/>
        </xdr:cNvSpPr>
      </xdr:nvSpPr>
      <xdr:spPr>
        <a:xfrm>
          <a:off x="12306300" y="3486150"/>
          <a:ext cx="0" cy="1028700"/>
        </a:xfrm>
        <a:prstGeom prst="homePlate">
          <a:avLst>
            <a:gd name="adj" fmla="val -2147483648"/>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114300</xdr:colOff>
      <xdr:row>14</xdr:row>
      <xdr:rowOff>95250</xdr:rowOff>
    </xdr:from>
    <xdr:to>
      <xdr:col>2</xdr:col>
      <xdr:colOff>333375</xdr:colOff>
      <xdr:row>20</xdr:row>
      <xdr:rowOff>66675</xdr:rowOff>
    </xdr:to>
    <xdr:pic>
      <xdr:nvPicPr>
        <xdr:cNvPr id="8" name="Picture 3"/>
        <xdr:cNvPicPr preferRelativeResize="1">
          <a:picLocks noChangeAspect="1"/>
        </xdr:cNvPicPr>
      </xdr:nvPicPr>
      <xdr:blipFill>
        <a:blip r:embed="rId1"/>
        <a:stretch>
          <a:fillRect/>
        </a:stretch>
      </xdr:blipFill>
      <xdr:spPr>
        <a:xfrm>
          <a:off x="800100" y="2362200"/>
          <a:ext cx="333375" cy="1019175"/>
        </a:xfrm>
        <a:prstGeom prst="rect">
          <a:avLst/>
        </a:prstGeom>
        <a:noFill/>
        <a:ln w="9525" cmpd="sng">
          <a:noFill/>
        </a:ln>
      </xdr:spPr>
    </xdr:pic>
    <xdr:clientData/>
  </xdr:twoCellAnchor>
  <xdr:twoCellAnchor editAs="oneCell">
    <xdr:from>
      <xdr:col>42</xdr:col>
      <xdr:colOff>0</xdr:colOff>
      <xdr:row>12</xdr:row>
      <xdr:rowOff>0</xdr:rowOff>
    </xdr:from>
    <xdr:to>
      <xdr:col>43</xdr:col>
      <xdr:colOff>0</xdr:colOff>
      <xdr:row>17</xdr:row>
      <xdr:rowOff>152400</xdr:rowOff>
    </xdr:to>
    <xdr:pic>
      <xdr:nvPicPr>
        <xdr:cNvPr id="9" name="Picture 29"/>
        <xdr:cNvPicPr preferRelativeResize="1">
          <a:picLocks noChangeAspect="1"/>
        </xdr:cNvPicPr>
      </xdr:nvPicPr>
      <xdr:blipFill>
        <a:blip r:embed="rId1"/>
        <a:stretch>
          <a:fillRect/>
        </a:stretch>
      </xdr:blipFill>
      <xdr:spPr>
        <a:xfrm>
          <a:off x="12306300" y="1943100"/>
          <a:ext cx="0" cy="962025"/>
        </a:xfrm>
        <a:prstGeom prst="rect">
          <a:avLst/>
        </a:prstGeom>
        <a:noFill/>
        <a:ln w="9525" cmpd="sng">
          <a:noFill/>
        </a:ln>
      </xdr:spPr>
    </xdr:pic>
    <xdr:clientData/>
  </xdr:twoCellAnchor>
  <xdr:twoCellAnchor editAs="oneCell">
    <xdr:from>
      <xdr:col>6</xdr:col>
      <xdr:colOff>0</xdr:colOff>
      <xdr:row>11</xdr:row>
      <xdr:rowOff>0</xdr:rowOff>
    </xdr:from>
    <xdr:to>
      <xdr:col>7</xdr:col>
      <xdr:colOff>0</xdr:colOff>
      <xdr:row>17</xdr:row>
      <xdr:rowOff>0</xdr:rowOff>
    </xdr:to>
    <xdr:pic>
      <xdr:nvPicPr>
        <xdr:cNvPr id="10" name="Picture 30"/>
        <xdr:cNvPicPr preferRelativeResize="1">
          <a:picLocks noChangeAspect="1"/>
        </xdr:cNvPicPr>
      </xdr:nvPicPr>
      <xdr:blipFill>
        <a:blip r:embed="rId1"/>
        <a:stretch>
          <a:fillRect/>
        </a:stretch>
      </xdr:blipFill>
      <xdr:spPr>
        <a:xfrm>
          <a:off x="4714875" y="1781175"/>
          <a:ext cx="0" cy="971550"/>
        </a:xfrm>
        <a:prstGeom prst="rect">
          <a:avLst/>
        </a:prstGeom>
        <a:noFill/>
        <a:ln w="9525" cmpd="sng">
          <a:noFill/>
        </a:ln>
      </xdr:spPr>
    </xdr:pic>
    <xdr:clientData/>
  </xdr:twoCellAnchor>
  <xdr:twoCellAnchor>
    <xdr:from>
      <xdr:col>53</xdr:col>
      <xdr:colOff>28575</xdr:colOff>
      <xdr:row>26</xdr:row>
      <xdr:rowOff>9525</xdr:rowOff>
    </xdr:from>
    <xdr:to>
      <xdr:col>54</xdr:col>
      <xdr:colOff>0</xdr:colOff>
      <xdr:row>164</xdr:row>
      <xdr:rowOff>9525</xdr:rowOff>
    </xdr:to>
    <xdr:sp>
      <xdr:nvSpPr>
        <xdr:cNvPr id="11" name="Text Box 29"/>
        <xdr:cNvSpPr txBox="1">
          <a:spLocks noChangeArrowheads="1"/>
        </xdr:cNvSpPr>
      </xdr:nvSpPr>
      <xdr:spPr>
        <a:xfrm>
          <a:off x="12306300" y="4905375"/>
          <a:ext cx="0" cy="33680400"/>
        </a:xfrm>
        <a:prstGeom prst="rect">
          <a:avLst/>
        </a:prstGeom>
        <a:solidFill>
          <a:srgbClr val="800000"/>
        </a:solidFill>
        <a:ln w="9525" cmpd="sng">
          <a:noFill/>
        </a:ln>
      </xdr:spPr>
      <xdr:txBody>
        <a:bodyPr vertOverflow="clip" wrap="square" lIns="45720" tIns="36576" rIns="0" bIns="36576" anchor="just" vert="vert"/>
        <a:p>
          <a:pPr algn="l">
            <a:defRPr/>
          </a:pPr>
          <a:r>
            <a:rPr lang="en-US" cap="none" sz="2200" b="0" i="0" u="none" baseline="0">
              <a:solidFill>
                <a:srgbClr val="FFFFFF"/>
              </a:solidFill>
              <a:latin typeface="Arial"/>
              <a:ea typeface="Arial"/>
              <a:cs typeface="Arial"/>
            </a:rPr>
            <a:t>Actual Expenditure per Month in GB £</a:t>
          </a:r>
        </a:p>
      </xdr:txBody>
    </xdr:sp>
    <xdr:clientData/>
  </xdr:twoCellAnchor>
  <xdr:twoCellAnchor>
    <xdr:from>
      <xdr:col>53</xdr:col>
      <xdr:colOff>28575</xdr:colOff>
      <xdr:row>20</xdr:row>
      <xdr:rowOff>38100</xdr:rowOff>
    </xdr:from>
    <xdr:to>
      <xdr:col>53</xdr:col>
      <xdr:colOff>457200</xdr:colOff>
      <xdr:row>24</xdr:row>
      <xdr:rowOff>123825</xdr:rowOff>
    </xdr:to>
    <xdr:sp>
      <xdr:nvSpPr>
        <xdr:cNvPr id="12" name="AutoShape 34"/>
        <xdr:cNvSpPr>
          <a:spLocks/>
        </xdr:cNvSpPr>
      </xdr:nvSpPr>
      <xdr:spPr>
        <a:xfrm>
          <a:off x="12306300" y="3352800"/>
          <a:ext cx="0" cy="1162050"/>
        </a:xfrm>
        <a:prstGeom prst="homePlate">
          <a:avLst>
            <a:gd name="adj" fmla="val -2147483648"/>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71</xdr:col>
      <xdr:colOff>28575</xdr:colOff>
      <xdr:row>26</xdr:row>
      <xdr:rowOff>9525</xdr:rowOff>
    </xdr:from>
    <xdr:to>
      <xdr:col>72</xdr:col>
      <xdr:colOff>0</xdr:colOff>
      <xdr:row>164</xdr:row>
      <xdr:rowOff>9525</xdr:rowOff>
    </xdr:to>
    <xdr:sp>
      <xdr:nvSpPr>
        <xdr:cNvPr id="13" name="Text Box 29"/>
        <xdr:cNvSpPr txBox="1">
          <a:spLocks noChangeArrowheads="1"/>
        </xdr:cNvSpPr>
      </xdr:nvSpPr>
      <xdr:spPr>
        <a:xfrm>
          <a:off x="12306300" y="4905375"/>
          <a:ext cx="0" cy="33680400"/>
        </a:xfrm>
        <a:prstGeom prst="rect">
          <a:avLst/>
        </a:prstGeom>
        <a:solidFill>
          <a:srgbClr val="800000"/>
        </a:solidFill>
        <a:ln w="9525" cmpd="sng">
          <a:noFill/>
        </a:ln>
      </xdr:spPr>
      <xdr:txBody>
        <a:bodyPr vertOverflow="clip" wrap="square" lIns="45720" tIns="36576" rIns="0" bIns="36576" anchor="just" vert="vert"/>
        <a:p>
          <a:pPr algn="l">
            <a:defRPr/>
          </a:pPr>
          <a:r>
            <a:rPr lang="en-US" cap="none" sz="2200" b="0" i="0" u="none" baseline="0">
              <a:solidFill>
                <a:srgbClr val="FFFFFF"/>
              </a:solidFill>
              <a:latin typeface="Arial"/>
              <a:ea typeface="Arial"/>
              <a:cs typeface="Arial"/>
            </a:rPr>
            <a:t>Actual Expenditure per Month in GB £</a:t>
          </a:r>
        </a:p>
      </xdr:txBody>
    </xdr:sp>
    <xdr:clientData/>
  </xdr:twoCellAnchor>
  <xdr:twoCellAnchor>
    <xdr:from>
      <xdr:col>71</xdr:col>
      <xdr:colOff>28575</xdr:colOff>
      <xdr:row>20</xdr:row>
      <xdr:rowOff>38100</xdr:rowOff>
    </xdr:from>
    <xdr:to>
      <xdr:col>71</xdr:col>
      <xdr:colOff>457200</xdr:colOff>
      <xdr:row>24</xdr:row>
      <xdr:rowOff>123825</xdr:rowOff>
    </xdr:to>
    <xdr:sp>
      <xdr:nvSpPr>
        <xdr:cNvPr id="14" name="AutoShape 34"/>
        <xdr:cNvSpPr>
          <a:spLocks/>
        </xdr:cNvSpPr>
      </xdr:nvSpPr>
      <xdr:spPr>
        <a:xfrm>
          <a:off x="12306300" y="3352800"/>
          <a:ext cx="0" cy="1162050"/>
        </a:xfrm>
        <a:prstGeom prst="homePlate">
          <a:avLst>
            <a:gd name="adj" fmla="val -2147483648"/>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Y220"/>
  <sheetViews>
    <sheetView zoomScaleSheetLayoutView="70" zoomScalePageLayoutView="0" workbookViewId="0" topLeftCell="A16">
      <pane xSplit="11" ySplit="13" topLeftCell="L29" activePane="bottomRight" state="frozen"/>
      <selection pane="topLeft" activeCell="A16" sqref="A16"/>
      <selection pane="topRight" activeCell="L16" sqref="L16"/>
      <selection pane="bottomLeft" activeCell="A29" sqref="A29"/>
      <selection pane="bottomRight" activeCell="L30" sqref="L30"/>
    </sheetView>
  </sheetViews>
  <sheetFormatPr defaultColWidth="10.8515625" defaultRowHeight="12.75" outlineLevelRow="1" outlineLevelCol="1"/>
  <cols>
    <col min="1" max="1" width="5.140625" style="78" customWidth="1"/>
    <col min="2" max="3" width="9.7109375" style="4" hidden="1" customWidth="1" outlineLevel="1"/>
    <col min="4" max="4" width="1.57421875" style="4" hidden="1" customWidth="1" outlineLevel="1"/>
    <col min="5" max="5" width="9.7109375" style="4" hidden="1" customWidth="1" outlineLevel="1"/>
    <col min="6" max="6" width="1.1484375" style="4" hidden="1" customWidth="1" outlineLevel="1"/>
    <col min="7" max="7" width="1.57421875" style="4" hidden="1" customWidth="1" outlineLevel="1"/>
    <col min="8" max="8" width="9.28125" style="4" hidden="1" customWidth="1" collapsed="1"/>
    <col min="9" max="9" width="5.7109375" style="6" hidden="1" customWidth="1"/>
    <col min="10" max="10" width="75.421875" style="4" customWidth="1"/>
    <col min="11" max="11" width="17.140625" style="373" hidden="1" customWidth="1"/>
    <col min="12" max="12" width="17.140625" style="448" customWidth="1"/>
    <col min="13" max="13" width="17.140625" style="415" customWidth="1"/>
    <col min="14" max="14" width="15.8515625" style="415" hidden="1" customWidth="1"/>
    <col min="15" max="15" width="17.140625" style="415" customWidth="1"/>
    <col min="16" max="16" width="1.1484375" style="4" hidden="1" customWidth="1"/>
    <col min="17" max="17" width="9.28125" style="4" hidden="1" customWidth="1"/>
    <col min="18" max="18" width="11.421875" style="4" hidden="1" customWidth="1"/>
    <col min="19" max="19" width="14.28125" style="4" hidden="1" customWidth="1"/>
    <col min="20" max="20" width="10.7109375" style="41" hidden="1" customWidth="1"/>
    <col min="21" max="22" width="15.00390625" style="46" hidden="1" customWidth="1"/>
    <col min="23" max="23" width="17.140625" style="342" hidden="1" customWidth="1"/>
    <col min="24" max="24" width="1.7109375" style="4" hidden="1" customWidth="1"/>
    <col min="25" max="25" width="15.8515625" style="313" hidden="1" customWidth="1"/>
    <col min="26" max="26" width="1.7109375" style="4" hidden="1" customWidth="1"/>
    <col min="27" max="27" width="14.28125" style="4" hidden="1" customWidth="1"/>
    <col min="28" max="28" width="1.7109375" style="4" hidden="1" customWidth="1"/>
    <col min="29" max="29" width="9.28125" style="4" hidden="1" customWidth="1"/>
    <col min="30" max="30" width="11.421875" style="4" hidden="1" customWidth="1"/>
    <col min="31" max="31" width="14.28125" style="4" hidden="1" customWidth="1"/>
    <col min="32" max="32" width="11.57421875" style="41" hidden="1" customWidth="1"/>
    <col min="33" max="34" width="15.00390625" style="46" hidden="1" customWidth="1"/>
    <col min="35" max="35" width="18.00390625" style="254" hidden="1" customWidth="1"/>
    <col min="36" max="36" width="1.7109375" style="4" hidden="1" customWidth="1"/>
    <col min="37" max="37" width="20.57421875" style="313" hidden="1" customWidth="1"/>
    <col min="38" max="38" width="1.7109375" style="4" hidden="1" customWidth="1"/>
    <col min="39" max="39" width="21.57421875" style="4" hidden="1" customWidth="1"/>
    <col min="40" max="41" width="1.7109375" style="4" hidden="1" customWidth="1"/>
    <col min="42" max="42" width="1.57421875" style="4" hidden="1" customWidth="1"/>
    <col min="43" max="43" width="8.57421875" style="4" customWidth="1" collapsed="1"/>
    <col min="44" max="44" width="13.421875" style="75" hidden="1" customWidth="1"/>
    <col min="45" max="77" width="13.421875" style="4" customWidth="1"/>
    <col min="78" max="16384" width="10.8515625" style="4" customWidth="1"/>
  </cols>
  <sheetData>
    <row r="1" spans="1:77" ht="15.75">
      <c r="A1" s="76" t="s">
        <v>63</v>
      </c>
      <c r="B1" s="1"/>
      <c r="C1" s="1"/>
      <c r="D1" s="2"/>
      <c r="E1" s="1"/>
      <c r="F1" s="2"/>
      <c r="G1" s="1"/>
      <c r="H1" s="2"/>
      <c r="I1" s="1"/>
      <c r="J1" s="15" t="s">
        <v>6</v>
      </c>
      <c r="K1" s="345"/>
      <c r="L1" s="417"/>
      <c r="M1" s="375" t="s">
        <v>316</v>
      </c>
      <c r="N1" s="376"/>
      <c r="O1" s="376"/>
      <c r="P1" s="1"/>
      <c r="Q1" s="2"/>
      <c r="R1" s="2"/>
      <c r="S1" s="2"/>
      <c r="T1" s="37"/>
      <c r="U1" s="42"/>
      <c r="V1" s="42"/>
      <c r="W1" s="320"/>
      <c r="X1" s="2"/>
      <c r="Y1" s="291"/>
      <c r="Z1" s="1"/>
      <c r="AA1" s="1"/>
      <c r="AB1" s="1"/>
      <c r="AC1" s="2"/>
      <c r="AD1" s="2"/>
      <c r="AE1" s="2"/>
      <c r="AF1" s="37"/>
      <c r="AG1" s="42"/>
      <c r="AH1" s="42"/>
      <c r="AI1" s="232"/>
      <c r="AJ1" s="2"/>
      <c r="AK1" s="291"/>
      <c r="AL1" s="1"/>
      <c r="AM1" s="1"/>
      <c r="AN1" s="1"/>
      <c r="AO1" s="2"/>
      <c r="AP1" s="15"/>
      <c r="AQ1" s="15"/>
      <c r="AR1" s="66"/>
      <c r="AS1" s="15"/>
      <c r="AT1" s="15"/>
      <c r="AU1" s="2"/>
      <c r="AV1" s="15"/>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row>
    <row r="2" spans="1:77" ht="15">
      <c r="A2" s="76"/>
      <c r="B2" s="2"/>
      <c r="C2" s="2"/>
      <c r="D2" s="2"/>
      <c r="E2" s="2"/>
      <c r="F2" s="2"/>
      <c r="G2" s="2"/>
      <c r="H2" s="2"/>
      <c r="I2" s="5"/>
      <c r="J2" s="31" t="s">
        <v>57</v>
      </c>
      <c r="K2" s="346"/>
      <c r="L2" s="418"/>
      <c r="M2" s="377" t="s">
        <v>61</v>
      </c>
      <c r="N2" s="378"/>
      <c r="O2" s="378"/>
      <c r="P2" s="2"/>
      <c r="Q2" s="2"/>
      <c r="R2" s="2"/>
      <c r="S2" s="2"/>
      <c r="T2" s="37"/>
      <c r="U2" s="42"/>
      <c r="V2" s="42"/>
      <c r="W2" s="320"/>
      <c r="X2" s="2"/>
      <c r="Y2" s="291"/>
      <c r="Z2" s="31"/>
      <c r="AA2" s="31"/>
      <c r="AB2" s="2"/>
      <c r="AC2" s="2"/>
      <c r="AD2" s="2"/>
      <c r="AE2" s="2"/>
      <c r="AF2" s="37"/>
      <c r="AG2" s="42"/>
      <c r="AH2" s="42"/>
      <c r="AI2" s="232"/>
      <c r="AJ2" s="2"/>
      <c r="AK2" s="291"/>
      <c r="AL2" s="31"/>
      <c r="AM2" s="31"/>
      <c r="AN2" s="31"/>
      <c r="AO2" s="2"/>
      <c r="AP2" s="29"/>
      <c r="AQ2" s="29"/>
      <c r="AR2" s="67"/>
      <c r="AS2" s="29"/>
      <c r="AT2" s="29"/>
      <c r="AU2" s="2"/>
      <c r="AV2" s="30"/>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row>
    <row r="3" spans="1:77" ht="12.75">
      <c r="A3" s="76"/>
      <c r="B3" s="2"/>
      <c r="C3" s="2"/>
      <c r="D3" s="2"/>
      <c r="E3" s="2"/>
      <c r="F3" s="2"/>
      <c r="G3" s="2"/>
      <c r="H3" s="2"/>
      <c r="I3" s="5"/>
      <c r="J3" s="31" t="s">
        <v>58</v>
      </c>
      <c r="K3" s="346"/>
      <c r="L3" s="418"/>
      <c r="M3" s="377" t="s">
        <v>60</v>
      </c>
      <c r="N3" s="378"/>
      <c r="O3" s="378"/>
      <c r="P3" s="2"/>
      <c r="Q3" s="2"/>
      <c r="R3" s="2"/>
      <c r="S3" s="2"/>
      <c r="T3" s="37"/>
      <c r="U3" s="42"/>
      <c r="V3" s="42"/>
      <c r="W3" s="320"/>
      <c r="X3" s="2"/>
      <c r="Y3" s="291"/>
      <c r="Z3" s="31"/>
      <c r="AA3" s="31"/>
      <c r="AB3" s="2"/>
      <c r="AC3" s="2"/>
      <c r="AD3" s="2"/>
      <c r="AE3" s="2"/>
      <c r="AF3" s="37"/>
      <c r="AG3" s="42"/>
      <c r="AH3" s="42"/>
      <c r="AI3" s="232"/>
      <c r="AJ3" s="2"/>
      <c r="AK3" s="291"/>
      <c r="AL3" s="31"/>
      <c r="AM3" s="31"/>
      <c r="AN3" s="31"/>
      <c r="AO3" s="2"/>
      <c r="AP3" s="31"/>
      <c r="AQ3" s="31"/>
      <c r="AR3" s="68"/>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row>
    <row r="4" spans="1:77" ht="12.75">
      <c r="A4" s="76"/>
      <c r="B4" s="2"/>
      <c r="C4" s="2"/>
      <c r="D4" s="2"/>
      <c r="E4" s="2"/>
      <c r="F4" s="2"/>
      <c r="G4" s="2"/>
      <c r="H4" s="2"/>
      <c r="I4" s="5"/>
      <c r="J4" s="31" t="s">
        <v>54</v>
      </c>
      <c r="K4" s="347"/>
      <c r="L4" s="419"/>
      <c r="M4" s="379">
        <v>1.28</v>
      </c>
      <c r="N4" s="378"/>
      <c r="O4" s="378"/>
      <c r="P4" s="2"/>
      <c r="Q4" s="2"/>
      <c r="R4" s="2"/>
      <c r="S4" s="2"/>
      <c r="T4" s="37"/>
      <c r="U4" s="42"/>
      <c r="V4" s="42"/>
      <c r="W4" s="320"/>
      <c r="X4" s="2"/>
      <c r="Y4" s="291"/>
      <c r="Z4" s="31"/>
      <c r="AA4" s="31"/>
      <c r="AB4" s="2"/>
      <c r="AC4" s="2"/>
      <c r="AD4" s="2"/>
      <c r="AE4" s="2"/>
      <c r="AF4" s="37"/>
      <c r="AG4" s="42"/>
      <c r="AH4" s="42"/>
      <c r="AI4" s="232"/>
      <c r="AJ4" s="2"/>
      <c r="AK4" s="291"/>
      <c r="AL4" s="31"/>
      <c r="AM4" s="31"/>
      <c r="AN4" s="31"/>
      <c r="AO4" s="2"/>
      <c r="AP4" s="31"/>
      <c r="AQ4" s="31"/>
      <c r="AR4" s="68"/>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row>
    <row r="5" spans="1:77" ht="12.75">
      <c r="A5" s="76"/>
      <c r="B5" s="2"/>
      <c r="C5" s="2"/>
      <c r="D5" s="2"/>
      <c r="E5" s="2"/>
      <c r="F5" s="2"/>
      <c r="G5" s="2"/>
      <c r="H5" s="2"/>
      <c r="I5" s="5"/>
      <c r="J5" s="31" t="s">
        <v>7</v>
      </c>
      <c r="K5" s="348"/>
      <c r="L5" s="420"/>
      <c r="M5" s="380" t="s">
        <v>317</v>
      </c>
      <c r="N5" s="378"/>
      <c r="O5" s="378"/>
      <c r="P5" s="2"/>
      <c r="Q5" s="2"/>
      <c r="R5" s="2"/>
      <c r="S5" s="2"/>
      <c r="T5" s="37"/>
      <c r="U5" s="42"/>
      <c r="V5" s="42"/>
      <c r="W5" s="320"/>
      <c r="X5" s="2"/>
      <c r="Y5" s="291"/>
      <c r="Z5" s="31"/>
      <c r="AA5" s="31"/>
      <c r="AB5" s="2"/>
      <c r="AC5" s="2"/>
      <c r="AD5" s="2"/>
      <c r="AE5" s="2"/>
      <c r="AF5" s="37"/>
      <c r="AG5" s="42"/>
      <c r="AH5" s="42"/>
      <c r="AI5" s="232"/>
      <c r="AJ5" s="2"/>
      <c r="AK5" s="291"/>
      <c r="AL5" s="31"/>
      <c r="AM5" s="31"/>
      <c r="AN5" s="31"/>
      <c r="AO5" s="2"/>
      <c r="AP5" s="31"/>
      <c r="AQ5" s="31"/>
      <c r="AR5" s="68"/>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row>
    <row r="6" spans="1:77" ht="12.75">
      <c r="A6" s="76"/>
      <c r="B6" s="2"/>
      <c r="C6" s="2"/>
      <c r="D6" s="2"/>
      <c r="E6" s="2"/>
      <c r="F6" s="2"/>
      <c r="G6" s="2"/>
      <c r="H6" s="2"/>
      <c r="I6" s="5"/>
      <c r="J6" s="31" t="s">
        <v>29</v>
      </c>
      <c r="K6" s="348"/>
      <c r="L6" s="420"/>
      <c r="M6" s="380" t="s">
        <v>315</v>
      </c>
      <c r="N6" s="378"/>
      <c r="O6" s="378"/>
      <c r="P6" s="2"/>
      <c r="Q6" s="2"/>
      <c r="R6" s="2"/>
      <c r="S6" s="2"/>
      <c r="T6" s="37"/>
      <c r="U6" s="42"/>
      <c r="V6" s="42"/>
      <c r="W6" s="320"/>
      <c r="X6" s="2"/>
      <c r="Y6" s="291"/>
      <c r="Z6" s="31"/>
      <c r="AA6" s="31"/>
      <c r="AB6" s="2"/>
      <c r="AC6" s="2"/>
      <c r="AD6" s="2"/>
      <c r="AE6" s="2"/>
      <c r="AF6" s="37"/>
      <c r="AG6" s="42"/>
      <c r="AH6" s="42"/>
      <c r="AI6" s="232"/>
      <c r="AJ6" s="2"/>
      <c r="AK6" s="291"/>
      <c r="AL6" s="31"/>
      <c r="AM6" s="31"/>
      <c r="AN6" s="31"/>
      <c r="AO6" s="2"/>
      <c r="AP6" s="31"/>
      <c r="AQ6" s="31"/>
      <c r="AR6" s="68"/>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row>
    <row r="7" spans="1:77" ht="12.75">
      <c r="A7" s="76"/>
      <c r="B7" s="2"/>
      <c r="C7" s="2"/>
      <c r="D7" s="2"/>
      <c r="E7" s="2"/>
      <c r="F7" s="2"/>
      <c r="G7" s="2"/>
      <c r="H7" s="2"/>
      <c r="I7" s="5"/>
      <c r="J7" s="31" t="s">
        <v>8</v>
      </c>
      <c r="K7" s="349"/>
      <c r="L7" s="421"/>
      <c r="M7" s="381" t="s">
        <v>122</v>
      </c>
      <c r="N7" s="378"/>
      <c r="O7" s="378"/>
      <c r="P7" s="2"/>
      <c r="Q7" s="2"/>
      <c r="R7" s="2"/>
      <c r="S7" s="2"/>
      <c r="T7" s="37"/>
      <c r="U7" s="42"/>
      <c r="V7" s="42"/>
      <c r="W7" s="320"/>
      <c r="X7" s="2"/>
      <c r="Y7" s="291"/>
      <c r="Z7" s="31"/>
      <c r="AA7" s="35"/>
      <c r="AB7" s="2"/>
      <c r="AC7" s="2"/>
      <c r="AD7" s="2"/>
      <c r="AE7" s="2"/>
      <c r="AF7" s="37"/>
      <c r="AG7" s="42"/>
      <c r="AH7" s="42"/>
      <c r="AI7" s="232"/>
      <c r="AJ7" s="2"/>
      <c r="AK7" s="291"/>
      <c r="AL7" s="31"/>
      <c r="AM7" s="35"/>
      <c r="AN7" s="31"/>
      <c r="AO7" s="2"/>
      <c r="AP7" s="31"/>
      <c r="AQ7" s="31"/>
      <c r="AR7" s="68"/>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row>
    <row r="8" spans="1:77" ht="12.75">
      <c r="A8" s="76"/>
      <c r="B8" s="2"/>
      <c r="C8" s="2"/>
      <c r="D8" s="2"/>
      <c r="E8" s="2"/>
      <c r="F8" s="2"/>
      <c r="G8" s="2"/>
      <c r="H8" s="2"/>
      <c r="I8" s="5"/>
      <c r="J8" s="31" t="s">
        <v>9</v>
      </c>
      <c r="K8" s="346"/>
      <c r="L8" s="418"/>
      <c r="M8" s="377" t="s">
        <v>140</v>
      </c>
      <c r="N8" s="378"/>
      <c r="O8" s="378"/>
      <c r="P8" s="2"/>
      <c r="Q8" s="2"/>
      <c r="R8" s="2"/>
      <c r="S8" s="2"/>
      <c r="T8" s="37"/>
      <c r="U8" s="42"/>
      <c r="V8" s="42"/>
      <c r="W8" s="320"/>
      <c r="X8" s="2"/>
      <c r="Y8" s="291" t="s">
        <v>48</v>
      </c>
      <c r="Z8" s="31"/>
      <c r="AA8" s="35"/>
      <c r="AB8" s="2"/>
      <c r="AC8" s="2"/>
      <c r="AD8" s="2"/>
      <c r="AE8" s="2"/>
      <c r="AF8" s="37"/>
      <c r="AG8" s="42"/>
      <c r="AH8" s="42"/>
      <c r="AI8" s="232"/>
      <c r="AJ8" s="2"/>
      <c r="AK8" s="291" t="s">
        <v>48</v>
      </c>
      <c r="AL8" s="31"/>
      <c r="AM8" s="35"/>
      <c r="AN8" s="31"/>
      <c r="AO8" s="2"/>
      <c r="AP8" s="31"/>
      <c r="AQ8" s="31"/>
      <c r="AR8" s="68"/>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row>
    <row r="9" spans="1:77" ht="12.75">
      <c r="A9" s="76"/>
      <c r="B9" s="2"/>
      <c r="C9" s="2"/>
      <c r="D9" s="2"/>
      <c r="E9" s="2"/>
      <c r="F9" s="2"/>
      <c r="G9" s="2"/>
      <c r="H9" s="2"/>
      <c r="I9" s="5"/>
      <c r="J9" s="31" t="s">
        <v>62</v>
      </c>
      <c r="K9" s="346"/>
      <c r="L9" s="418"/>
      <c r="M9" s="377" t="s">
        <v>317</v>
      </c>
      <c r="N9" s="378"/>
      <c r="O9" s="378"/>
      <c r="P9" s="2"/>
      <c r="Q9" s="2"/>
      <c r="R9" s="2"/>
      <c r="S9" s="2"/>
      <c r="T9" s="37"/>
      <c r="U9" s="42"/>
      <c r="V9" s="42"/>
      <c r="W9" s="320"/>
      <c r="X9" s="2"/>
      <c r="Y9" s="291"/>
      <c r="Z9" s="31"/>
      <c r="AA9" s="35"/>
      <c r="AB9" s="2"/>
      <c r="AC9" s="2"/>
      <c r="AD9" s="2"/>
      <c r="AE9" s="2"/>
      <c r="AF9" s="37"/>
      <c r="AG9" s="42"/>
      <c r="AH9" s="42"/>
      <c r="AI9" s="232"/>
      <c r="AJ9" s="2"/>
      <c r="AK9" s="291"/>
      <c r="AL9" s="31"/>
      <c r="AM9" s="35"/>
      <c r="AN9" s="31"/>
      <c r="AO9" s="2"/>
      <c r="AP9" s="31"/>
      <c r="AQ9" s="31"/>
      <c r="AR9" s="68"/>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row>
    <row r="10" spans="1:77" ht="12.75">
      <c r="A10" s="76"/>
      <c r="B10" s="2"/>
      <c r="C10" s="2"/>
      <c r="D10" s="2"/>
      <c r="E10" s="2"/>
      <c r="F10" s="2"/>
      <c r="G10" s="2"/>
      <c r="H10" s="2"/>
      <c r="I10" s="5"/>
      <c r="J10" s="31" t="s">
        <v>10</v>
      </c>
      <c r="K10" s="346"/>
      <c r="L10" s="418"/>
      <c r="M10" s="377"/>
      <c r="N10" s="378"/>
      <c r="O10" s="378"/>
      <c r="P10" s="2"/>
      <c r="Q10" s="2"/>
      <c r="R10" s="2"/>
      <c r="S10" s="2"/>
      <c r="T10" s="37"/>
      <c r="U10" s="42"/>
      <c r="V10" s="42"/>
      <c r="W10" s="320"/>
      <c r="X10" s="2"/>
      <c r="Y10" s="291"/>
      <c r="Z10" s="31"/>
      <c r="AA10" s="35"/>
      <c r="AB10" s="2"/>
      <c r="AC10" s="2"/>
      <c r="AD10" s="2"/>
      <c r="AE10" s="2"/>
      <c r="AF10" s="37"/>
      <c r="AG10" s="42"/>
      <c r="AH10" s="42"/>
      <c r="AI10" s="232"/>
      <c r="AJ10" s="2"/>
      <c r="AK10" s="291"/>
      <c r="AL10" s="31"/>
      <c r="AM10" s="35"/>
      <c r="AN10" s="31"/>
      <c r="AO10" s="2"/>
      <c r="AP10" s="31"/>
      <c r="AQ10" s="31"/>
      <c r="AR10" s="68"/>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row>
    <row r="11" spans="1:77" ht="12.75" collapsed="1">
      <c r="A11" s="76"/>
      <c r="B11" s="2"/>
      <c r="C11" s="2"/>
      <c r="D11" s="2"/>
      <c r="E11" s="2"/>
      <c r="F11" s="2"/>
      <c r="G11" s="2"/>
      <c r="H11" s="2"/>
      <c r="I11" s="5"/>
      <c r="J11" s="31" t="s">
        <v>11</v>
      </c>
      <c r="K11" s="350"/>
      <c r="L11" s="422"/>
      <c r="M11" s="382" t="s">
        <v>318</v>
      </c>
      <c r="N11" s="378"/>
      <c r="O11" s="378"/>
      <c r="P11" s="2"/>
      <c r="Q11" s="2"/>
      <c r="R11" s="2"/>
      <c r="S11" s="2"/>
      <c r="T11" s="37"/>
      <c r="U11" s="42"/>
      <c r="V11" s="42"/>
      <c r="W11" s="320"/>
      <c r="X11" s="2"/>
      <c r="Y11" s="291"/>
      <c r="Z11" s="31"/>
      <c r="AA11" s="31"/>
      <c r="AB11" s="2"/>
      <c r="AC11" s="2"/>
      <c r="AD11" s="2"/>
      <c r="AE11" s="2"/>
      <c r="AF11" s="37"/>
      <c r="AG11" s="42"/>
      <c r="AH11" s="42"/>
      <c r="AI11" s="232"/>
      <c r="AJ11" s="2"/>
      <c r="AK11" s="291"/>
      <c r="AL11" s="31"/>
      <c r="AM11" s="31"/>
      <c r="AN11" s="31"/>
      <c r="AO11" s="2"/>
      <c r="AP11" s="31"/>
      <c r="AQ11" s="31"/>
      <c r="AR11" s="68"/>
      <c r="AS11" s="2"/>
      <c r="AT11" s="2"/>
      <c r="AU11" s="2"/>
      <c r="AV11" s="11"/>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row>
    <row r="12" spans="1:77" ht="12.75">
      <c r="A12" s="76"/>
      <c r="B12" s="2"/>
      <c r="C12" s="2"/>
      <c r="D12" s="2"/>
      <c r="E12" s="2"/>
      <c r="F12" s="2"/>
      <c r="G12" s="2"/>
      <c r="H12" s="2"/>
      <c r="J12" s="31" t="s">
        <v>34</v>
      </c>
      <c r="K12" s="351"/>
      <c r="L12" s="423"/>
      <c r="M12" s="318">
        <v>36</v>
      </c>
      <c r="N12" s="378"/>
      <c r="O12" s="378"/>
      <c r="P12" s="2"/>
      <c r="Q12" s="2"/>
      <c r="R12" s="2"/>
      <c r="S12" s="2"/>
      <c r="T12" s="37"/>
      <c r="U12" s="42"/>
      <c r="V12" s="42"/>
      <c r="W12" s="320"/>
      <c r="X12" s="2"/>
      <c r="Y12" s="291"/>
      <c r="Z12" s="31"/>
      <c r="AA12" s="31"/>
      <c r="AB12" s="2"/>
      <c r="AC12" s="2"/>
      <c r="AD12" s="2"/>
      <c r="AE12" s="2"/>
      <c r="AF12" s="37"/>
      <c r="AG12" s="42"/>
      <c r="AH12" s="42"/>
      <c r="AI12" s="232"/>
      <c r="AJ12" s="2"/>
      <c r="AK12" s="291"/>
      <c r="AL12" s="31"/>
      <c r="AM12" s="31"/>
      <c r="AN12" s="31"/>
      <c r="AO12" s="2"/>
      <c r="AP12" s="31"/>
      <c r="AQ12" s="31"/>
      <c r="AR12" s="68"/>
      <c r="AS12" s="2"/>
      <c r="AT12" s="2"/>
      <c r="AU12" s="2"/>
      <c r="AV12" s="11"/>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row>
    <row r="13" spans="1:77" ht="12.75">
      <c r="A13" s="76"/>
      <c r="B13" s="2"/>
      <c r="C13" s="2"/>
      <c r="D13" s="2"/>
      <c r="E13" s="2"/>
      <c r="F13" s="2"/>
      <c r="G13" s="2"/>
      <c r="H13" s="2"/>
      <c r="I13" s="5"/>
      <c r="J13" s="31" t="s">
        <v>12</v>
      </c>
      <c r="K13" s="352"/>
      <c r="L13" s="424"/>
      <c r="M13" s="383"/>
      <c r="N13" s="378"/>
      <c r="O13" s="378"/>
      <c r="P13" s="2"/>
      <c r="Q13" s="2"/>
      <c r="R13" s="2"/>
      <c r="S13" s="2"/>
      <c r="T13" s="37"/>
      <c r="U13" s="42"/>
      <c r="V13" s="42"/>
      <c r="W13" s="320"/>
      <c r="X13" s="2"/>
      <c r="Y13" s="291"/>
      <c r="Z13" s="31"/>
      <c r="AA13" s="31"/>
      <c r="AB13" s="2"/>
      <c r="AC13" s="2"/>
      <c r="AD13" s="2"/>
      <c r="AE13" s="2"/>
      <c r="AF13" s="37"/>
      <c r="AG13" s="42"/>
      <c r="AH13" s="42"/>
      <c r="AI13" s="232"/>
      <c r="AJ13" s="2"/>
      <c r="AK13" s="291"/>
      <c r="AL13" s="31"/>
      <c r="AM13" s="31"/>
      <c r="AN13" s="31"/>
      <c r="AO13" s="2"/>
      <c r="AP13" s="31"/>
      <c r="AQ13" s="31"/>
      <c r="AR13" s="68"/>
      <c r="AS13" s="2"/>
      <c r="AT13" s="2"/>
      <c r="AU13" s="2"/>
      <c r="AV13" s="10"/>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row>
    <row r="14" spans="1:77" ht="12.75">
      <c r="A14" s="76"/>
      <c r="B14" s="2"/>
      <c r="C14" s="2"/>
      <c r="D14" s="2"/>
      <c r="E14" s="2"/>
      <c r="F14" s="2"/>
      <c r="G14" s="2"/>
      <c r="H14" s="2"/>
      <c r="I14" s="5"/>
      <c r="J14" s="31" t="s">
        <v>59</v>
      </c>
      <c r="K14" s="353"/>
      <c r="L14" s="425"/>
      <c r="M14" s="384" t="s">
        <v>319</v>
      </c>
      <c r="N14" s="378"/>
      <c r="O14" s="378"/>
      <c r="P14" s="2"/>
      <c r="Q14" s="2"/>
      <c r="R14" s="2"/>
      <c r="S14" s="2"/>
      <c r="T14" s="37"/>
      <c r="U14" s="42"/>
      <c r="V14" s="42"/>
      <c r="W14" s="320"/>
      <c r="X14" s="2"/>
      <c r="Y14" s="291"/>
      <c r="Z14" s="31"/>
      <c r="AA14" s="31"/>
      <c r="AB14" s="2"/>
      <c r="AC14" s="2"/>
      <c r="AD14" s="2"/>
      <c r="AE14" s="2"/>
      <c r="AF14" s="37"/>
      <c r="AG14" s="42"/>
      <c r="AH14" s="42"/>
      <c r="AI14" s="232"/>
      <c r="AJ14" s="2"/>
      <c r="AK14" s="291"/>
      <c r="AL14" s="31"/>
      <c r="AM14" s="31"/>
      <c r="AN14" s="31"/>
      <c r="AO14" s="2"/>
      <c r="AP14" s="31"/>
      <c r="AQ14" s="31"/>
      <c r="AR14" s="68"/>
      <c r="AS14" s="2"/>
      <c r="AT14" s="2"/>
      <c r="AU14" s="2"/>
      <c r="AV14" s="10"/>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ht="12.75">
      <c r="A15" s="76"/>
      <c r="B15" s="2"/>
      <c r="C15" s="2"/>
      <c r="D15" s="2"/>
      <c r="E15" s="2"/>
      <c r="F15" s="2"/>
      <c r="G15" s="2"/>
      <c r="H15" s="2"/>
      <c r="I15" s="5"/>
      <c r="J15" s="31"/>
      <c r="K15" s="354"/>
      <c r="L15" s="426"/>
      <c r="M15" s="385"/>
      <c r="N15" s="378"/>
      <c r="O15" s="378"/>
      <c r="P15" s="2"/>
      <c r="Q15" s="2"/>
      <c r="R15" s="2"/>
      <c r="S15" s="2"/>
      <c r="T15" s="37"/>
      <c r="U15" s="42"/>
      <c r="V15" s="42"/>
      <c r="W15" s="320"/>
      <c r="X15" s="2"/>
      <c r="Y15" s="291"/>
      <c r="Z15" s="31"/>
      <c r="AA15" s="31"/>
      <c r="AB15" s="2"/>
      <c r="AC15" s="2"/>
      <c r="AD15" s="2"/>
      <c r="AE15" s="2"/>
      <c r="AF15" s="37"/>
      <c r="AG15" s="42"/>
      <c r="AH15" s="42"/>
      <c r="AI15" s="232"/>
      <c r="AJ15" s="2"/>
      <c r="AK15" s="291"/>
      <c r="AL15" s="31"/>
      <c r="AM15" s="31"/>
      <c r="AN15" s="31"/>
      <c r="AO15" s="2"/>
      <c r="AP15" s="31"/>
      <c r="AQ15" s="31"/>
      <c r="AR15" s="68"/>
      <c r="AS15" s="2"/>
      <c r="AT15" s="2"/>
      <c r="AU15" s="2"/>
      <c r="AV15" s="10"/>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ht="12.75">
      <c r="A16" s="76"/>
      <c r="B16" s="2"/>
      <c r="C16" s="2"/>
      <c r="D16" s="2"/>
      <c r="E16" s="2"/>
      <c r="F16" s="2"/>
      <c r="G16" s="2"/>
      <c r="H16" s="2"/>
      <c r="I16" s="5"/>
      <c r="J16" s="31"/>
      <c r="K16" s="354"/>
      <c r="L16" s="426"/>
      <c r="M16" s="385"/>
      <c r="N16" s="378"/>
      <c r="O16" s="378"/>
      <c r="P16" s="2"/>
      <c r="Q16" s="2"/>
      <c r="R16" s="2"/>
      <c r="S16" s="2"/>
      <c r="T16" s="37"/>
      <c r="U16" s="42"/>
      <c r="V16" s="42"/>
      <c r="W16" s="320"/>
      <c r="X16" s="2"/>
      <c r="Y16" s="291"/>
      <c r="Z16" s="31"/>
      <c r="AA16" s="31"/>
      <c r="AB16" s="2"/>
      <c r="AC16" s="2"/>
      <c r="AD16" s="2"/>
      <c r="AE16" s="2"/>
      <c r="AF16" s="37"/>
      <c r="AG16" s="42"/>
      <c r="AH16" s="42"/>
      <c r="AI16" s="232"/>
      <c r="AJ16" s="2"/>
      <c r="AK16" s="291"/>
      <c r="AL16" s="31"/>
      <c r="AM16" s="31"/>
      <c r="AN16" s="31"/>
      <c r="AO16" s="2"/>
      <c r="AP16" s="31"/>
      <c r="AQ16" s="31"/>
      <c r="AR16" s="68"/>
      <c r="AS16" s="2"/>
      <c r="AT16" s="2"/>
      <c r="AU16" s="2"/>
      <c r="AV16" s="14"/>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ht="12.75" customHeight="1">
      <c r="A17" s="76"/>
      <c r="B17" s="2"/>
      <c r="C17" s="2"/>
      <c r="D17" s="2"/>
      <c r="E17" s="2"/>
      <c r="F17" s="2"/>
      <c r="G17" s="2"/>
      <c r="H17" s="2"/>
      <c r="I17" s="5"/>
      <c r="J17" s="31"/>
      <c r="K17" s="355"/>
      <c r="L17" s="427"/>
      <c r="M17" s="789" t="s">
        <v>321</v>
      </c>
      <c r="N17" s="378"/>
      <c r="O17" s="378"/>
      <c r="P17" s="2"/>
      <c r="Q17" s="2"/>
      <c r="R17" s="2"/>
      <c r="S17" s="2"/>
      <c r="T17" s="37"/>
      <c r="U17" s="42"/>
      <c r="V17" s="42"/>
      <c r="W17" s="320"/>
      <c r="X17" s="2"/>
      <c r="Y17" s="291"/>
      <c r="Z17" s="31"/>
      <c r="AA17" s="31"/>
      <c r="AB17" s="2"/>
      <c r="AC17" s="2"/>
      <c r="AD17" s="2"/>
      <c r="AE17" s="2"/>
      <c r="AF17" s="37"/>
      <c r="AG17" s="42"/>
      <c r="AH17" s="42"/>
      <c r="AI17" s="232"/>
      <c r="AJ17" s="2"/>
      <c r="AK17" s="291"/>
      <c r="AL17" s="31"/>
      <c r="AM17" s="31"/>
      <c r="AN17" s="31"/>
      <c r="AO17" s="2"/>
      <c r="AP17" s="31"/>
      <c r="AQ17" s="31"/>
      <c r="AR17" s="68"/>
      <c r="AS17" s="2"/>
      <c r="AT17" s="2"/>
      <c r="AU17" s="2"/>
      <c r="AV17" s="1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ht="15" customHeight="1">
      <c r="A18" s="76"/>
      <c r="B18" s="2"/>
      <c r="C18" s="2"/>
      <c r="D18" s="2"/>
      <c r="E18" s="2"/>
      <c r="F18" s="2"/>
      <c r="G18" s="2"/>
      <c r="H18" s="2"/>
      <c r="I18" s="5"/>
      <c r="J18" s="31"/>
      <c r="K18" s="355"/>
      <c r="L18" s="427"/>
      <c r="M18" s="789"/>
      <c r="N18" s="378"/>
      <c r="O18" s="378"/>
      <c r="P18" s="2"/>
      <c r="Q18" s="2"/>
      <c r="R18" s="2"/>
      <c r="S18" s="2"/>
      <c r="T18" s="37"/>
      <c r="U18" s="42"/>
      <c r="V18" s="42"/>
      <c r="W18" s="320"/>
      <c r="X18" s="2"/>
      <c r="Y18" s="291"/>
      <c r="Z18" s="31"/>
      <c r="AA18" s="31"/>
      <c r="AB18" s="2"/>
      <c r="AC18" s="2"/>
      <c r="AD18" s="2"/>
      <c r="AE18" s="2"/>
      <c r="AF18" s="37"/>
      <c r="AG18" s="42"/>
      <c r="AH18" s="42"/>
      <c r="AI18" s="232"/>
      <c r="AJ18" s="2"/>
      <c r="AK18" s="291"/>
      <c r="AL18" s="31"/>
      <c r="AM18" s="31"/>
      <c r="AN18" s="31"/>
      <c r="AO18" s="2"/>
      <c r="AP18" s="31"/>
      <c r="AQ18" s="31"/>
      <c r="AR18" s="68"/>
      <c r="AS18" s="2"/>
      <c r="AT18" s="2"/>
      <c r="AU18" s="2"/>
      <c r="AV18" s="13"/>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row>
    <row r="19" spans="1:77" ht="9.75" customHeight="1">
      <c r="A19" s="76"/>
      <c r="B19" s="2"/>
      <c r="C19" s="2"/>
      <c r="D19" s="2"/>
      <c r="E19" s="2"/>
      <c r="F19" s="2"/>
      <c r="G19" s="2"/>
      <c r="H19" s="2"/>
      <c r="I19" s="5"/>
      <c r="J19" s="31"/>
      <c r="K19" s="355"/>
      <c r="L19" s="427"/>
      <c r="M19" s="789"/>
      <c r="N19" s="378"/>
      <c r="O19" s="378"/>
      <c r="P19" s="2"/>
      <c r="Q19" s="2"/>
      <c r="R19" s="2"/>
      <c r="S19" s="2"/>
      <c r="T19" s="37"/>
      <c r="U19" s="42"/>
      <c r="V19" s="42"/>
      <c r="W19" s="320"/>
      <c r="X19" s="2"/>
      <c r="Y19" s="291"/>
      <c r="Z19" s="31"/>
      <c r="AA19" s="31"/>
      <c r="AB19" s="2"/>
      <c r="AC19" s="2"/>
      <c r="AD19" s="2"/>
      <c r="AE19" s="2"/>
      <c r="AF19" s="37"/>
      <c r="AG19" s="42"/>
      <c r="AH19" s="42"/>
      <c r="AI19" s="232"/>
      <c r="AJ19" s="2"/>
      <c r="AK19" s="291"/>
      <c r="AL19" s="31"/>
      <c r="AM19" s="31"/>
      <c r="AN19" s="31"/>
      <c r="AO19" s="2"/>
      <c r="AP19" s="31"/>
      <c r="AQ19" s="31"/>
      <c r="AR19" s="68"/>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7" ht="4.5" customHeight="1">
      <c r="A20" s="76"/>
      <c r="B20" s="2"/>
      <c r="C20" s="2"/>
      <c r="D20" s="2"/>
      <c r="E20" s="2"/>
      <c r="F20" s="2"/>
      <c r="G20" s="2"/>
      <c r="H20" s="2"/>
      <c r="I20" s="5"/>
      <c r="J20" s="31"/>
      <c r="K20" s="355"/>
      <c r="L20" s="427"/>
      <c r="M20" s="383"/>
      <c r="N20" s="378"/>
      <c r="O20" s="378"/>
      <c r="P20" s="2"/>
      <c r="Q20" s="2"/>
      <c r="R20" s="2"/>
      <c r="S20" s="2"/>
      <c r="T20" s="37"/>
      <c r="U20" s="42"/>
      <c r="V20" s="42"/>
      <c r="W20" s="320"/>
      <c r="X20" s="2"/>
      <c r="Y20" s="291"/>
      <c r="Z20" s="31"/>
      <c r="AA20" s="31"/>
      <c r="AB20" s="2"/>
      <c r="AC20" s="2"/>
      <c r="AD20" s="2"/>
      <c r="AE20" s="2"/>
      <c r="AF20" s="37"/>
      <c r="AG20" s="42"/>
      <c r="AH20" s="42"/>
      <c r="AI20" s="232"/>
      <c r="AJ20" s="2"/>
      <c r="AK20" s="291"/>
      <c r="AL20" s="31"/>
      <c r="AM20" s="31"/>
      <c r="AN20" s="31"/>
      <c r="AO20" s="2"/>
      <c r="AP20" s="31"/>
      <c r="AQ20" s="31"/>
      <c r="AR20" s="68"/>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row>
    <row r="21" spans="1:77" ht="4.5" customHeight="1">
      <c r="A21" s="76"/>
      <c r="B21" s="2"/>
      <c r="C21" s="2"/>
      <c r="D21" s="2"/>
      <c r="E21" s="2"/>
      <c r="F21" s="2"/>
      <c r="G21" s="2"/>
      <c r="H21" s="2"/>
      <c r="I21" s="5"/>
      <c r="J21" s="31"/>
      <c r="K21" s="355"/>
      <c r="L21" s="427"/>
      <c r="M21" s="383"/>
      <c r="N21" s="378"/>
      <c r="O21" s="378"/>
      <c r="P21" s="2"/>
      <c r="Q21" s="2"/>
      <c r="R21" s="2"/>
      <c r="S21" s="2"/>
      <c r="T21" s="37"/>
      <c r="U21" s="42"/>
      <c r="V21" s="42"/>
      <c r="W21" s="320"/>
      <c r="X21" s="2"/>
      <c r="Y21" s="292"/>
      <c r="Z21" s="31"/>
      <c r="AA21" s="31"/>
      <c r="AB21" s="2"/>
      <c r="AC21" s="2"/>
      <c r="AD21" s="2"/>
      <c r="AE21" s="2"/>
      <c r="AF21" s="37"/>
      <c r="AG21" s="42"/>
      <c r="AH21" s="42"/>
      <c r="AI21" s="232"/>
      <c r="AJ21" s="2"/>
      <c r="AK21" s="292"/>
      <c r="AL21" s="31"/>
      <c r="AM21" s="31"/>
      <c r="AN21" s="31"/>
      <c r="AO21" s="2"/>
      <c r="AP21" s="31"/>
      <c r="AQ21" s="31"/>
      <c r="AR21" s="68"/>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row>
    <row r="22" spans="1:77" s="6" customFormat="1" ht="18">
      <c r="A22" s="76"/>
      <c r="B22" s="5"/>
      <c r="C22" s="5"/>
      <c r="D22" s="2"/>
      <c r="E22" s="5"/>
      <c r="F22" s="2"/>
      <c r="G22" s="5"/>
      <c r="H22" s="2"/>
      <c r="I22" s="5"/>
      <c r="J22" s="5"/>
      <c r="K22" s="355"/>
      <c r="L22" s="427"/>
      <c r="M22" s="386" t="s">
        <v>53</v>
      </c>
      <c r="N22" s="387"/>
      <c r="O22" s="387"/>
      <c r="P22" s="21"/>
      <c r="Q22" s="2"/>
      <c r="R22" s="33" t="s">
        <v>51</v>
      </c>
      <c r="S22" s="32"/>
      <c r="T22" s="38"/>
      <c r="U22" s="43"/>
      <c r="V22" s="43"/>
      <c r="W22" s="321"/>
      <c r="X22" s="31"/>
      <c r="Y22" s="293" t="s">
        <v>52</v>
      </c>
      <c r="Z22" s="21"/>
      <c r="AA22" s="34" t="s">
        <v>52</v>
      </c>
      <c r="AB22" s="21"/>
      <c r="AC22" s="2"/>
      <c r="AD22" s="33" t="s">
        <v>298</v>
      </c>
      <c r="AE22" s="32"/>
      <c r="AF22" s="38"/>
      <c r="AG22" s="43"/>
      <c r="AH22" s="43"/>
      <c r="AI22" s="233"/>
      <c r="AJ22" s="31"/>
      <c r="AK22" s="293" t="s">
        <v>52</v>
      </c>
      <c r="AL22" s="21"/>
      <c r="AM22" s="34" t="s">
        <v>52</v>
      </c>
      <c r="AN22" s="21"/>
      <c r="AO22" s="21"/>
      <c r="AP22" s="31"/>
      <c r="AQ22" s="31"/>
      <c r="AR22" s="69" t="s">
        <v>50</v>
      </c>
      <c r="AS22" s="17" t="s">
        <v>50</v>
      </c>
      <c r="AT22" s="26" t="s">
        <v>37</v>
      </c>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row>
    <row r="23" spans="1:77" ht="7.5" customHeight="1">
      <c r="A23" s="76"/>
      <c r="B23" s="3"/>
      <c r="C23" s="3"/>
      <c r="D23" s="2"/>
      <c r="E23" s="3"/>
      <c r="F23" s="2"/>
      <c r="G23" s="3"/>
      <c r="H23" s="2"/>
      <c r="I23" s="5"/>
      <c r="J23" s="3"/>
      <c r="K23" s="356"/>
      <c r="L23" s="428"/>
      <c r="M23" s="388"/>
      <c r="N23" s="389"/>
      <c r="O23" s="389"/>
      <c r="P23" s="22"/>
      <c r="Q23" s="2"/>
      <c r="R23" s="3"/>
      <c r="S23" s="9"/>
      <c r="T23" s="39"/>
      <c r="U23" s="44"/>
      <c r="V23" s="44"/>
      <c r="W23" s="322"/>
      <c r="X23" s="31"/>
      <c r="Y23" s="294"/>
      <c r="Z23" s="22"/>
      <c r="AA23" s="3"/>
      <c r="AB23" s="22"/>
      <c r="AC23" s="2"/>
      <c r="AD23" s="3"/>
      <c r="AE23" s="9"/>
      <c r="AF23" s="39"/>
      <c r="AG23" s="44"/>
      <c r="AH23" s="44"/>
      <c r="AI23" s="234"/>
      <c r="AJ23" s="31"/>
      <c r="AK23" s="294"/>
      <c r="AL23" s="22"/>
      <c r="AM23" s="3"/>
      <c r="AN23" s="22"/>
      <c r="AO23" s="22"/>
      <c r="AP23" s="31"/>
      <c r="AQ23" s="31"/>
      <c r="AR23" s="70"/>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row>
    <row r="24" spans="1:77" s="6" customFormat="1" ht="32.25" customHeight="1">
      <c r="A24" s="76"/>
      <c r="B24" s="18" t="s">
        <v>45</v>
      </c>
      <c r="C24" s="18"/>
      <c r="D24" s="27"/>
      <c r="E24" s="19" t="s">
        <v>16</v>
      </c>
      <c r="F24" s="27"/>
      <c r="G24" s="5"/>
      <c r="H24" s="2"/>
      <c r="I24" s="125"/>
      <c r="J24" s="183" t="s">
        <v>27</v>
      </c>
      <c r="K24" s="357" t="s">
        <v>142</v>
      </c>
      <c r="L24" s="429" t="s">
        <v>143</v>
      </c>
      <c r="M24" s="390" t="str">
        <f>CONCATENATE("Total in ",$M$3)</f>
        <v>Total in GBP</v>
      </c>
      <c r="N24" s="391" t="s">
        <v>123</v>
      </c>
      <c r="O24" s="391" t="s">
        <v>123</v>
      </c>
      <c r="P24" s="126"/>
      <c r="Q24" s="127"/>
      <c r="R24" s="128" t="s">
        <v>38</v>
      </c>
      <c r="S24" s="128"/>
      <c r="T24" s="129"/>
      <c r="U24" s="130"/>
      <c r="V24" s="130"/>
      <c r="W24" s="323"/>
      <c r="X24" s="131"/>
      <c r="Y24" s="295" t="s">
        <v>156</v>
      </c>
      <c r="Z24" s="126"/>
      <c r="AA24" s="122" t="str">
        <f>CONCATENATE("Total in ",$M$3)</f>
        <v>Total in GBP</v>
      </c>
      <c r="AB24" s="126"/>
      <c r="AC24" s="127"/>
      <c r="AD24" s="128" t="s">
        <v>38</v>
      </c>
      <c r="AE24" s="128"/>
      <c r="AF24" s="129"/>
      <c r="AG24" s="130"/>
      <c r="AH24" s="130"/>
      <c r="AI24" s="235"/>
      <c r="AJ24" s="131"/>
      <c r="AK24" s="295" t="s">
        <v>156</v>
      </c>
      <c r="AL24" s="126"/>
      <c r="AM24" s="122" t="str">
        <f>CONCATENATE("Total in ",$M$3)</f>
        <v>Total in GBP</v>
      </c>
      <c r="AN24" s="126"/>
      <c r="AO24" s="126"/>
      <c r="AP24" s="131"/>
      <c r="AQ24" s="131"/>
      <c r="AR24" s="132" t="s">
        <v>0</v>
      </c>
      <c r="AS24" s="133" t="s">
        <v>0</v>
      </c>
      <c r="AT24" s="134" t="s">
        <v>144</v>
      </c>
      <c r="AU24" s="134" t="s">
        <v>145</v>
      </c>
      <c r="AV24" s="134" t="s">
        <v>146</v>
      </c>
      <c r="AW24" s="134" t="s">
        <v>30</v>
      </c>
      <c r="AX24" s="134" t="s">
        <v>147</v>
      </c>
      <c r="AY24" s="134" t="s">
        <v>148</v>
      </c>
      <c r="AZ24" s="134" t="s">
        <v>149</v>
      </c>
      <c r="BA24" s="134" t="s">
        <v>31</v>
      </c>
      <c r="BB24" s="134" t="s">
        <v>150</v>
      </c>
      <c r="BC24" s="134" t="s">
        <v>151</v>
      </c>
      <c r="BD24" s="317">
        <v>41852</v>
      </c>
      <c r="BE24" s="134" t="s">
        <v>32</v>
      </c>
      <c r="BF24" s="134" t="s">
        <v>301</v>
      </c>
      <c r="BG24" s="134" t="s">
        <v>302</v>
      </c>
      <c r="BH24" s="134" t="s">
        <v>303</v>
      </c>
      <c r="BI24" s="134" t="s">
        <v>33</v>
      </c>
      <c r="BJ24" s="134" t="s">
        <v>300</v>
      </c>
      <c r="BK24" s="134" t="s">
        <v>304</v>
      </c>
      <c r="BL24" s="134" t="s">
        <v>305</v>
      </c>
      <c r="BM24" s="134" t="s">
        <v>35</v>
      </c>
      <c r="BN24" s="134" t="s">
        <v>306</v>
      </c>
      <c r="BO24" s="134" t="s">
        <v>307</v>
      </c>
      <c r="BP24" s="134" t="s">
        <v>308</v>
      </c>
      <c r="BQ24" s="134" t="s">
        <v>36</v>
      </c>
      <c r="BR24" s="134" t="s">
        <v>309</v>
      </c>
      <c r="BS24" s="134" t="s">
        <v>310</v>
      </c>
      <c r="BT24" s="134" t="s">
        <v>311</v>
      </c>
      <c r="BU24" s="134" t="s">
        <v>55</v>
      </c>
      <c r="BV24" s="134" t="s">
        <v>312</v>
      </c>
      <c r="BW24" s="134" t="s">
        <v>313</v>
      </c>
      <c r="BX24" s="134" t="s">
        <v>314</v>
      </c>
      <c r="BY24" s="134" t="s">
        <v>56</v>
      </c>
    </row>
    <row r="25" spans="1:77" s="6" customFormat="1" ht="25.5" customHeight="1">
      <c r="A25" s="76"/>
      <c r="B25" s="28" t="s">
        <v>42</v>
      </c>
      <c r="C25" s="28"/>
      <c r="D25" s="27"/>
      <c r="E25" s="20" t="s">
        <v>46</v>
      </c>
      <c r="F25" s="27"/>
      <c r="G25" s="5"/>
      <c r="H25" s="2"/>
      <c r="I25" s="135"/>
      <c r="J25" s="184"/>
      <c r="K25" s="358"/>
      <c r="L25" s="430"/>
      <c r="M25" s="392"/>
      <c r="N25" s="392"/>
      <c r="O25" s="392"/>
      <c r="P25" s="126"/>
      <c r="Q25" s="127"/>
      <c r="R25" s="136" t="s">
        <v>18</v>
      </c>
      <c r="S25" s="136" t="s">
        <v>39</v>
      </c>
      <c r="T25" s="137" t="s">
        <v>13</v>
      </c>
      <c r="U25" s="138" t="s">
        <v>14</v>
      </c>
      <c r="V25" s="138" t="s">
        <v>116</v>
      </c>
      <c r="W25" s="324" t="s">
        <v>0</v>
      </c>
      <c r="X25" s="131"/>
      <c r="Y25" s="296" t="s">
        <v>53</v>
      </c>
      <c r="Z25" s="126"/>
      <c r="AA25" s="139" t="str">
        <f>$AK25</f>
        <v>All years</v>
      </c>
      <c r="AB25" s="126"/>
      <c r="AC25" s="127"/>
      <c r="AD25" s="136" t="s">
        <v>18</v>
      </c>
      <c r="AE25" s="136" t="s">
        <v>39</v>
      </c>
      <c r="AF25" s="137" t="s">
        <v>13</v>
      </c>
      <c r="AG25" s="138" t="s">
        <v>14</v>
      </c>
      <c r="AH25" s="138" t="s">
        <v>116</v>
      </c>
      <c r="AI25" s="236" t="s">
        <v>0</v>
      </c>
      <c r="AJ25" s="131"/>
      <c r="AK25" s="296" t="s">
        <v>299</v>
      </c>
      <c r="AL25" s="126"/>
      <c r="AM25" s="139" t="s">
        <v>299</v>
      </c>
      <c r="AN25" s="126"/>
      <c r="AO25" s="126"/>
      <c r="AP25" s="131"/>
      <c r="AQ25" s="131"/>
      <c r="AR25" s="140" t="s">
        <v>49</v>
      </c>
      <c r="AS25" s="141" t="s">
        <v>49</v>
      </c>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141"/>
      <c r="BY25" s="141"/>
    </row>
    <row r="26" spans="1:77" s="52" customFormat="1" ht="10.5" customHeight="1">
      <c r="A26" s="77"/>
      <c r="B26" s="47"/>
      <c r="C26" s="48"/>
      <c r="D26" s="50"/>
      <c r="E26" s="51"/>
      <c r="F26" s="49"/>
      <c r="G26" s="51"/>
      <c r="H26" s="49"/>
      <c r="I26" s="142"/>
      <c r="J26" s="185"/>
      <c r="K26" s="359"/>
      <c r="L26" s="431"/>
      <c r="M26" s="393"/>
      <c r="N26" s="393"/>
      <c r="O26" s="393"/>
      <c r="P26" s="144"/>
      <c r="Q26" s="144"/>
      <c r="R26" s="143"/>
      <c r="S26" s="145"/>
      <c r="T26" s="145"/>
      <c r="U26" s="145"/>
      <c r="V26" s="146"/>
      <c r="W26" s="325"/>
      <c r="X26" s="145"/>
      <c r="Y26" s="297"/>
      <c r="Z26" s="146"/>
      <c r="AA26" s="145"/>
      <c r="AB26" s="144"/>
      <c r="AC26" s="144"/>
      <c r="AD26" s="143"/>
      <c r="AE26" s="145"/>
      <c r="AF26" s="145"/>
      <c r="AG26" s="145"/>
      <c r="AH26" s="146"/>
      <c r="AI26" s="237"/>
      <c r="AJ26" s="145"/>
      <c r="AK26" s="297"/>
      <c r="AL26" s="146"/>
      <c r="AM26" s="145"/>
      <c r="AN26" s="145"/>
      <c r="AO26" s="145"/>
      <c r="AP26" s="142"/>
      <c r="AQ26" s="142"/>
      <c r="AR26" s="148"/>
      <c r="AS26" s="142"/>
      <c r="AT26" s="142">
        <v>2013012</v>
      </c>
      <c r="AU26" s="142">
        <v>2014001</v>
      </c>
      <c r="AV26" s="147">
        <v>2014002</v>
      </c>
      <c r="AW26" s="147"/>
      <c r="AX26" s="147">
        <v>2014003</v>
      </c>
      <c r="AY26" s="147">
        <v>2014004</v>
      </c>
      <c r="AZ26" s="142">
        <v>2014005</v>
      </c>
      <c r="BA26" s="142"/>
      <c r="BB26" s="142">
        <v>2014006</v>
      </c>
      <c r="BC26" s="142">
        <v>2014007</v>
      </c>
      <c r="BD26" s="147">
        <v>2014008</v>
      </c>
      <c r="BE26" s="147"/>
      <c r="BF26" s="147">
        <v>2014009</v>
      </c>
      <c r="BG26" s="147">
        <v>2014010</v>
      </c>
      <c r="BH26" s="147">
        <v>2014011</v>
      </c>
      <c r="BI26" s="147"/>
      <c r="BJ26" s="147">
        <v>2014012</v>
      </c>
      <c r="BK26" s="147">
        <v>2015001</v>
      </c>
      <c r="BL26" s="147">
        <v>2015002</v>
      </c>
      <c r="BM26" s="147"/>
      <c r="BN26" s="147">
        <v>2015003</v>
      </c>
      <c r="BO26" s="147">
        <v>2015004</v>
      </c>
      <c r="BP26" s="147">
        <v>2015005</v>
      </c>
      <c r="BQ26" s="147"/>
      <c r="BR26" s="147">
        <v>2015006</v>
      </c>
      <c r="BS26" s="147">
        <v>2015007</v>
      </c>
      <c r="BT26" s="147">
        <v>2015008</v>
      </c>
      <c r="BU26" s="147"/>
      <c r="BV26" s="147">
        <v>2015009</v>
      </c>
      <c r="BW26" s="147">
        <v>2015010</v>
      </c>
      <c r="BX26" s="147">
        <v>2015011</v>
      </c>
      <c r="BY26" s="147"/>
    </row>
    <row r="27" spans="1:77" s="86" customFormat="1" ht="20.25" customHeight="1">
      <c r="A27" s="79"/>
      <c r="B27" s="80" t="s">
        <v>43</v>
      </c>
      <c r="C27" s="80" t="s">
        <v>44</v>
      </c>
      <c r="D27" s="81"/>
      <c r="E27" s="80" t="s">
        <v>44</v>
      </c>
      <c r="F27" s="81"/>
      <c r="G27" s="82"/>
      <c r="H27" s="83"/>
      <c r="I27" s="149" t="s">
        <v>1</v>
      </c>
      <c r="J27" s="184" t="s">
        <v>132</v>
      </c>
      <c r="K27" s="360"/>
      <c r="L27" s="432"/>
      <c r="M27" s="394">
        <f>M4</f>
        <v>1.28</v>
      </c>
      <c r="N27" s="394"/>
      <c r="O27" s="394"/>
      <c r="P27" s="150"/>
      <c r="Q27" s="150"/>
      <c r="R27" s="151" t="str">
        <f>$J27</f>
        <v>Human Resources</v>
      </c>
      <c r="S27" s="152"/>
      <c r="T27" s="153"/>
      <c r="U27" s="154"/>
      <c r="V27" s="154"/>
      <c r="W27" s="326"/>
      <c r="X27" s="150"/>
      <c r="Y27" s="298"/>
      <c r="Z27" s="150"/>
      <c r="AA27" s="155"/>
      <c r="AB27" s="150"/>
      <c r="AC27" s="150"/>
      <c r="AD27" s="151" t="str">
        <f>$J27</f>
        <v>Human Resources</v>
      </c>
      <c r="AE27" s="152"/>
      <c r="AF27" s="153"/>
      <c r="AG27" s="154"/>
      <c r="AH27" s="154"/>
      <c r="AI27" s="238"/>
      <c r="AJ27" s="150"/>
      <c r="AK27" s="298"/>
      <c r="AL27" s="150"/>
      <c r="AM27" s="155"/>
      <c r="AN27" s="150"/>
      <c r="AO27" s="150"/>
      <c r="AP27" s="150"/>
      <c r="AQ27" s="150"/>
      <c r="AR27" s="156"/>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row>
    <row r="28" spans="1:77" s="86" customFormat="1" ht="42.75" customHeight="1">
      <c r="A28" s="79"/>
      <c r="B28" s="87"/>
      <c r="C28" s="87"/>
      <c r="D28" s="81"/>
      <c r="E28" s="88"/>
      <c r="F28" s="81"/>
      <c r="G28" s="82"/>
      <c r="H28" s="82"/>
      <c r="I28" s="123" t="s">
        <v>15</v>
      </c>
      <c r="J28" s="183" t="s">
        <v>141</v>
      </c>
      <c r="K28" s="361" t="s">
        <v>61</v>
      </c>
      <c r="L28" s="433" t="s">
        <v>61</v>
      </c>
      <c r="M28" s="395" t="s">
        <v>60</v>
      </c>
      <c r="N28" s="396" t="s">
        <v>61</v>
      </c>
      <c r="O28" s="396" t="s">
        <v>60</v>
      </c>
      <c r="P28" s="150"/>
      <c r="Q28" s="150"/>
      <c r="R28" s="159" t="str">
        <f>$J28</f>
        <v>Salaries</v>
      </c>
      <c r="S28" s="160"/>
      <c r="T28" s="161"/>
      <c r="U28" s="162"/>
      <c r="V28" s="162"/>
      <c r="W28" s="327"/>
      <c r="X28" s="150"/>
      <c r="Y28" s="299" t="s">
        <v>61</v>
      </c>
      <c r="Z28" s="150"/>
      <c r="AA28" s="158" t="str">
        <f>$M$28</f>
        <v>GBP</v>
      </c>
      <c r="AB28" s="150"/>
      <c r="AC28" s="150"/>
      <c r="AD28" s="159" t="str">
        <f>$J28</f>
        <v>Salaries</v>
      </c>
      <c r="AE28" s="160"/>
      <c r="AF28" s="161"/>
      <c r="AG28" s="162"/>
      <c r="AH28" s="162"/>
      <c r="AI28" s="239"/>
      <c r="AJ28" s="150"/>
      <c r="AK28" s="299" t="s">
        <v>61</v>
      </c>
      <c r="AL28" s="150"/>
      <c r="AM28" s="158" t="str">
        <f>$M$28</f>
        <v>GBP</v>
      </c>
      <c r="AN28" s="150"/>
      <c r="AO28" s="150"/>
      <c r="AP28" s="150"/>
      <c r="AQ28" s="150"/>
      <c r="AR28" s="163" t="s">
        <v>61</v>
      </c>
      <c r="AS28" s="164" t="s">
        <v>60</v>
      </c>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5"/>
      <c r="BX28" s="165"/>
      <c r="BY28" s="165"/>
    </row>
    <row r="29" spans="1:77" s="89" customFormat="1" ht="15">
      <c r="A29" s="171"/>
      <c r="B29" s="172"/>
      <c r="C29" s="172"/>
      <c r="D29" s="172"/>
      <c r="E29" s="172"/>
      <c r="F29" s="172"/>
      <c r="I29" s="173"/>
      <c r="J29" s="186" t="s">
        <v>133</v>
      </c>
      <c r="K29" s="362"/>
      <c r="L29" s="434"/>
      <c r="M29" s="397"/>
      <c r="N29" s="397"/>
      <c r="O29" s="397"/>
      <c r="P29" s="174"/>
      <c r="Q29" s="167"/>
      <c r="R29" s="176"/>
      <c r="S29" s="167"/>
      <c r="T29" s="177"/>
      <c r="U29" s="178"/>
      <c r="V29" s="178"/>
      <c r="W29" s="328"/>
      <c r="X29" s="174"/>
      <c r="Y29" s="300"/>
      <c r="Z29" s="174"/>
      <c r="AA29" s="175"/>
      <c r="AB29" s="174"/>
      <c r="AC29" s="167"/>
      <c r="AD29" s="176"/>
      <c r="AE29" s="167"/>
      <c r="AF29" s="177"/>
      <c r="AG29" s="178"/>
      <c r="AH29" s="178"/>
      <c r="AI29" s="240"/>
      <c r="AJ29" s="174"/>
      <c r="AK29" s="300"/>
      <c r="AL29" s="174"/>
      <c r="AM29" s="175"/>
      <c r="AN29" s="174"/>
      <c r="AO29" s="174"/>
      <c r="AP29" s="167"/>
      <c r="AQ29" s="167"/>
      <c r="AR29" s="179"/>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row>
    <row r="30" spans="1:77" s="89" customFormat="1" ht="15.75">
      <c r="A30" s="124" t="s">
        <v>64</v>
      </c>
      <c r="B30" s="90"/>
      <c r="C30" s="90"/>
      <c r="D30" s="81"/>
      <c r="E30" s="91">
        <v>5050</v>
      </c>
      <c r="F30" s="81"/>
      <c r="G30" s="82"/>
      <c r="H30" s="82"/>
      <c r="I30" s="173"/>
      <c r="J30" s="227" t="s">
        <v>153</v>
      </c>
      <c r="K30" s="329">
        <f>Y30</f>
        <v>43200</v>
      </c>
      <c r="L30" s="435">
        <f>K30*0.9</f>
        <v>38880</v>
      </c>
      <c r="M30" s="398">
        <f>L30/$M$4</f>
        <v>30375</v>
      </c>
      <c r="N30" s="398" t="e">
        <f>L30-AR30</f>
        <v>#NAME?</v>
      </c>
      <c r="O30" s="398" t="e">
        <f>M30-AS30</f>
        <v>#NAME?</v>
      </c>
      <c r="P30" s="191"/>
      <c r="Q30" s="191"/>
      <c r="R30" s="192"/>
      <c r="S30" s="228" t="s">
        <v>155</v>
      </c>
      <c r="T30" s="262">
        <v>24</v>
      </c>
      <c r="U30" s="230">
        <v>1800</v>
      </c>
      <c r="V30" s="193"/>
      <c r="W30" s="329">
        <f>(T30*U30)</f>
        <v>43200</v>
      </c>
      <c r="X30" s="191"/>
      <c r="Y30" s="290">
        <f>W30</f>
        <v>43200</v>
      </c>
      <c r="Z30" s="191"/>
      <c r="AA30" s="190">
        <f>Y30/M$4</f>
        <v>33750</v>
      </c>
      <c r="AB30" s="191"/>
      <c r="AC30" s="191"/>
      <c r="AD30" s="192"/>
      <c r="AE30" s="228" t="s">
        <v>155</v>
      </c>
      <c r="AF30" s="229">
        <v>72</v>
      </c>
      <c r="AG30" s="230">
        <v>1800</v>
      </c>
      <c r="AH30" s="193"/>
      <c r="AI30" s="241">
        <f>(AF30*AG30)</f>
        <v>129600</v>
      </c>
      <c r="AJ30" s="191"/>
      <c r="AK30" s="290">
        <f>AI30</f>
        <v>129600</v>
      </c>
      <c r="AL30" s="191"/>
      <c r="AM30" s="190">
        <f>AK30/M$4</f>
        <v>101250</v>
      </c>
      <c r="AN30" s="191"/>
      <c r="AO30" s="191"/>
      <c r="AP30" s="191"/>
      <c r="AQ30" s="191"/>
      <c r="AR30" s="194" t="e">
        <f>AS30*$M$4</f>
        <v>#NAME?</v>
      </c>
      <c r="AS30" s="194" t="e">
        <f>AW30+BA30+BE30+BI30+BM30+BQ30+BU30+BY30</f>
        <v>#NAME?</v>
      </c>
      <c r="AT30" s="195" t="e">
        <v>#NAME?</v>
      </c>
      <c r="AU30" s="195" t="e">
        <v>#NAME?</v>
      </c>
      <c r="AV30" s="195" t="e">
        <v>#NAME?</v>
      </c>
      <c r="AW30" s="196" t="e">
        <f>SUM(AT30:AV30)</f>
        <v>#NAME?</v>
      </c>
      <c r="AX30" s="195" t="e">
        <v>#NAME?</v>
      </c>
      <c r="AY30" s="195" t="e">
        <v>#NAME?</v>
      </c>
      <c r="AZ30" s="195" t="e">
        <v>#NAME?</v>
      </c>
      <c r="BA30" s="196" t="e">
        <f>SUM(AX30:AZ30)</f>
        <v>#NAME?</v>
      </c>
      <c r="BB30" s="195" t="e">
        <v>#NAME?</v>
      </c>
      <c r="BC30" s="195" t="e">
        <v>#NAME?</v>
      </c>
      <c r="BD30" s="195" t="e">
        <v>#NAME?</v>
      </c>
      <c r="BE30" s="196" t="e">
        <f>SUM(BB30:BD30)</f>
        <v>#NAME?</v>
      </c>
      <c r="BF30" s="195" t="e">
        <v>#NAME?</v>
      </c>
      <c r="BG30" s="195" t="e">
        <v>#NAME?</v>
      </c>
      <c r="BH30" s="195" t="e">
        <v>#NAME?</v>
      </c>
      <c r="BI30" s="196" t="e">
        <f>SUM(BF30:BH30)</f>
        <v>#NAME?</v>
      </c>
      <c r="BJ30" s="195" t="e">
        <v>#NAME?</v>
      </c>
      <c r="BK30" s="195" t="e">
        <v>#NAME?</v>
      </c>
      <c r="BL30" s="195" t="e">
        <v>#NAME?</v>
      </c>
      <c r="BM30" s="196" t="e">
        <f>SUM(BJ30:BL30)</f>
        <v>#NAME?</v>
      </c>
      <c r="BN30" s="195" t="e">
        <v>#NAME?</v>
      </c>
      <c r="BO30" s="195" t="e">
        <v>#NAME?</v>
      </c>
      <c r="BP30" s="195" t="e">
        <v>#NAME?</v>
      </c>
      <c r="BQ30" s="196" t="e">
        <f>SUM(BM30:BP30)</f>
        <v>#NAME?</v>
      </c>
      <c r="BR30" s="195" t="e">
        <v>#NAME?</v>
      </c>
      <c r="BS30" s="195" t="e">
        <v>#NAME?</v>
      </c>
      <c r="BT30" s="195" t="e">
        <v>#NAME?</v>
      </c>
      <c r="BU30" s="196" t="e">
        <f>SUM(BQ30:BT30)</f>
        <v>#NAME?</v>
      </c>
      <c r="BV30" s="195" t="e">
        <v>#NAME?</v>
      </c>
      <c r="BW30" s="195" t="e">
        <v>#NAME?</v>
      </c>
      <c r="BX30" s="195" t="e">
        <v>#NAME?</v>
      </c>
      <c r="BY30" s="196" t="e">
        <f>SUM(BU30:BX30)</f>
        <v>#NAME?</v>
      </c>
    </row>
    <row r="31" spans="1:77" s="89" customFormat="1" ht="15.75">
      <c r="A31" s="124" t="s">
        <v>65</v>
      </c>
      <c r="B31" s="90"/>
      <c r="C31" s="90"/>
      <c r="D31" s="81"/>
      <c r="E31" s="91"/>
      <c r="F31" s="81"/>
      <c r="G31" s="82"/>
      <c r="H31" s="82"/>
      <c r="I31" s="173"/>
      <c r="J31" s="227" t="s">
        <v>154</v>
      </c>
      <c r="K31" s="329">
        <f>Y31</f>
        <v>0</v>
      </c>
      <c r="L31" s="435">
        <f>K31*0.9</f>
        <v>0</v>
      </c>
      <c r="M31" s="398">
        <f>L31/$M$4</f>
        <v>0</v>
      </c>
      <c r="N31" s="398" t="e">
        <f>L31-AR31</f>
        <v>#NAME?</v>
      </c>
      <c r="O31" s="398" t="e">
        <f>M31-AS31</f>
        <v>#NAME?</v>
      </c>
      <c r="P31" s="191"/>
      <c r="Q31" s="191"/>
      <c r="R31" s="192"/>
      <c r="S31" s="231" t="s">
        <v>155</v>
      </c>
      <c r="T31" s="262">
        <v>0</v>
      </c>
      <c r="U31" s="230">
        <v>1800</v>
      </c>
      <c r="V31" s="193"/>
      <c r="W31" s="329">
        <f>(T31*U31)</f>
        <v>0</v>
      </c>
      <c r="X31" s="191"/>
      <c r="Y31" s="290">
        <f>W31</f>
        <v>0</v>
      </c>
      <c r="Z31" s="191"/>
      <c r="AA31" s="190">
        <f>Y31/M$4</f>
        <v>0</v>
      </c>
      <c r="AB31" s="191"/>
      <c r="AC31" s="191"/>
      <c r="AD31" s="192"/>
      <c r="AE31" s="231" t="s">
        <v>155</v>
      </c>
      <c r="AF31" s="229">
        <v>9</v>
      </c>
      <c r="AG31" s="230">
        <v>1800</v>
      </c>
      <c r="AH31" s="193"/>
      <c r="AI31" s="241">
        <f>(AF31*AG31)</f>
        <v>16200</v>
      </c>
      <c r="AJ31" s="191"/>
      <c r="AK31" s="290">
        <f>AI31</f>
        <v>16200</v>
      </c>
      <c r="AL31" s="191"/>
      <c r="AM31" s="190">
        <f>AK31/M$4</f>
        <v>12656.25</v>
      </c>
      <c r="AN31" s="191"/>
      <c r="AO31" s="191"/>
      <c r="AP31" s="191"/>
      <c r="AQ31" s="191"/>
      <c r="AR31" s="194" t="e">
        <f>AS31*$M$4</f>
        <v>#NAME?</v>
      </c>
      <c r="AS31" s="194" t="e">
        <f>AW31+BA31+BE31+BI31+BM31+BQ31+BU31+BY31</f>
        <v>#NAME?</v>
      </c>
      <c r="AT31" s="195" t="e">
        <v>#NAME?</v>
      </c>
      <c r="AU31" s="195" t="e">
        <v>#NAME?</v>
      </c>
      <c r="AV31" s="195" t="e">
        <v>#NAME?</v>
      </c>
      <c r="AW31" s="196" t="e">
        <f>SUM(AT31:AV31)</f>
        <v>#NAME?</v>
      </c>
      <c r="AX31" s="195" t="e">
        <v>#NAME?</v>
      </c>
      <c r="AY31" s="195" t="e">
        <v>#NAME?</v>
      </c>
      <c r="AZ31" s="195" t="e">
        <v>#NAME?</v>
      </c>
      <c r="BA31" s="196" t="e">
        <f>SUM(AX31:AZ31)</f>
        <v>#NAME?</v>
      </c>
      <c r="BB31" s="195" t="e">
        <v>#NAME?</v>
      </c>
      <c r="BC31" s="195" t="e">
        <v>#NAME?</v>
      </c>
      <c r="BD31" s="195" t="e">
        <v>#NAME?</v>
      </c>
      <c r="BE31" s="196" t="e">
        <f>SUM(BB31:BD31)</f>
        <v>#NAME?</v>
      </c>
      <c r="BF31" s="195" t="e">
        <v>#NAME?</v>
      </c>
      <c r="BG31" s="195" t="e">
        <v>#NAME?</v>
      </c>
      <c r="BH31" s="195" t="e">
        <v>#NAME?</v>
      </c>
      <c r="BI31" s="196" t="e">
        <f>SUM(BF31:BH31)</f>
        <v>#NAME?</v>
      </c>
      <c r="BJ31" s="195" t="e">
        <v>#NAME?</v>
      </c>
      <c r="BK31" s="195" t="e">
        <v>#NAME?</v>
      </c>
      <c r="BL31" s="195" t="e">
        <v>#NAME?</v>
      </c>
      <c r="BM31" s="196" t="e">
        <f>SUM(BJ31:BL31)</f>
        <v>#NAME?</v>
      </c>
      <c r="BN31" s="195" t="e">
        <v>#NAME?</v>
      </c>
      <c r="BO31" s="195" t="e">
        <v>#NAME?</v>
      </c>
      <c r="BP31" s="195" t="e">
        <v>#NAME?</v>
      </c>
      <c r="BQ31" s="196" t="e">
        <f>SUM(BM31:BP31)</f>
        <v>#NAME?</v>
      </c>
      <c r="BR31" s="195" t="e">
        <v>#NAME?</v>
      </c>
      <c r="BS31" s="195" t="e">
        <v>#NAME?</v>
      </c>
      <c r="BT31" s="195" t="e">
        <v>#NAME?</v>
      </c>
      <c r="BU31" s="196" t="e">
        <f>SUM(BQ31:BT31)</f>
        <v>#NAME?</v>
      </c>
      <c r="BV31" s="195" t="e">
        <v>#NAME?</v>
      </c>
      <c r="BW31" s="195" t="e">
        <v>#NAME?</v>
      </c>
      <c r="BX31" s="195" t="e">
        <v>#NAME?</v>
      </c>
      <c r="BY31" s="196" t="e">
        <f>SUM(BU31:BX31)</f>
        <v>#NAME?</v>
      </c>
    </row>
    <row r="32" spans="1:77" s="89" customFormat="1" ht="22.5" customHeight="1">
      <c r="A32" s="171"/>
      <c r="B32" s="172"/>
      <c r="C32" s="172"/>
      <c r="D32" s="172"/>
      <c r="E32" s="172"/>
      <c r="F32" s="172"/>
      <c r="I32" s="173"/>
      <c r="J32" s="186" t="str">
        <f>CONCATENATE("Subtotal ",J29)</f>
        <v>Subtotal Technical </v>
      </c>
      <c r="K32" s="363">
        <f>SUBTOTAL(9,K30:K31)</f>
        <v>43200</v>
      </c>
      <c r="L32" s="436">
        <f>SUBTOTAL(9,L30:L31)</f>
        <v>38880</v>
      </c>
      <c r="M32" s="399">
        <f>SUBTOTAL(9,M30:M31)</f>
        <v>30375</v>
      </c>
      <c r="N32" s="399" t="e">
        <f>SUBTOTAL(9,N30:N31)</f>
        <v>#NAME?</v>
      </c>
      <c r="O32" s="399" t="e">
        <f>SUBTOTAL(9,O30:O31)</f>
        <v>#NAME?</v>
      </c>
      <c r="P32" s="193"/>
      <c r="Q32" s="193"/>
      <c r="R32" s="225"/>
      <c r="S32" s="193"/>
      <c r="T32" s="193"/>
      <c r="U32" s="224"/>
      <c r="V32" s="224"/>
      <c r="W32" s="330">
        <f>SUBTOTAL(9,W30:W31)</f>
        <v>43200</v>
      </c>
      <c r="X32" s="193"/>
      <c r="Y32" s="301">
        <f>SUBTOTAL(9,Y30:Y31)</f>
        <v>43200</v>
      </c>
      <c r="Z32" s="193"/>
      <c r="AA32" s="223">
        <f>SUBTOTAL(9,AA30:AA31)</f>
        <v>33750</v>
      </c>
      <c r="AB32" s="193"/>
      <c r="AC32" s="193"/>
      <c r="AD32" s="225"/>
      <c r="AE32" s="193"/>
      <c r="AF32" s="193"/>
      <c r="AG32" s="224"/>
      <c r="AH32" s="224"/>
      <c r="AI32" s="242">
        <f>SUBTOTAL(9,AI30:AI31)</f>
        <v>145800</v>
      </c>
      <c r="AJ32" s="193"/>
      <c r="AK32" s="301">
        <f>SUBTOTAL(9,AK30:AK31)</f>
        <v>145800</v>
      </c>
      <c r="AL32" s="193"/>
      <c r="AM32" s="223">
        <f>SUBTOTAL(9,AM30:AM31)</f>
        <v>113906.25</v>
      </c>
      <c r="AN32" s="193"/>
      <c r="AO32" s="193"/>
      <c r="AP32" s="193"/>
      <c r="AQ32" s="193"/>
      <c r="AR32" s="224" t="e">
        <f aca="true" t="shared" si="0" ref="AR32:BF32">SUBTOTAL(9,AR30:AR31)</f>
        <v>#NAME?</v>
      </c>
      <c r="AS32" s="224" t="e">
        <f t="shared" si="0"/>
        <v>#NAME?</v>
      </c>
      <c r="AT32" s="224" t="e">
        <f t="shared" si="0"/>
        <v>#NAME?</v>
      </c>
      <c r="AU32" s="224" t="e">
        <f t="shared" si="0"/>
        <v>#NAME?</v>
      </c>
      <c r="AV32" s="224" t="e">
        <f t="shared" si="0"/>
        <v>#NAME?</v>
      </c>
      <c r="AW32" s="224" t="e">
        <f t="shared" si="0"/>
        <v>#NAME?</v>
      </c>
      <c r="AX32" s="224" t="e">
        <f t="shared" si="0"/>
        <v>#NAME?</v>
      </c>
      <c r="AY32" s="224" t="e">
        <f t="shared" si="0"/>
        <v>#NAME?</v>
      </c>
      <c r="AZ32" s="224" t="e">
        <f t="shared" si="0"/>
        <v>#NAME?</v>
      </c>
      <c r="BA32" s="224" t="e">
        <f t="shared" si="0"/>
        <v>#NAME?</v>
      </c>
      <c r="BB32" s="224" t="e">
        <f t="shared" si="0"/>
        <v>#NAME?</v>
      </c>
      <c r="BC32" s="224" t="e">
        <f t="shared" si="0"/>
        <v>#NAME?</v>
      </c>
      <c r="BD32" s="224" t="e">
        <f t="shared" si="0"/>
        <v>#NAME?</v>
      </c>
      <c r="BE32" s="224" t="e">
        <f t="shared" si="0"/>
        <v>#NAME?</v>
      </c>
      <c r="BF32" s="224" t="e">
        <f t="shared" si="0"/>
        <v>#NAME?</v>
      </c>
      <c r="BG32" s="224" t="e">
        <f aca="true" t="shared" si="1" ref="BG32:BY32">SUBTOTAL(9,BG30:BG31)</f>
        <v>#NAME?</v>
      </c>
      <c r="BH32" s="224" t="e">
        <f t="shared" si="1"/>
        <v>#NAME?</v>
      </c>
      <c r="BI32" s="224" t="e">
        <f t="shared" si="1"/>
        <v>#NAME?</v>
      </c>
      <c r="BJ32" s="224" t="e">
        <f t="shared" si="1"/>
        <v>#NAME?</v>
      </c>
      <c r="BK32" s="224" t="e">
        <f t="shared" si="1"/>
        <v>#NAME?</v>
      </c>
      <c r="BL32" s="224" t="e">
        <f t="shared" si="1"/>
        <v>#NAME?</v>
      </c>
      <c r="BM32" s="224" t="e">
        <f t="shared" si="1"/>
        <v>#NAME?</v>
      </c>
      <c r="BN32" s="224" t="e">
        <f t="shared" si="1"/>
        <v>#NAME?</v>
      </c>
      <c r="BO32" s="224" t="e">
        <f t="shared" si="1"/>
        <v>#NAME?</v>
      </c>
      <c r="BP32" s="224" t="e">
        <f t="shared" si="1"/>
        <v>#NAME?</v>
      </c>
      <c r="BQ32" s="224" t="e">
        <f t="shared" si="1"/>
        <v>#NAME?</v>
      </c>
      <c r="BR32" s="224" t="e">
        <f t="shared" si="1"/>
        <v>#NAME?</v>
      </c>
      <c r="BS32" s="224" t="e">
        <f t="shared" si="1"/>
        <v>#NAME?</v>
      </c>
      <c r="BT32" s="224" t="e">
        <f t="shared" si="1"/>
        <v>#NAME?</v>
      </c>
      <c r="BU32" s="224" t="e">
        <f t="shared" si="1"/>
        <v>#NAME?</v>
      </c>
      <c r="BV32" s="224" t="e">
        <f t="shared" si="1"/>
        <v>#NAME?</v>
      </c>
      <c r="BW32" s="224" t="e">
        <f t="shared" si="1"/>
        <v>#NAME?</v>
      </c>
      <c r="BX32" s="224" t="e">
        <f t="shared" si="1"/>
        <v>#NAME?</v>
      </c>
      <c r="BY32" s="224" t="e">
        <f t="shared" si="1"/>
        <v>#NAME?</v>
      </c>
    </row>
    <row r="33" spans="1:77" s="89" customFormat="1" ht="15.75">
      <c r="A33" s="171"/>
      <c r="B33" s="172"/>
      <c r="C33" s="172"/>
      <c r="D33" s="172"/>
      <c r="E33" s="172"/>
      <c r="F33" s="172"/>
      <c r="I33" s="173"/>
      <c r="J33" s="186"/>
      <c r="K33" s="363"/>
      <c r="L33" s="436"/>
      <c r="M33" s="399"/>
      <c r="N33" s="399"/>
      <c r="O33" s="399"/>
      <c r="P33" s="193"/>
      <c r="Q33" s="193"/>
      <c r="R33" s="225"/>
      <c r="S33" s="193"/>
      <c r="T33" s="193"/>
      <c r="U33" s="224"/>
      <c r="V33" s="224"/>
      <c r="W33" s="330"/>
      <c r="X33" s="193"/>
      <c r="Y33" s="301"/>
      <c r="Z33" s="193"/>
      <c r="AA33" s="223"/>
      <c r="AB33" s="193"/>
      <c r="AC33" s="193"/>
      <c r="AD33" s="225"/>
      <c r="AE33" s="193"/>
      <c r="AF33" s="193"/>
      <c r="AG33" s="224"/>
      <c r="AH33" s="224"/>
      <c r="AI33" s="242"/>
      <c r="AJ33" s="193"/>
      <c r="AK33" s="301"/>
      <c r="AL33" s="193"/>
      <c r="AM33" s="223"/>
      <c r="AN33" s="193"/>
      <c r="AO33" s="193"/>
      <c r="AP33" s="193"/>
      <c r="AQ33" s="193"/>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S33" s="224"/>
      <c r="BT33" s="224"/>
      <c r="BU33" s="224"/>
      <c r="BV33" s="224"/>
      <c r="BW33" s="224"/>
      <c r="BX33" s="224"/>
      <c r="BY33" s="224"/>
    </row>
    <row r="34" spans="1:77" s="89" customFormat="1" ht="19.5" customHeight="1">
      <c r="A34" s="171"/>
      <c r="B34" s="172"/>
      <c r="C34" s="172"/>
      <c r="D34" s="172"/>
      <c r="E34" s="172"/>
      <c r="F34" s="172"/>
      <c r="I34" s="173"/>
      <c r="J34" s="186" t="s">
        <v>134</v>
      </c>
      <c r="K34" s="363"/>
      <c r="L34" s="436"/>
      <c r="M34" s="399"/>
      <c r="N34" s="399"/>
      <c r="O34" s="399"/>
      <c r="P34" s="193"/>
      <c r="Q34" s="193"/>
      <c r="R34" s="225"/>
      <c r="S34" s="193"/>
      <c r="T34" s="193"/>
      <c r="U34" s="224"/>
      <c r="V34" s="224"/>
      <c r="W34" s="330"/>
      <c r="X34" s="193"/>
      <c r="Y34" s="301"/>
      <c r="Z34" s="193"/>
      <c r="AA34" s="223"/>
      <c r="AB34" s="193"/>
      <c r="AC34" s="193"/>
      <c r="AD34" s="225"/>
      <c r="AE34" s="193"/>
      <c r="AF34" s="193"/>
      <c r="AG34" s="224"/>
      <c r="AH34" s="224"/>
      <c r="AI34" s="242"/>
      <c r="AJ34" s="193"/>
      <c r="AK34" s="301"/>
      <c r="AL34" s="193"/>
      <c r="AM34" s="223"/>
      <c r="AN34" s="193"/>
      <c r="AO34" s="193"/>
      <c r="AP34" s="193"/>
      <c r="AQ34" s="193"/>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4"/>
      <c r="BQ34" s="224"/>
      <c r="BR34" s="224"/>
      <c r="BS34" s="224"/>
      <c r="BT34" s="224"/>
      <c r="BU34" s="224"/>
      <c r="BV34" s="224"/>
      <c r="BW34" s="224"/>
      <c r="BX34" s="224"/>
      <c r="BY34" s="224"/>
    </row>
    <row r="35" spans="1:77" s="89" customFormat="1" ht="15.75">
      <c r="A35" s="124" t="s">
        <v>66</v>
      </c>
      <c r="B35" s="90"/>
      <c r="C35" s="90"/>
      <c r="D35" s="81"/>
      <c r="E35" s="91"/>
      <c r="F35" s="95"/>
      <c r="G35" s="82"/>
      <c r="H35" s="82"/>
      <c r="I35" s="173"/>
      <c r="J35" s="256" t="s">
        <v>157</v>
      </c>
      <c r="K35" s="329">
        <f aca="true" t="shared" si="2" ref="K35:K40">Y35</f>
        <v>5300</v>
      </c>
      <c r="L35" s="435">
        <f aca="true" t="shared" si="3" ref="L35:L40">K35*0.9</f>
        <v>4770</v>
      </c>
      <c r="M35" s="398">
        <f aca="true" t="shared" si="4" ref="M35:M40">L35/$M$4</f>
        <v>3726.5625</v>
      </c>
      <c r="N35" s="398" t="e">
        <f aca="true" t="shared" si="5" ref="N35:O40">L35-AR35</f>
        <v>#NAME?</v>
      </c>
      <c r="O35" s="398" t="e">
        <f t="shared" si="5"/>
        <v>#NAME?</v>
      </c>
      <c r="P35" s="191"/>
      <c r="Q35" s="191"/>
      <c r="R35" s="192"/>
      <c r="S35" s="228" t="s">
        <v>155</v>
      </c>
      <c r="T35" s="262">
        <v>4</v>
      </c>
      <c r="U35" s="257">
        <v>1325</v>
      </c>
      <c r="V35" s="193"/>
      <c r="W35" s="329">
        <f aca="true" t="shared" si="6" ref="W35:W40">(T35*U35)</f>
        <v>5300</v>
      </c>
      <c r="X35" s="191"/>
      <c r="Y35" s="290">
        <f aca="true" t="shared" si="7" ref="Y35:Y40">W35</f>
        <v>5300</v>
      </c>
      <c r="Z35" s="191"/>
      <c r="AA35" s="190">
        <f aca="true" t="shared" si="8" ref="AA35:AA40">Y35/M$4</f>
        <v>4140.625</v>
      </c>
      <c r="AB35" s="191"/>
      <c r="AC35" s="191"/>
      <c r="AD35" s="192"/>
      <c r="AE35" s="228" t="s">
        <v>155</v>
      </c>
      <c r="AF35" s="229">
        <v>12</v>
      </c>
      <c r="AG35" s="257">
        <v>1325</v>
      </c>
      <c r="AH35" s="193"/>
      <c r="AI35" s="241">
        <f aca="true" t="shared" si="9" ref="AI35:AI40">(AF35*AG35)</f>
        <v>15900</v>
      </c>
      <c r="AJ35" s="191"/>
      <c r="AK35" s="290">
        <f aca="true" t="shared" si="10" ref="AK35:AK40">AI35</f>
        <v>15900</v>
      </c>
      <c r="AL35" s="191"/>
      <c r="AM35" s="190">
        <f aca="true" t="shared" si="11" ref="AM35:AM40">AK35/M$4</f>
        <v>12421.875</v>
      </c>
      <c r="AN35" s="191"/>
      <c r="AO35" s="191"/>
      <c r="AP35" s="191"/>
      <c r="AQ35" s="191"/>
      <c r="AR35" s="194" t="e">
        <f aca="true" t="shared" si="12" ref="AR35:AR40">AS35*$M$4</f>
        <v>#NAME?</v>
      </c>
      <c r="AS35" s="194" t="e">
        <f aca="true" t="shared" si="13" ref="AS35:AS40">AW35+BA35+BE35+BI35+BM35+BQ35+BU35+BY35</f>
        <v>#NAME?</v>
      </c>
      <c r="AT35" s="195" t="e">
        <v>#NAME?</v>
      </c>
      <c r="AU35" s="195" t="e">
        <v>#NAME?</v>
      </c>
      <c r="AV35" s="195" t="e">
        <v>#NAME?</v>
      </c>
      <c r="AW35" s="196" t="e">
        <f aca="true" t="shared" si="14" ref="AW35:AW40">SUM(AT35:AV35)</f>
        <v>#NAME?</v>
      </c>
      <c r="AX35" s="195" t="e">
        <v>#NAME?</v>
      </c>
      <c r="AY35" s="195" t="e">
        <v>#NAME?</v>
      </c>
      <c r="AZ35" s="195" t="e">
        <v>#NAME?</v>
      </c>
      <c r="BA35" s="196" t="e">
        <f aca="true" t="shared" si="15" ref="BA35:BA40">SUM(AX35:AZ35)</f>
        <v>#NAME?</v>
      </c>
      <c r="BB35" s="195" t="e">
        <v>#NAME?</v>
      </c>
      <c r="BC35" s="195" t="e">
        <v>#NAME?</v>
      </c>
      <c r="BD35" s="195" t="e">
        <v>#NAME?</v>
      </c>
      <c r="BE35" s="196" t="e">
        <f aca="true" t="shared" si="16" ref="BE35:BE40">SUM(BB35:BD35)</f>
        <v>#NAME?</v>
      </c>
      <c r="BF35" s="195" t="e">
        <v>#NAME?</v>
      </c>
      <c r="BG35" s="195" t="e">
        <v>#NAME?</v>
      </c>
      <c r="BH35" s="195" t="e">
        <v>#NAME?</v>
      </c>
      <c r="BI35" s="196" t="e">
        <f aca="true" t="shared" si="17" ref="BI35:BI40">SUM(BF35:BH35)</f>
        <v>#NAME?</v>
      </c>
      <c r="BJ35" s="195" t="e">
        <v>#NAME?</v>
      </c>
      <c r="BK35" s="195" t="e">
        <v>#NAME?</v>
      </c>
      <c r="BL35" s="195" t="e">
        <v>#NAME?</v>
      </c>
      <c r="BM35" s="196" t="e">
        <f aca="true" t="shared" si="18" ref="BM35:BM40">SUM(BJ35:BL35)</f>
        <v>#NAME?</v>
      </c>
      <c r="BN35" s="195" t="e">
        <v>#NAME?</v>
      </c>
      <c r="BO35" s="195" t="e">
        <v>#NAME?</v>
      </c>
      <c r="BP35" s="195" t="e">
        <v>#NAME?</v>
      </c>
      <c r="BQ35" s="196" t="e">
        <f aca="true" t="shared" si="19" ref="BQ35:BQ40">SUM(BM35:BP35)</f>
        <v>#NAME?</v>
      </c>
      <c r="BR35" s="195" t="e">
        <v>#NAME?</v>
      </c>
      <c r="BS35" s="195" t="e">
        <v>#NAME?</v>
      </c>
      <c r="BT35" s="195" t="e">
        <v>#NAME?</v>
      </c>
      <c r="BU35" s="196" t="e">
        <f aca="true" t="shared" si="20" ref="BU35:BU40">SUM(BQ35:BT35)</f>
        <v>#NAME?</v>
      </c>
      <c r="BV35" s="195" t="e">
        <v>#NAME?</v>
      </c>
      <c r="BW35" s="195" t="e">
        <v>#NAME?</v>
      </c>
      <c r="BX35" s="195" t="e">
        <v>#NAME?</v>
      </c>
      <c r="BY35" s="196" t="e">
        <f aca="true" t="shared" si="21" ref="BY35:BY40">SUM(BU35:BX35)</f>
        <v>#NAME?</v>
      </c>
    </row>
    <row r="36" spans="1:77" s="89" customFormat="1" ht="15.75">
      <c r="A36" s="124" t="s">
        <v>67</v>
      </c>
      <c r="B36" s="90"/>
      <c r="C36" s="90"/>
      <c r="D36" s="81"/>
      <c r="E36" s="91"/>
      <c r="F36" s="95"/>
      <c r="G36" s="82"/>
      <c r="H36" s="82"/>
      <c r="I36" s="173"/>
      <c r="J36" s="256" t="s">
        <v>158</v>
      </c>
      <c r="K36" s="329">
        <f t="shared" si="2"/>
        <v>3800</v>
      </c>
      <c r="L36" s="435">
        <f t="shared" si="3"/>
        <v>3420</v>
      </c>
      <c r="M36" s="398">
        <f t="shared" si="4"/>
        <v>2671.875</v>
      </c>
      <c r="N36" s="398" t="e">
        <f t="shared" si="5"/>
        <v>#NAME?</v>
      </c>
      <c r="O36" s="398" t="e">
        <f t="shared" si="5"/>
        <v>#NAME?</v>
      </c>
      <c r="P36" s="191"/>
      <c r="Q36" s="191"/>
      <c r="R36" s="192"/>
      <c r="S36" s="228" t="s">
        <v>155</v>
      </c>
      <c r="T36" s="262">
        <v>4</v>
      </c>
      <c r="U36" s="258">
        <v>950</v>
      </c>
      <c r="V36" s="193"/>
      <c r="W36" s="329">
        <f t="shared" si="6"/>
        <v>3800</v>
      </c>
      <c r="X36" s="191"/>
      <c r="Y36" s="290">
        <f t="shared" si="7"/>
        <v>3800</v>
      </c>
      <c r="Z36" s="191"/>
      <c r="AA36" s="190">
        <f t="shared" si="8"/>
        <v>2968.75</v>
      </c>
      <c r="AB36" s="191"/>
      <c r="AC36" s="191"/>
      <c r="AD36" s="192"/>
      <c r="AE36" s="228" t="s">
        <v>155</v>
      </c>
      <c r="AF36" s="229">
        <v>12</v>
      </c>
      <c r="AG36" s="258">
        <v>950</v>
      </c>
      <c r="AH36" s="193"/>
      <c r="AI36" s="241">
        <f t="shared" si="9"/>
        <v>11400</v>
      </c>
      <c r="AJ36" s="191"/>
      <c r="AK36" s="290">
        <f t="shared" si="10"/>
        <v>11400</v>
      </c>
      <c r="AL36" s="191"/>
      <c r="AM36" s="190">
        <f t="shared" si="11"/>
        <v>8906.25</v>
      </c>
      <c r="AN36" s="191"/>
      <c r="AO36" s="191"/>
      <c r="AP36" s="191"/>
      <c r="AQ36" s="191"/>
      <c r="AR36" s="194" t="e">
        <f t="shared" si="12"/>
        <v>#NAME?</v>
      </c>
      <c r="AS36" s="194" t="e">
        <f t="shared" si="13"/>
        <v>#NAME?</v>
      </c>
      <c r="AT36" s="195" t="e">
        <v>#NAME?</v>
      </c>
      <c r="AU36" s="195" t="e">
        <v>#NAME?</v>
      </c>
      <c r="AV36" s="195" t="e">
        <v>#NAME?</v>
      </c>
      <c r="AW36" s="196" t="e">
        <f t="shared" si="14"/>
        <v>#NAME?</v>
      </c>
      <c r="AX36" s="195" t="e">
        <v>#NAME?</v>
      </c>
      <c r="AY36" s="195" t="e">
        <v>#NAME?</v>
      </c>
      <c r="AZ36" s="195" t="e">
        <v>#NAME?</v>
      </c>
      <c r="BA36" s="196" t="e">
        <f t="shared" si="15"/>
        <v>#NAME?</v>
      </c>
      <c r="BB36" s="195" t="e">
        <v>#NAME?</v>
      </c>
      <c r="BC36" s="195" t="e">
        <v>#NAME?</v>
      </c>
      <c r="BD36" s="195" t="e">
        <v>#NAME?</v>
      </c>
      <c r="BE36" s="196" t="e">
        <f t="shared" si="16"/>
        <v>#NAME?</v>
      </c>
      <c r="BF36" s="195" t="e">
        <v>#NAME?</v>
      </c>
      <c r="BG36" s="195" t="e">
        <v>#NAME?</v>
      </c>
      <c r="BH36" s="195" t="e">
        <v>#NAME?</v>
      </c>
      <c r="BI36" s="196" t="e">
        <f t="shared" si="17"/>
        <v>#NAME?</v>
      </c>
      <c r="BJ36" s="195" t="e">
        <v>#NAME?</v>
      </c>
      <c r="BK36" s="195" t="e">
        <v>#NAME?</v>
      </c>
      <c r="BL36" s="195" t="e">
        <v>#NAME?</v>
      </c>
      <c r="BM36" s="196" t="e">
        <f t="shared" si="18"/>
        <v>#NAME?</v>
      </c>
      <c r="BN36" s="195" t="e">
        <v>#NAME?</v>
      </c>
      <c r="BO36" s="195" t="e">
        <v>#NAME?</v>
      </c>
      <c r="BP36" s="195" t="e">
        <v>#NAME?</v>
      </c>
      <c r="BQ36" s="196" t="e">
        <f t="shared" si="19"/>
        <v>#NAME?</v>
      </c>
      <c r="BR36" s="195" t="e">
        <v>#NAME?</v>
      </c>
      <c r="BS36" s="195" t="e">
        <v>#NAME?</v>
      </c>
      <c r="BT36" s="195" t="e">
        <v>#NAME?</v>
      </c>
      <c r="BU36" s="196" t="e">
        <f t="shared" si="20"/>
        <v>#NAME?</v>
      </c>
      <c r="BV36" s="195" t="e">
        <v>#NAME?</v>
      </c>
      <c r="BW36" s="195" t="e">
        <v>#NAME?</v>
      </c>
      <c r="BX36" s="195" t="e">
        <v>#NAME?</v>
      </c>
      <c r="BY36" s="196" t="e">
        <f t="shared" si="21"/>
        <v>#NAME?</v>
      </c>
    </row>
    <row r="37" spans="1:77" s="89" customFormat="1" ht="15.75">
      <c r="A37" s="124" t="s">
        <v>68</v>
      </c>
      <c r="B37" s="90"/>
      <c r="C37" s="90"/>
      <c r="D37" s="81"/>
      <c r="E37" s="91"/>
      <c r="F37" s="95"/>
      <c r="G37" s="82"/>
      <c r="H37" s="82"/>
      <c r="I37" s="173"/>
      <c r="J37" s="256" t="s">
        <v>159</v>
      </c>
      <c r="K37" s="329">
        <f t="shared" si="2"/>
        <v>8640</v>
      </c>
      <c r="L37" s="435">
        <f t="shared" si="3"/>
        <v>7776</v>
      </c>
      <c r="M37" s="398">
        <f t="shared" si="4"/>
        <v>6075</v>
      </c>
      <c r="N37" s="398" t="e">
        <f t="shared" si="5"/>
        <v>#NAME?</v>
      </c>
      <c r="O37" s="398" t="e">
        <f t="shared" si="5"/>
        <v>#NAME?</v>
      </c>
      <c r="P37" s="191"/>
      <c r="Q37" s="191"/>
      <c r="R37" s="192"/>
      <c r="S37" s="231" t="s">
        <v>163</v>
      </c>
      <c r="T37" s="262">
        <v>3.6</v>
      </c>
      <c r="U37" s="258">
        <v>2400</v>
      </c>
      <c r="V37" s="193"/>
      <c r="W37" s="329">
        <f t="shared" si="6"/>
        <v>8640</v>
      </c>
      <c r="X37" s="191"/>
      <c r="Y37" s="290">
        <f t="shared" si="7"/>
        <v>8640</v>
      </c>
      <c r="Z37" s="191"/>
      <c r="AA37" s="190">
        <f t="shared" si="8"/>
        <v>6750</v>
      </c>
      <c r="AB37" s="191"/>
      <c r="AC37" s="191"/>
      <c r="AD37" s="192"/>
      <c r="AE37" s="231" t="s">
        <v>163</v>
      </c>
      <c r="AF37" s="259">
        <v>10.8</v>
      </c>
      <c r="AG37" s="258">
        <v>2080</v>
      </c>
      <c r="AH37" s="193"/>
      <c r="AI37" s="241">
        <f t="shared" si="9"/>
        <v>22464</v>
      </c>
      <c r="AJ37" s="191"/>
      <c r="AK37" s="290">
        <f t="shared" si="10"/>
        <v>22464</v>
      </c>
      <c r="AL37" s="191"/>
      <c r="AM37" s="190">
        <f t="shared" si="11"/>
        <v>17550</v>
      </c>
      <c r="AN37" s="191"/>
      <c r="AO37" s="191"/>
      <c r="AP37" s="191"/>
      <c r="AQ37" s="191"/>
      <c r="AR37" s="194" t="e">
        <f t="shared" si="12"/>
        <v>#NAME?</v>
      </c>
      <c r="AS37" s="194" t="e">
        <f t="shared" si="13"/>
        <v>#NAME?</v>
      </c>
      <c r="AT37" s="195" t="e">
        <v>#NAME?</v>
      </c>
      <c r="AU37" s="195" t="e">
        <v>#NAME?</v>
      </c>
      <c r="AV37" s="195" t="e">
        <v>#NAME?</v>
      </c>
      <c r="AW37" s="196" t="e">
        <f t="shared" si="14"/>
        <v>#NAME?</v>
      </c>
      <c r="AX37" s="195" t="e">
        <v>#NAME?</v>
      </c>
      <c r="AY37" s="195" t="e">
        <v>#NAME?</v>
      </c>
      <c r="AZ37" s="195" t="e">
        <v>#NAME?</v>
      </c>
      <c r="BA37" s="196" t="e">
        <f t="shared" si="15"/>
        <v>#NAME?</v>
      </c>
      <c r="BB37" s="195" t="e">
        <v>#NAME?</v>
      </c>
      <c r="BC37" s="195" t="e">
        <v>#NAME?</v>
      </c>
      <c r="BD37" s="195" t="e">
        <v>#NAME?</v>
      </c>
      <c r="BE37" s="196" t="e">
        <f t="shared" si="16"/>
        <v>#NAME?</v>
      </c>
      <c r="BF37" s="195" t="e">
        <v>#NAME?</v>
      </c>
      <c r="BG37" s="195" t="e">
        <v>#NAME?</v>
      </c>
      <c r="BH37" s="195" t="e">
        <v>#NAME?</v>
      </c>
      <c r="BI37" s="196" t="e">
        <f t="shared" si="17"/>
        <v>#NAME?</v>
      </c>
      <c r="BJ37" s="195" t="e">
        <v>#NAME?</v>
      </c>
      <c r="BK37" s="195" t="e">
        <v>#NAME?</v>
      </c>
      <c r="BL37" s="195" t="e">
        <v>#NAME?</v>
      </c>
      <c r="BM37" s="196" t="e">
        <f t="shared" si="18"/>
        <v>#NAME?</v>
      </c>
      <c r="BN37" s="195" t="e">
        <v>#NAME?</v>
      </c>
      <c r="BO37" s="195" t="e">
        <v>#NAME?</v>
      </c>
      <c r="BP37" s="195" t="e">
        <v>#NAME?</v>
      </c>
      <c r="BQ37" s="196" t="e">
        <f t="shared" si="19"/>
        <v>#NAME?</v>
      </c>
      <c r="BR37" s="195" t="e">
        <v>#NAME?</v>
      </c>
      <c r="BS37" s="195" t="e">
        <v>#NAME?</v>
      </c>
      <c r="BT37" s="195" t="e">
        <v>#NAME?</v>
      </c>
      <c r="BU37" s="196" t="e">
        <f t="shared" si="20"/>
        <v>#NAME?</v>
      </c>
      <c r="BV37" s="195" t="e">
        <v>#NAME?</v>
      </c>
      <c r="BW37" s="195" t="e">
        <v>#NAME?</v>
      </c>
      <c r="BX37" s="195" t="e">
        <v>#NAME?</v>
      </c>
      <c r="BY37" s="196" t="e">
        <f t="shared" si="21"/>
        <v>#NAME?</v>
      </c>
    </row>
    <row r="38" spans="1:77" s="89" customFormat="1" ht="15.75">
      <c r="A38" s="124" t="s">
        <v>69</v>
      </c>
      <c r="B38" s="90"/>
      <c r="C38" s="90"/>
      <c r="D38" s="81"/>
      <c r="E38" s="91"/>
      <c r="F38" s="95"/>
      <c r="G38" s="82"/>
      <c r="H38" s="82"/>
      <c r="I38" s="173"/>
      <c r="J38" s="256" t="s">
        <v>160</v>
      </c>
      <c r="K38" s="329">
        <f t="shared" si="2"/>
        <v>4500</v>
      </c>
      <c r="L38" s="435">
        <f t="shared" si="3"/>
        <v>4050</v>
      </c>
      <c r="M38" s="398">
        <f t="shared" si="4"/>
        <v>3164.0625</v>
      </c>
      <c r="N38" s="398" t="e">
        <f t="shared" si="5"/>
        <v>#NAME?</v>
      </c>
      <c r="O38" s="398" t="e">
        <f t="shared" si="5"/>
        <v>#NAME?</v>
      </c>
      <c r="P38" s="191"/>
      <c r="Q38" s="191"/>
      <c r="R38" s="192"/>
      <c r="S38" s="231" t="s">
        <v>155</v>
      </c>
      <c r="T38" s="262">
        <v>4</v>
      </c>
      <c r="U38" s="260">
        <v>1125</v>
      </c>
      <c r="V38" s="193"/>
      <c r="W38" s="329">
        <f t="shared" si="6"/>
        <v>4500</v>
      </c>
      <c r="X38" s="191"/>
      <c r="Y38" s="290">
        <f t="shared" si="7"/>
        <v>4500</v>
      </c>
      <c r="Z38" s="191"/>
      <c r="AA38" s="190">
        <f t="shared" si="8"/>
        <v>3515.625</v>
      </c>
      <c r="AB38" s="191"/>
      <c r="AC38" s="191"/>
      <c r="AD38" s="192"/>
      <c r="AE38" s="231" t="s">
        <v>155</v>
      </c>
      <c r="AF38" s="259">
        <v>12</v>
      </c>
      <c r="AG38" s="260">
        <v>1125</v>
      </c>
      <c r="AH38" s="193"/>
      <c r="AI38" s="241">
        <f t="shared" si="9"/>
        <v>13500</v>
      </c>
      <c r="AJ38" s="191"/>
      <c r="AK38" s="290">
        <f t="shared" si="10"/>
        <v>13500</v>
      </c>
      <c r="AL38" s="191"/>
      <c r="AM38" s="190">
        <f t="shared" si="11"/>
        <v>10546.875</v>
      </c>
      <c r="AN38" s="191"/>
      <c r="AO38" s="191"/>
      <c r="AP38" s="191"/>
      <c r="AQ38" s="191"/>
      <c r="AR38" s="194" t="e">
        <f t="shared" si="12"/>
        <v>#NAME?</v>
      </c>
      <c r="AS38" s="194" t="e">
        <f t="shared" si="13"/>
        <v>#NAME?</v>
      </c>
      <c r="AT38" s="195" t="e">
        <v>#NAME?</v>
      </c>
      <c r="AU38" s="195" t="e">
        <v>#NAME?</v>
      </c>
      <c r="AV38" s="195" t="e">
        <v>#NAME?</v>
      </c>
      <c r="AW38" s="196" t="e">
        <f t="shared" si="14"/>
        <v>#NAME?</v>
      </c>
      <c r="AX38" s="195" t="e">
        <v>#NAME?</v>
      </c>
      <c r="AY38" s="195" t="e">
        <v>#NAME?</v>
      </c>
      <c r="AZ38" s="195" t="e">
        <v>#NAME?</v>
      </c>
      <c r="BA38" s="196" t="e">
        <f t="shared" si="15"/>
        <v>#NAME?</v>
      </c>
      <c r="BB38" s="195" t="e">
        <v>#NAME?</v>
      </c>
      <c r="BC38" s="195" t="e">
        <v>#NAME?</v>
      </c>
      <c r="BD38" s="195" t="e">
        <v>#NAME?</v>
      </c>
      <c r="BE38" s="196" t="e">
        <f t="shared" si="16"/>
        <v>#NAME?</v>
      </c>
      <c r="BF38" s="195" t="e">
        <v>#NAME?</v>
      </c>
      <c r="BG38" s="195" t="e">
        <v>#NAME?</v>
      </c>
      <c r="BH38" s="195" t="e">
        <v>#NAME?</v>
      </c>
      <c r="BI38" s="196" t="e">
        <f t="shared" si="17"/>
        <v>#NAME?</v>
      </c>
      <c r="BJ38" s="195" t="e">
        <v>#NAME?</v>
      </c>
      <c r="BK38" s="195" t="e">
        <v>#NAME?</v>
      </c>
      <c r="BL38" s="195" t="e">
        <v>#NAME?</v>
      </c>
      <c r="BM38" s="196" t="e">
        <f t="shared" si="18"/>
        <v>#NAME?</v>
      </c>
      <c r="BN38" s="195" t="e">
        <v>#NAME?</v>
      </c>
      <c r="BO38" s="195" t="e">
        <v>#NAME?</v>
      </c>
      <c r="BP38" s="195" t="e">
        <v>#NAME?</v>
      </c>
      <c r="BQ38" s="196" t="e">
        <f t="shared" si="19"/>
        <v>#NAME?</v>
      </c>
      <c r="BR38" s="195" t="e">
        <v>#NAME?</v>
      </c>
      <c r="BS38" s="195" t="e">
        <v>#NAME?</v>
      </c>
      <c r="BT38" s="195" t="e">
        <v>#NAME?</v>
      </c>
      <c r="BU38" s="196" t="e">
        <f t="shared" si="20"/>
        <v>#NAME?</v>
      </c>
      <c r="BV38" s="195" t="e">
        <v>#NAME?</v>
      </c>
      <c r="BW38" s="195" t="e">
        <v>#NAME?</v>
      </c>
      <c r="BX38" s="195" t="e">
        <v>#NAME?</v>
      </c>
      <c r="BY38" s="196" t="e">
        <f t="shared" si="21"/>
        <v>#NAME?</v>
      </c>
    </row>
    <row r="39" spans="1:77" s="89" customFormat="1" ht="15.75">
      <c r="A39" s="124" t="s">
        <v>70</v>
      </c>
      <c r="B39" s="90"/>
      <c r="C39" s="90"/>
      <c r="D39" s="81"/>
      <c r="E39" s="91"/>
      <c r="F39" s="95"/>
      <c r="G39" s="82"/>
      <c r="H39" s="82"/>
      <c r="I39" s="173"/>
      <c r="J39" s="256" t="s">
        <v>161</v>
      </c>
      <c r="K39" s="329">
        <f t="shared" si="2"/>
        <v>7440</v>
      </c>
      <c r="L39" s="435">
        <f t="shared" si="3"/>
        <v>6696</v>
      </c>
      <c r="M39" s="398">
        <f t="shared" si="4"/>
        <v>5231.25</v>
      </c>
      <c r="N39" s="398" t="e">
        <f t="shared" si="5"/>
        <v>#NAME?</v>
      </c>
      <c r="O39" s="398" t="e">
        <f t="shared" si="5"/>
        <v>#NAME?</v>
      </c>
      <c r="P39" s="191"/>
      <c r="Q39" s="191"/>
      <c r="R39" s="192"/>
      <c r="S39" s="231" t="s">
        <v>155</v>
      </c>
      <c r="T39" s="262">
        <v>12</v>
      </c>
      <c r="U39" s="260">
        <v>620</v>
      </c>
      <c r="V39" s="193"/>
      <c r="W39" s="329">
        <f t="shared" si="6"/>
        <v>7440</v>
      </c>
      <c r="X39" s="191"/>
      <c r="Y39" s="290">
        <f t="shared" si="7"/>
        <v>7440</v>
      </c>
      <c r="Z39" s="191"/>
      <c r="AA39" s="190">
        <f t="shared" si="8"/>
        <v>5812.5</v>
      </c>
      <c r="AB39" s="191"/>
      <c r="AC39" s="191"/>
      <c r="AD39" s="192"/>
      <c r="AE39" s="231" t="s">
        <v>155</v>
      </c>
      <c r="AF39" s="259">
        <v>36</v>
      </c>
      <c r="AG39" s="260">
        <v>620</v>
      </c>
      <c r="AH39" s="193"/>
      <c r="AI39" s="241">
        <f t="shared" si="9"/>
        <v>22320</v>
      </c>
      <c r="AJ39" s="191"/>
      <c r="AK39" s="290">
        <f t="shared" si="10"/>
        <v>22320</v>
      </c>
      <c r="AL39" s="191"/>
      <c r="AM39" s="190">
        <f t="shared" si="11"/>
        <v>17437.5</v>
      </c>
      <c r="AN39" s="191"/>
      <c r="AO39" s="191"/>
      <c r="AP39" s="191"/>
      <c r="AQ39" s="191"/>
      <c r="AR39" s="194" t="e">
        <f t="shared" si="12"/>
        <v>#NAME?</v>
      </c>
      <c r="AS39" s="194" t="e">
        <f t="shared" si="13"/>
        <v>#NAME?</v>
      </c>
      <c r="AT39" s="195" t="e">
        <v>#NAME?</v>
      </c>
      <c r="AU39" s="195" t="e">
        <v>#NAME?</v>
      </c>
      <c r="AV39" s="195" t="e">
        <v>#NAME?</v>
      </c>
      <c r="AW39" s="196" t="e">
        <f t="shared" si="14"/>
        <v>#NAME?</v>
      </c>
      <c r="AX39" s="195" t="e">
        <v>#NAME?</v>
      </c>
      <c r="AY39" s="195" t="e">
        <v>#NAME?</v>
      </c>
      <c r="AZ39" s="195" t="e">
        <v>#NAME?</v>
      </c>
      <c r="BA39" s="196" t="e">
        <f t="shared" si="15"/>
        <v>#NAME?</v>
      </c>
      <c r="BB39" s="195" t="e">
        <v>#NAME?</v>
      </c>
      <c r="BC39" s="195" t="e">
        <v>#NAME?</v>
      </c>
      <c r="BD39" s="195" t="e">
        <v>#NAME?</v>
      </c>
      <c r="BE39" s="196" t="e">
        <f t="shared" si="16"/>
        <v>#NAME?</v>
      </c>
      <c r="BF39" s="195" t="e">
        <v>#NAME?</v>
      </c>
      <c r="BG39" s="195" t="e">
        <v>#NAME?</v>
      </c>
      <c r="BH39" s="195" t="e">
        <v>#NAME?</v>
      </c>
      <c r="BI39" s="196" t="e">
        <f t="shared" si="17"/>
        <v>#NAME?</v>
      </c>
      <c r="BJ39" s="195" t="e">
        <v>#NAME?</v>
      </c>
      <c r="BK39" s="195" t="e">
        <v>#NAME?</v>
      </c>
      <c r="BL39" s="195" t="e">
        <v>#NAME?</v>
      </c>
      <c r="BM39" s="196" t="e">
        <f t="shared" si="18"/>
        <v>#NAME?</v>
      </c>
      <c r="BN39" s="195" t="e">
        <v>#NAME?</v>
      </c>
      <c r="BO39" s="195" t="e">
        <v>#NAME?</v>
      </c>
      <c r="BP39" s="195" t="e">
        <v>#NAME?</v>
      </c>
      <c r="BQ39" s="196" t="e">
        <f t="shared" si="19"/>
        <v>#NAME?</v>
      </c>
      <c r="BR39" s="195" t="e">
        <v>#NAME?</v>
      </c>
      <c r="BS39" s="195" t="e">
        <v>#NAME?</v>
      </c>
      <c r="BT39" s="195" t="e">
        <v>#NAME?</v>
      </c>
      <c r="BU39" s="196" t="e">
        <f t="shared" si="20"/>
        <v>#NAME?</v>
      </c>
      <c r="BV39" s="195" t="e">
        <v>#NAME?</v>
      </c>
      <c r="BW39" s="195" t="e">
        <v>#NAME?</v>
      </c>
      <c r="BX39" s="195" t="e">
        <v>#NAME?</v>
      </c>
      <c r="BY39" s="196" t="e">
        <f t="shared" si="21"/>
        <v>#NAME?</v>
      </c>
    </row>
    <row r="40" spans="1:77" s="89" customFormat="1" ht="15.75">
      <c r="A40" s="124" t="s">
        <v>71</v>
      </c>
      <c r="B40" s="90"/>
      <c r="C40" s="90"/>
      <c r="D40" s="81"/>
      <c r="E40" s="91"/>
      <c r="F40" s="95"/>
      <c r="G40" s="82"/>
      <c r="H40" s="82"/>
      <c r="I40" s="173"/>
      <c r="J40" s="256" t="s">
        <v>162</v>
      </c>
      <c r="K40" s="329">
        <f t="shared" si="2"/>
        <v>1620</v>
      </c>
      <c r="L40" s="435">
        <f t="shared" si="3"/>
        <v>1458</v>
      </c>
      <c r="M40" s="398">
        <f t="shared" si="4"/>
        <v>1139.0625</v>
      </c>
      <c r="N40" s="398" t="e">
        <f t="shared" si="5"/>
        <v>#NAME?</v>
      </c>
      <c r="O40" s="398" t="e">
        <f t="shared" si="5"/>
        <v>#NAME?</v>
      </c>
      <c r="P40" s="191"/>
      <c r="Q40" s="191"/>
      <c r="R40" s="192"/>
      <c r="S40" s="231" t="s">
        <v>163</v>
      </c>
      <c r="T40" s="262">
        <v>3.6</v>
      </c>
      <c r="U40" s="260">
        <v>450</v>
      </c>
      <c r="V40" s="193"/>
      <c r="W40" s="329">
        <f t="shared" si="6"/>
        <v>1620</v>
      </c>
      <c r="X40" s="191"/>
      <c r="Y40" s="290">
        <f t="shared" si="7"/>
        <v>1620</v>
      </c>
      <c r="Z40" s="191"/>
      <c r="AA40" s="190">
        <f t="shared" si="8"/>
        <v>1265.625</v>
      </c>
      <c r="AB40" s="191"/>
      <c r="AC40" s="191"/>
      <c r="AD40" s="192"/>
      <c r="AE40" s="231" t="s">
        <v>163</v>
      </c>
      <c r="AF40" s="259">
        <v>10.8</v>
      </c>
      <c r="AG40" s="260">
        <v>450</v>
      </c>
      <c r="AH40" s="193"/>
      <c r="AI40" s="241">
        <f t="shared" si="9"/>
        <v>4860</v>
      </c>
      <c r="AJ40" s="191"/>
      <c r="AK40" s="290">
        <f t="shared" si="10"/>
        <v>4860</v>
      </c>
      <c r="AL40" s="191"/>
      <c r="AM40" s="190">
        <f t="shared" si="11"/>
        <v>3796.875</v>
      </c>
      <c r="AN40" s="191"/>
      <c r="AO40" s="191"/>
      <c r="AP40" s="191"/>
      <c r="AQ40" s="191"/>
      <c r="AR40" s="194" t="e">
        <f t="shared" si="12"/>
        <v>#NAME?</v>
      </c>
      <c r="AS40" s="194" t="e">
        <f t="shared" si="13"/>
        <v>#NAME?</v>
      </c>
      <c r="AT40" s="195" t="e">
        <v>#NAME?</v>
      </c>
      <c r="AU40" s="195" t="e">
        <v>#NAME?</v>
      </c>
      <c r="AV40" s="195" t="e">
        <v>#NAME?</v>
      </c>
      <c r="AW40" s="196" t="e">
        <f t="shared" si="14"/>
        <v>#NAME?</v>
      </c>
      <c r="AX40" s="195" t="e">
        <v>#NAME?</v>
      </c>
      <c r="AY40" s="195" t="e">
        <v>#NAME?</v>
      </c>
      <c r="AZ40" s="195" t="e">
        <v>#NAME?</v>
      </c>
      <c r="BA40" s="196" t="e">
        <f t="shared" si="15"/>
        <v>#NAME?</v>
      </c>
      <c r="BB40" s="195" t="e">
        <v>#NAME?</v>
      </c>
      <c r="BC40" s="195" t="e">
        <v>#NAME?</v>
      </c>
      <c r="BD40" s="195" t="e">
        <v>#NAME?</v>
      </c>
      <c r="BE40" s="196" t="e">
        <f t="shared" si="16"/>
        <v>#NAME?</v>
      </c>
      <c r="BF40" s="195" t="e">
        <v>#NAME?</v>
      </c>
      <c r="BG40" s="195" t="e">
        <v>#NAME?</v>
      </c>
      <c r="BH40" s="195" t="e">
        <v>#NAME?</v>
      </c>
      <c r="BI40" s="196" t="e">
        <f t="shared" si="17"/>
        <v>#NAME?</v>
      </c>
      <c r="BJ40" s="195" t="e">
        <v>#NAME?</v>
      </c>
      <c r="BK40" s="195" t="e">
        <v>#NAME?</v>
      </c>
      <c r="BL40" s="195" t="e">
        <v>#NAME?</v>
      </c>
      <c r="BM40" s="196" t="e">
        <f t="shared" si="18"/>
        <v>#NAME?</v>
      </c>
      <c r="BN40" s="195" t="e">
        <v>#NAME?</v>
      </c>
      <c r="BO40" s="195" t="e">
        <v>#NAME?</v>
      </c>
      <c r="BP40" s="195" t="e">
        <v>#NAME?</v>
      </c>
      <c r="BQ40" s="196" t="e">
        <f t="shared" si="19"/>
        <v>#NAME?</v>
      </c>
      <c r="BR40" s="195" t="e">
        <v>#NAME?</v>
      </c>
      <c r="BS40" s="195" t="e">
        <v>#NAME?</v>
      </c>
      <c r="BT40" s="195" t="e">
        <v>#NAME?</v>
      </c>
      <c r="BU40" s="196" t="e">
        <f t="shared" si="20"/>
        <v>#NAME?</v>
      </c>
      <c r="BV40" s="195" t="e">
        <v>#NAME?</v>
      </c>
      <c r="BW40" s="195" t="e">
        <v>#NAME?</v>
      </c>
      <c r="BX40" s="195" t="e">
        <v>#NAME?</v>
      </c>
      <c r="BY40" s="196" t="e">
        <f t="shared" si="21"/>
        <v>#NAME?</v>
      </c>
    </row>
    <row r="41" spans="1:77" s="89" customFormat="1" ht="19.5" customHeight="1">
      <c r="A41" s="171"/>
      <c r="B41" s="172"/>
      <c r="C41" s="172"/>
      <c r="D41" s="172"/>
      <c r="E41" s="172"/>
      <c r="F41" s="172"/>
      <c r="I41" s="173"/>
      <c r="J41" s="186" t="str">
        <f>CONCATENATE("Subtotal ",J34)</f>
        <v>Subtotal Administrative/Support Staff</v>
      </c>
      <c r="K41" s="363">
        <f>SUBTOTAL(9,K35:K40)</f>
        <v>31300</v>
      </c>
      <c r="L41" s="436">
        <f>SUBTOTAL(9,L35:L39)</f>
        <v>26712</v>
      </c>
      <c r="M41" s="399">
        <f>SUBTOTAL(9,M35:M39)</f>
        <v>20868.75</v>
      </c>
      <c r="N41" s="399" t="e">
        <f>SUBTOTAL(9,N35:N39)</f>
        <v>#NAME?</v>
      </c>
      <c r="O41" s="399" t="e">
        <f>SUBTOTAL(9,O35:O39)</f>
        <v>#NAME?</v>
      </c>
      <c r="P41" s="193"/>
      <c r="Q41" s="193"/>
      <c r="R41" s="225"/>
      <c r="S41" s="193"/>
      <c r="T41" s="193"/>
      <c r="U41" s="224"/>
      <c r="V41" s="224"/>
      <c r="W41" s="330">
        <f>SUBTOTAL(9,W35:W40)</f>
        <v>31300</v>
      </c>
      <c r="X41" s="193"/>
      <c r="Y41" s="301">
        <f>SUBTOTAL(9,Y35:Y39)</f>
        <v>29680</v>
      </c>
      <c r="Z41" s="193"/>
      <c r="AA41" s="223">
        <f>SUBTOTAL(9,AA35:AA39)</f>
        <v>23187.5</v>
      </c>
      <c r="AB41" s="193"/>
      <c r="AC41" s="193"/>
      <c r="AD41" s="225"/>
      <c r="AE41" s="193"/>
      <c r="AF41" s="193"/>
      <c r="AG41" s="224"/>
      <c r="AH41" s="224"/>
      <c r="AI41" s="242">
        <f>SUBTOTAL(9,AI35:AI39)</f>
        <v>85584</v>
      </c>
      <c r="AJ41" s="193"/>
      <c r="AK41" s="301">
        <f>SUBTOTAL(9,AK35:AK39)</f>
        <v>85584</v>
      </c>
      <c r="AL41" s="193"/>
      <c r="AM41" s="223">
        <f>SUBTOTAL(9,AM35:AM39)</f>
        <v>66862.5</v>
      </c>
      <c r="AN41" s="193"/>
      <c r="AO41" s="193"/>
      <c r="AP41" s="193"/>
      <c r="AQ41" s="193"/>
      <c r="AR41" s="224" t="e">
        <f aca="true" t="shared" si="22" ref="AR41:BF41">SUBTOTAL(9,AR35:AR39)</f>
        <v>#NAME?</v>
      </c>
      <c r="AS41" s="224" t="e">
        <f t="shared" si="22"/>
        <v>#NAME?</v>
      </c>
      <c r="AT41" s="224" t="e">
        <f t="shared" si="22"/>
        <v>#NAME?</v>
      </c>
      <c r="AU41" s="224" t="e">
        <f t="shared" si="22"/>
        <v>#NAME?</v>
      </c>
      <c r="AV41" s="224" t="e">
        <f t="shared" si="22"/>
        <v>#NAME?</v>
      </c>
      <c r="AW41" s="224" t="e">
        <f t="shared" si="22"/>
        <v>#NAME?</v>
      </c>
      <c r="AX41" s="224" t="e">
        <f t="shared" si="22"/>
        <v>#NAME?</v>
      </c>
      <c r="AY41" s="224" t="e">
        <f t="shared" si="22"/>
        <v>#NAME?</v>
      </c>
      <c r="AZ41" s="224" t="e">
        <f t="shared" si="22"/>
        <v>#NAME?</v>
      </c>
      <c r="BA41" s="224" t="e">
        <f t="shared" si="22"/>
        <v>#NAME?</v>
      </c>
      <c r="BB41" s="224" t="e">
        <f t="shared" si="22"/>
        <v>#NAME?</v>
      </c>
      <c r="BC41" s="224" t="e">
        <f t="shared" si="22"/>
        <v>#NAME?</v>
      </c>
      <c r="BD41" s="224" t="e">
        <f t="shared" si="22"/>
        <v>#NAME?</v>
      </c>
      <c r="BE41" s="224" t="e">
        <f t="shared" si="22"/>
        <v>#NAME?</v>
      </c>
      <c r="BF41" s="224" t="e">
        <f t="shared" si="22"/>
        <v>#NAME?</v>
      </c>
      <c r="BG41" s="224" t="e">
        <f aca="true" t="shared" si="23" ref="BG41:BY41">SUBTOTAL(9,BG35:BG39)</f>
        <v>#NAME?</v>
      </c>
      <c r="BH41" s="224" t="e">
        <f t="shared" si="23"/>
        <v>#NAME?</v>
      </c>
      <c r="BI41" s="224" t="e">
        <f t="shared" si="23"/>
        <v>#NAME?</v>
      </c>
      <c r="BJ41" s="224" t="e">
        <f t="shared" si="23"/>
        <v>#NAME?</v>
      </c>
      <c r="BK41" s="224" t="e">
        <f t="shared" si="23"/>
        <v>#NAME?</v>
      </c>
      <c r="BL41" s="224" t="e">
        <f t="shared" si="23"/>
        <v>#NAME?</v>
      </c>
      <c r="BM41" s="224" t="e">
        <f t="shared" si="23"/>
        <v>#NAME?</v>
      </c>
      <c r="BN41" s="224" t="e">
        <f t="shared" si="23"/>
        <v>#NAME?</v>
      </c>
      <c r="BO41" s="224" t="e">
        <f t="shared" si="23"/>
        <v>#NAME?</v>
      </c>
      <c r="BP41" s="224" t="e">
        <f t="shared" si="23"/>
        <v>#NAME?</v>
      </c>
      <c r="BQ41" s="224" t="e">
        <f t="shared" si="23"/>
        <v>#NAME?</v>
      </c>
      <c r="BR41" s="224" t="e">
        <f t="shared" si="23"/>
        <v>#NAME?</v>
      </c>
      <c r="BS41" s="224" t="e">
        <f t="shared" si="23"/>
        <v>#NAME?</v>
      </c>
      <c r="BT41" s="224" t="e">
        <f t="shared" si="23"/>
        <v>#NAME?</v>
      </c>
      <c r="BU41" s="224" t="e">
        <f t="shared" si="23"/>
        <v>#NAME?</v>
      </c>
      <c r="BV41" s="224" t="e">
        <f t="shared" si="23"/>
        <v>#NAME?</v>
      </c>
      <c r="BW41" s="224" t="e">
        <f t="shared" si="23"/>
        <v>#NAME?</v>
      </c>
      <c r="BX41" s="224" t="e">
        <f t="shared" si="23"/>
        <v>#NAME?</v>
      </c>
      <c r="BY41" s="224" t="e">
        <f t="shared" si="23"/>
        <v>#NAME?</v>
      </c>
    </row>
    <row r="42" spans="1:77" s="89" customFormat="1" ht="19.5" customHeight="1">
      <c r="A42" s="171"/>
      <c r="B42" s="172"/>
      <c r="C42" s="172"/>
      <c r="D42" s="172"/>
      <c r="E42" s="172"/>
      <c r="F42" s="172"/>
      <c r="I42" s="173"/>
      <c r="J42" s="186"/>
      <c r="K42" s="363"/>
      <c r="L42" s="436"/>
      <c r="M42" s="399"/>
      <c r="N42" s="399"/>
      <c r="O42" s="399"/>
      <c r="P42" s="193"/>
      <c r="Q42" s="193"/>
      <c r="R42" s="225"/>
      <c r="S42" s="193"/>
      <c r="T42" s="193"/>
      <c r="U42" s="224"/>
      <c r="V42" s="224"/>
      <c r="W42" s="330"/>
      <c r="X42" s="193"/>
      <c r="Y42" s="301"/>
      <c r="Z42" s="193"/>
      <c r="AA42" s="223"/>
      <c r="AB42" s="193"/>
      <c r="AC42" s="193"/>
      <c r="AD42" s="225"/>
      <c r="AE42" s="193"/>
      <c r="AF42" s="193"/>
      <c r="AG42" s="224"/>
      <c r="AH42" s="224"/>
      <c r="AI42" s="242"/>
      <c r="AJ42" s="193"/>
      <c r="AK42" s="301"/>
      <c r="AL42" s="193"/>
      <c r="AM42" s="223"/>
      <c r="AN42" s="193"/>
      <c r="AO42" s="193"/>
      <c r="AP42" s="193"/>
      <c r="AQ42" s="193"/>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4"/>
      <c r="BX42" s="224"/>
      <c r="BY42" s="224"/>
    </row>
    <row r="43" spans="1:77" s="89" customFormat="1" ht="24.75" customHeight="1">
      <c r="A43" s="171"/>
      <c r="B43" s="172"/>
      <c r="C43" s="172"/>
      <c r="D43" s="172"/>
      <c r="E43" s="172"/>
      <c r="F43" s="172"/>
      <c r="I43" s="173"/>
      <c r="J43" s="186" t="s">
        <v>152</v>
      </c>
      <c r="K43" s="363"/>
      <c r="L43" s="436"/>
      <c r="M43" s="399"/>
      <c r="N43" s="399"/>
      <c r="O43" s="399"/>
      <c r="P43" s="193"/>
      <c r="Q43" s="193"/>
      <c r="R43" s="225"/>
      <c r="S43" s="193"/>
      <c r="T43" s="193"/>
      <c r="U43" s="224"/>
      <c r="V43" s="224"/>
      <c r="W43" s="330"/>
      <c r="X43" s="193"/>
      <c r="Y43" s="301"/>
      <c r="Z43" s="193"/>
      <c r="AA43" s="223"/>
      <c r="AB43" s="193"/>
      <c r="AC43" s="193"/>
      <c r="AD43" s="225"/>
      <c r="AE43" s="193"/>
      <c r="AF43" s="193"/>
      <c r="AG43" s="224"/>
      <c r="AH43" s="224"/>
      <c r="AI43" s="242"/>
      <c r="AJ43" s="193"/>
      <c r="AK43" s="301"/>
      <c r="AL43" s="193"/>
      <c r="AM43" s="223"/>
      <c r="AN43" s="193"/>
      <c r="AO43" s="193"/>
      <c r="AP43" s="193"/>
      <c r="AQ43" s="193"/>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4"/>
      <c r="BR43" s="224"/>
      <c r="BS43" s="224"/>
      <c r="BT43" s="224"/>
      <c r="BU43" s="224"/>
      <c r="BV43" s="224"/>
      <c r="BW43" s="224"/>
      <c r="BX43" s="224"/>
      <c r="BY43" s="224"/>
    </row>
    <row r="44" spans="1:77" s="89" customFormat="1" ht="15.75">
      <c r="A44" s="124" t="s">
        <v>72</v>
      </c>
      <c r="B44" s="90"/>
      <c r="C44" s="90"/>
      <c r="D44" s="81"/>
      <c r="E44" s="91"/>
      <c r="F44" s="95"/>
      <c r="G44" s="82"/>
      <c r="H44" s="82"/>
      <c r="I44" s="173"/>
      <c r="J44" s="261" t="s">
        <v>164</v>
      </c>
      <c r="K44" s="329">
        <f aca="true" t="shared" si="24" ref="K44:K51">Y44</f>
        <v>19200</v>
      </c>
      <c r="L44" s="435">
        <f aca="true" t="shared" si="25" ref="L44:L51">K44*0.9</f>
        <v>17280</v>
      </c>
      <c r="M44" s="398">
        <f aca="true" t="shared" si="26" ref="M44:M51">L44/$M$4</f>
        <v>13500</v>
      </c>
      <c r="N44" s="398" t="e">
        <f aca="true" t="shared" si="27" ref="N44:O51">L44-AR44</f>
        <v>#NAME?</v>
      </c>
      <c r="O44" s="398" t="e">
        <f t="shared" si="27"/>
        <v>#NAME?</v>
      </c>
      <c r="P44" s="191"/>
      <c r="Q44" s="191"/>
      <c r="R44" s="192"/>
      <c r="S44" s="228" t="s">
        <v>155</v>
      </c>
      <c r="T44" s="259">
        <v>2.4</v>
      </c>
      <c r="U44" s="260">
        <v>8000</v>
      </c>
      <c r="V44" s="193"/>
      <c r="W44" s="329">
        <f aca="true" t="shared" si="28" ref="W44:W51">(T44*U44)</f>
        <v>19200</v>
      </c>
      <c r="X44" s="191"/>
      <c r="Y44" s="290">
        <f aca="true" t="shared" si="29" ref="Y44:Y51">W44</f>
        <v>19200</v>
      </c>
      <c r="Z44" s="191"/>
      <c r="AA44" s="190">
        <f aca="true" t="shared" si="30" ref="AA44:AA51">Y44/M$4</f>
        <v>15000</v>
      </c>
      <c r="AB44" s="191"/>
      <c r="AC44" s="191"/>
      <c r="AD44" s="192"/>
      <c r="AE44" s="228" t="s">
        <v>155</v>
      </c>
      <c r="AF44" s="259">
        <f>36*0.2</f>
        <v>7.2</v>
      </c>
      <c r="AG44" s="260">
        <v>8000</v>
      </c>
      <c r="AH44" s="193"/>
      <c r="AI44" s="241">
        <f aca="true" t="shared" si="31" ref="AI44:AI51">(AF44*AG44)</f>
        <v>57600</v>
      </c>
      <c r="AJ44" s="191"/>
      <c r="AK44" s="290">
        <f aca="true" t="shared" si="32" ref="AK44:AK51">AI44</f>
        <v>57600</v>
      </c>
      <c r="AL44" s="191"/>
      <c r="AM44" s="190">
        <f aca="true" t="shared" si="33" ref="AM44:AM51">AK44/M$4</f>
        <v>45000</v>
      </c>
      <c r="AN44" s="191"/>
      <c r="AO44" s="191"/>
      <c r="AP44" s="191"/>
      <c r="AQ44" s="191"/>
      <c r="AR44" s="194" t="e">
        <f aca="true" t="shared" si="34" ref="AR44:AR51">AS44*$M$4</f>
        <v>#NAME?</v>
      </c>
      <c r="AS44" s="194" t="e">
        <f aca="true" t="shared" si="35" ref="AS44:AS51">AW44+BA44+BE44+BI44+BM44+BQ44+BU44+BY44</f>
        <v>#NAME?</v>
      </c>
      <c r="AT44" s="195" t="e">
        <v>#NAME?</v>
      </c>
      <c r="AU44" s="195" t="e">
        <v>#NAME?</v>
      </c>
      <c r="AV44" s="195" t="e">
        <v>#NAME?</v>
      </c>
      <c r="AW44" s="196" t="e">
        <f aca="true" t="shared" si="36" ref="AW44:AW51">SUM(AT44:AV44)</f>
        <v>#NAME?</v>
      </c>
      <c r="AX44" s="195" t="e">
        <v>#NAME?</v>
      </c>
      <c r="AY44" s="195" t="e">
        <v>#NAME?</v>
      </c>
      <c r="AZ44" s="195" t="e">
        <v>#NAME?</v>
      </c>
      <c r="BA44" s="196" t="e">
        <f aca="true" t="shared" si="37" ref="BA44:BA51">SUM(AX44:AZ44)</f>
        <v>#NAME?</v>
      </c>
      <c r="BB44" s="195" t="e">
        <v>#NAME?</v>
      </c>
      <c r="BC44" s="195" t="e">
        <v>#NAME?</v>
      </c>
      <c r="BD44" s="195" t="e">
        <v>#NAME?</v>
      </c>
      <c r="BE44" s="196" t="e">
        <f aca="true" t="shared" si="38" ref="BE44:BE51">SUM(BB44:BD44)</f>
        <v>#NAME?</v>
      </c>
      <c r="BF44" s="195" t="e">
        <v>#NAME?</v>
      </c>
      <c r="BG44" s="195" t="e">
        <v>#NAME?</v>
      </c>
      <c r="BH44" s="195" t="e">
        <v>#NAME?</v>
      </c>
      <c r="BI44" s="196" t="e">
        <f aca="true" t="shared" si="39" ref="BI44:BI51">SUM(BF44:BH44)</f>
        <v>#NAME?</v>
      </c>
      <c r="BJ44" s="195" t="e">
        <v>#NAME?</v>
      </c>
      <c r="BK44" s="195" t="e">
        <v>#NAME?</v>
      </c>
      <c r="BL44" s="195" t="e">
        <v>#NAME?</v>
      </c>
      <c r="BM44" s="196" t="e">
        <f aca="true" t="shared" si="40" ref="BM44:BM51">SUM(BJ44:BL44)</f>
        <v>#NAME?</v>
      </c>
      <c r="BN44" s="195" t="e">
        <v>#NAME?</v>
      </c>
      <c r="BO44" s="195" t="e">
        <v>#NAME?</v>
      </c>
      <c r="BP44" s="195" t="e">
        <v>#NAME?</v>
      </c>
      <c r="BQ44" s="196" t="e">
        <f aca="true" t="shared" si="41" ref="BQ44:BQ51">SUM(BM44:BP44)</f>
        <v>#NAME?</v>
      </c>
      <c r="BR44" s="195" t="e">
        <v>#NAME?</v>
      </c>
      <c r="BS44" s="195" t="e">
        <v>#NAME?</v>
      </c>
      <c r="BT44" s="195" t="e">
        <v>#NAME?</v>
      </c>
      <c r="BU44" s="196" t="e">
        <f aca="true" t="shared" si="42" ref="BU44:BU51">SUM(BQ44:BT44)</f>
        <v>#NAME?</v>
      </c>
      <c r="BV44" s="195" t="e">
        <v>#NAME?</v>
      </c>
      <c r="BW44" s="195" t="e">
        <v>#NAME?</v>
      </c>
      <c r="BX44" s="195" t="e">
        <v>#NAME?</v>
      </c>
      <c r="BY44" s="196" t="e">
        <f aca="true" t="shared" si="43" ref="BY44:BY51">SUM(BU44:BX44)</f>
        <v>#NAME?</v>
      </c>
    </row>
    <row r="45" spans="1:77" s="89" customFormat="1" ht="15.75">
      <c r="A45" s="124" t="s">
        <v>73</v>
      </c>
      <c r="B45" s="90"/>
      <c r="C45" s="90"/>
      <c r="D45" s="81"/>
      <c r="E45" s="91"/>
      <c r="F45" s="95"/>
      <c r="G45" s="82"/>
      <c r="H45" s="82"/>
      <c r="I45" s="173"/>
      <c r="J45" s="261" t="s">
        <v>165</v>
      </c>
      <c r="K45" s="329">
        <f t="shared" si="24"/>
        <v>19200</v>
      </c>
      <c r="L45" s="435">
        <f t="shared" si="25"/>
        <v>17280</v>
      </c>
      <c r="M45" s="398">
        <f t="shared" si="26"/>
        <v>13500</v>
      </c>
      <c r="N45" s="398" t="e">
        <f t="shared" si="27"/>
        <v>#NAME?</v>
      </c>
      <c r="O45" s="398" t="e">
        <f t="shared" si="27"/>
        <v>#NAME?</v>
      </c>
      <c r="P45" s="191"/>
      <c r="Q45" s="191"/>
      <c r="R45" s="192"/>
      <c r="S45" s="228" t="s">
        <v>155</v>
      </c>
      <c r="T45" s="259">
        <v>2.4</v>
      </c>
      <c r="U45" s="260">
        <v>8000</v>
      </c>
      <c r="V45" s="193"/>
      <c r="W45" s="329">
        <f t="shared" si="28"/>
        <v>19200</v>
      </c>
      <c r="X45" s="191"/>
      <c r="Y45" s="290">
        <f t="shared" si="29"/>
        <v>19200</v>
      </c>
      <c r="Z45" s="191"/>
      <c r="AA45" s="190">
        <f t="shared" si="30"/>
        <v>15000</v>
      </c>
      <c r="AB45" s="191"/>
      <c r="AC45" s="191"/>
      <c r="AD45" s="192"/>
      <c r="AE45" s="228" t="s">
        <v>155</v>
      </c>
      <c r="AF45" s="259">
        <v>7.2</v>
      </c>
      <c r="AG45" s="260">
        <f>120000/12*0.8</f>
        <v>8000</v>
      </c>
      <c r="AH45" s="193"/>
      <c r="AI45" s="241">
        <f t="shared" si="31"/>
        <v>57600</v>
      </c>
      <c r="AJ45" s="191"/>
      <c r="AK45" s="290">
        <f t="shared" si="32"/>
        <v>57600</v>
      </c>
      <c r="AL45" s="191"/>
      <c r="AM45" s="190">
        <f t="shared" si="33"/>
        <v>45000</v>
      </c>
      <c r="AN45" s="191"/>
      <c r="AO45" s="191"/>
      <c r="AP45" s="191"/>
      <c r="AQ45" s="191"/>
      <c r="AR45" s="194" t="e">
        <f t="shared" si="34"/>
        <v>#NAME?</v>
      </c>
      <c r="AS45" s="194" t="e">
        <f t="shared" si="35"/>
        <v>#NAME?</v>
      </c>
      <c r="AT45" s="195" t="e">
        <v>#NAME?</v>
      </c>
      <c r="AU45" s="195" t="e">
        <v>#NAME?</v>
      </c>
      <c r="AV45" s="195" t="e">
        <v>#NAME?</v>
      </c>
      <c r="AW45" s="196" t="e">
        <f t="shared" si="36"/>
        <v>#NAME?</v>
      </c>
      <c r="AX45" s="195" t="e">
        <v>#NAME?</v>
      </c>
      <c r="AY45" s="195" t="e">
        <v>#NAME?</v>
      </c>
      <c r="AZ45" s="195" t="e">
        <v>#NAME?</v>
      </c>
      <c r="BA45" s="196" t="e">
        <f t="shared" si="37"/>
        <v>#NAME?</v>
      </c>
      <c r="BB45" s="195" t="e">
        <v>#NAME?</v>
      </c>
      <c r="BC45" s="195" t="e">
        <v>#NAME?</v>
      </c>
      <c r="BD45" s="195" t="e">
        <v>#NAME?</v>
      </c>
      <c r="BE45" s="196" t="e">
        <f t="shared" si="38"/>
        <v>#NAME?</v>
      </c>
      <c r="BF45" s="195" t="e">
        <v>#NAME?</v>
      </c>
      <c r="BG45" s="195" t="e">
        <v>#NAME?</v>
      </c>
      <c r="BH45" s="195" t="e">
        <v>#NAME?</v>
      </c>
      <c r="BI45" s="196" t="e">
        <f t="shared" si="39"/>
        <v>#NAME?</v>
      </c>
      <c r="BJ45" s="195" t="e">
        <v>#NAME?</v>
      </c>
      <c r="BK45" s="195" t="e">
        <v>#NAME?</v>
      </c>
      <c r="BL45" s="195" t="e">
        <v>#NAME?</v>
      </c>
      <c r="BM45" s="196" t="e">
        <f t="shared" si="40"/>
        <v>#NAME?</v>
      </c>
      <c r="BN45" s="195" t="e">
        <v>#NAME?</v>
      </c>
      <c r="BO45" s="195" t="e">
        <v>#NAME?</v>
      </c>
      <c r="BP45" s="195" t="e">
        <v>#NAME?</v>
      </c>
      <c r="BQ45" s="196" t="e">
        <f t="shared" si="41"/>
        <v>#NAME?</v>
      </c>
      <c r="BR45" s="195" t="e">
        <v>#NAME?</v>
      </c>
      <c r="BS45" s="195" t="e">
        <v>#NAME?</v>
      </c>
      <c r="BT45" s="195" t="e">
        <v>#NAME?</v>
      </c>
      <c r="BU45" s="196" t="e">
        <f t="shared" si="42"/>
        <v>#NAME?</v>
      </c>
      <c r="BV45" s="195" t="e">
        <v>#NAME?</v>
      </c>
      <c r="BW45" s="195" t="e">
        <v>#NAME?</v>
      </c>
      <c r="BX45" s="195" t="e">
        <v>#NAME?</v>
      </c>
      <c r="BY45" s="196" t="e">
        <f t="shared" si="43"/>
        <v>#NAME?</v>
      </c>
    </row>
    <row r="46" spans="1:77" s="89" customFormat="1" ht="15.75">
      <c r="A46" s="124" t="s">
        <v>74</v>
      </c>
      <c r="B46" s="90"/>
      <c r="C46" s="90"/>
      <c r="D46" s="81"/>
      <c r="E46" s="91"/>
      <c r="F46" s="95"/>
      <c r="G46" s="82"/>
      <c r="H46" s="82"/>
      <c r="I46" s="173"/>
      <c r="J46" s="261" t="s">
        <v>166</v>
      </c>
      <c r="K46" s="329">
        <f t="shared" si="24"/>
        <v>11700</v>
      </c>
      <c r="L46" s="435">
        <f t="shared" si="25"/>
        <v>10530</v>
      </c>
      <c r="M46" s="398">
        <f t="shared" si="26"/>
        <v>8226.5625</v>
      </c>
      <c r="N46" s="398" t="e">
        <f t="shared" si="27"/>
        <v>#NAME?</v>
      </c>
      <c r="O46" s="398" t="e">
        <f t="shared" si="27"/>
        <v>#NAME?</v>
      </c>
      <c r="P46" s="191"/>
      <c r="Q46" s="191"/>
      <c r="R46" s="192"/>
      <c r="S46" s="228" t="s">
        <v>155</v>
      </c>
      <c r="T46" s="259">
        <v>1.8</v>
      </c>
      <c r="U46" s="230">
        <v>6500</v>
      </c>
      <c r="V46" s="193"/>
      <c r="W46" s="329">
        <f t="shared" si="28"/>
        <v>11700</v>
      </c>
      <c r="X46" s="191"/>
      <c r="Y46" s="290">
        <f t="shared" si="29"/>
        <v>11700</v>
      </c>
      <c r="Z46" s="191"/>
      <c r="AA46" s="190">
        <f t="shared" si="30"/>
        <v>9140.625</v>
      </c>
      <c r="AB46" s="191"/>
      <c r="AC46" s="191"/>
      <c r="AD46" s="192"/>
      <c r="AE46" s="228" t="s">
        <v>155</v>
      </c>
      <c r="AF46" s="259">
        <v>5.4</v>
      </c>
      <c r="AG46" s="230">
        <v>6500</v>
      </c>
      <c r="AH46" s="193"/>
      <c r="AI46" s="241">
        <f t="shared" si="31"/>
        <v>35100</v>
      </c>
      <c r="AJ46" s="191"/>
      <c r="AK46" s="290">
        <f t="shared" si="32"/>
        <v>35100</v>
      </c>
      <c r="AL46" s="191"/>
      <c r="AM46" s="190">
        <f t="shared" si="33"/>
        <v>27421.875</v>
      </c>
      <c r="AN46" s="191"/>
      <c r="AO46" s="191"/>
      <c r="AP46" s="191"/>
      <c r="AQ46" s="191"/>
      <c r="AR46" s="194" t="e">
        <f t="shared" si="34"/>
        <v>#NAME?</v>
      </c>
      <c r="AS46" s="194" t="e">
        <f t="shared" si="35"/>
        <v>#NAME?</v>
      </c>
      <c r="AT46" s="195" t="e">
        <v>#NAME?</v>
      </c>
      <c r="AU46" s="195" t="e">
        <v>#NAME?</v>
      </c>
      <c r="AV46" s="195" t="e">
        <v>#NAME?</v>
      </c>
      <c r="AW46" s="196" t="e">
        <f t="shared" si="36"/>
        <v>#NAME?</v>
      </c>
      <c r="AX46" s="195" t="e">
        <v>#NAME?</v>
      </c>
      <c r="AY46" s="195" t="e">
        <v>#NAME?</v>
      </c>
      <c r="AZ46" s="195" t="e">
        <v>#NAME?</v>
      </c>
      <c r="BA46" s="196" t="e">
        <f t="shared" si="37"/>
        <v>#NAME?</v>
      </c>
      <c r="BB46" s="195" t="e">
        <v>#NAME?</v>
      </c>
      <c r="BC46" s="195" t="e">
        <v>#NAME?</v>
      </c>
      <c r="BD46" s="195" t="e">
        <v>#NAME?</v>
      </c>
      <c r="BE46" s="196" t="e">
        <f t="shared" si="38"/>
        <v>#NAME?</v>
      </c>
      <c r="BF46" s="195" t="e">
        <v>#NAME?</v>
      </c>
      <c r="BG46" s="195" t="e">
        <v>#NAME?</v>
      </c>
      <c r="BH46" s="195" t="e">
        <v>#NAME?</v>
      </c>
      <c r="BI46" s="196" t="e">
        <f t="shared" si="39"/>
        <v>#NAME?</v>
      </c>
      <c r="BJ46" s="195" t="e">
        <v>#NAME?</v>
      </c>
      <c r="BK46" s="195" t="e">
        <v>#NAME?</v>
      </c>
      <c r="BL46" s="195" t="e">
        <v>#NAME?</v>
      </c>
      <c r="BM46" s="196" t="e">
        <f t="shared" si="40"/>
        <v>#NAME?</v>
      </c>
      <c r="BN46" s="195" t="e">
        <v>#NAME?</v>
      </c>
      <c r="BO46" s="195" t="e">
        <v>#NAME?</v>
      </c>
      <c r="BP46" s="195" t="e">
        <v>#NAME?</v>
      </c>
      <c r="BQ46" s="196" t="e">
        <f t="shared" si="41"/>
        <v>#NAME?</v>
      </c>
      <c r="BR46" s="195" t="e">
        <v>#NAME?</v>
      </c>
      <c r="BS46" s="195" t="e">
        <v>#NAME?</v>
      </c>
      <c r="BT46" s="195" t="e">
        <v>#NAME?</v>
      </c>
      <c r="BU46" s="196" t="e">
        <f t="shared" si="42"/>
        <v>#NAME?</v>
      </c>
      <c r="BV46" s="195" t="e">
        <v>#NAME?</v>
      </c>
      <c r="BW46" s="195" t="e">
        <v>#NAME?</v>
      </c>
      <c r="BX46" s="195" t="e">
        <v>#NAME?</v>
      </c>
      <c r="BY46" s="196" t="e">
        <f t="shared" si="43"/>
        <v>#NAME?</v>
      </c>
    </row>
    <row r="47" spans="1:77" s="89" customFormat="1" ht="15.75">
      <c r="A47" s="124" t="s">
        <v>75</v>
      </c>
      <c r="B47" s="90"/>
      <c r="C47" s="90"/>
      <c r="D47" s="81"/>
      <c r="E47" s="91"/>
      <c r="F47" s="95"/>
      <c r="G47" s="82"/>
      <c r="H47" s="82"/>
      <c r="I47" s="173"/>
      <c r="J47" s="261" t="s">
        <v>167</v>
      </c>
      <c r="K47" s="329">
        <f t="shared" si="24"/>
        <v>13333.333333333334</v>
      </c>
      <c r="L47" s="435">
        <f t="shared" si="25"/>
        <v>12000</v>
      </c>
      <c r="M47" s="398">
        <f t="shared" si="26"/>
        <v>9375</v>
      </c>
      <c r="N47" s="398" t="e">
        <f t="shared" si="27"/>
        <v>#NAME?</v>
      </c>
      <c r="O47" s="398" t="e">
        <f t="shared" si="27"/>
        <v>#NAME?</v>
      </c>
      <c r="P47" s="191"/>
      <c r="Q47" s="191"/>
      <c r="R47" s="192"/>
      <c r="S47" s="228" t="s">
        <v>155</v>
      </c>
      <c r="T47" s="315">
        <v>1.6666666666666667</v>
      </c>
      <c r="U47" s="258">
        <v>8000</v>
      </c>
      <c r="V47" s="193"/>
      <c r="W47" s="329">
        <f t="shared" si="28"/>
        <v>13333.333333333334</v>
      </c>
      <c r="X47" s="191"/>
      <c r="Y47" s="290">
        <f t="shared" si="29"/>
        <v>13333.333333333334</v>
      </c>
      <c r="Z47" s="191"/>
      <c r="AA47" s="190">
        <f t="shared" si="30"/>
        <v>10416.666666666666</v>
      </c>
      <c r="AB47" s="191"/>
      <c r="AC47" s="191"/>
      <c r="AD47" s="192"/>
      <c r="AE47" s="228" t="s">
        <v>155</v>
      </c>
      <c r="AF47" s="259">
        <v>5</v>
      </c>
      <c r="AG47" s="258">
        <v>8000</v>
      </c>
      <c r="AH47" s="193"/>
      <c r="AI47" s="241">
        <f t="shared" si="31"/>
        <v>40000</v>
      </c>
      <c r="AJ47" s="191"/>
      <c r="AK47" s="290">
        <f t="shared" si="32"/>
        <v>40000</v>
      </c>
      <c r="AL47" s="191"/>
      <c r="AM47" s="190">
        <f t="shared" si="33"/>
        <v>31250</v>
      </c>
      <c r="AN47" s="191"/>
      <c r="AO47" s="191"/>
      <c r="AP47" s="191"/>
      <c r="AQ47" s="191"/>
      <c r="AR47" s="194" t="e">
        <f t="shared" si="34"/>
        <v>#NAME?</v>
      </c>
      <c r="AS47" s="194" t="e">
        <f t="shared" si="35"/>
        <v>#NAME?</v>
      </c>
      <c r="AT47" s="195" t="e">
        <v>#NAME?</v>
      </c>
      <c r="AU47" s="195" t="e">
        <v>#NAME?</v>
      </c>
      <c r="AV47" s="195" t="e">
        <v>#NAME?</v>
      </c>
      <c r="AW47" s="196" t="e">
        <f t="shared" si="36"/>
        <v>#NAME?</v>
      </c>
      <c r="AX47" s="195" t="e">
        <v>#NAME?</v>
      </c>
      <c r="AY47" s="195" t="e">
        <v>#NAME?</v>
      </c>
      <c r="AZ47" s="195" t="e">
        <v>#NAME?</v>
      </c>
      <c r="BA47" s="196" t="e">
        <f t="shared" si="37"/>
        <v>#NAME?</v>
      </c>
      <c r="BB47" s="195" t="e">
        <v>#NAME?</v>
      </c>
      <c r="BC47" s="195" t="e">
        <v>#NAME?</v>
      </c>
      <c r="BD47" s="195" t="e">
        <v>#NAME?</v>
      </c>
      <c r="BE47" s="196" t="e">
        <f t="shared" si="38"/>
        <v>#NAME?</v>
      </c>
      <c r="BF47" s="195" t="e">
        <v>#NAME?</v>
      </c>
      <c r="BG47" s="195" t="e">
        <v>#NAME?</v>
      </c>
      <c r="BH47" s="195" t="e">
        <v>#NAME?</v>
      </c>
      <c r="BI47" s="196" t="e">
        <f t="shared" si="39"/>
        <v>#NAME?</v>
      </c>
      <c r="BJ47" s="195" t="e">
        <v>#NAME?</v>
      </c>
      <c r="BK47" s="195" t="e">
        <v>#NAME?</v>
      </c>
      <c r="BL47" s="195" t="e">
        <v>#NAME?</v>
      </c>
      <c r="BM47" s="196" t="e">
        <f t="shared" si="40"/>
        <v>#NAME?</v>
      </c>
      <c r="BN47" s="195" t="e">
        <v>#NAME?</v>
      </c>
      <c r="BO47" s="195" t="e">
        <v>#NAME?</v>
      </c>
      <c r="BP47" s="195" t="e">
        <v>#NAME?</v>
      </c>
      <c r="BQ47" s="196" t="e">
        <f t="shared" si="41"/>
        <v>#NAME?</v>
      </c>
      <c r="BR47" s="195" t="e">
        <v>#NAME?</v>
      </c>
      <c r="BS47" s="195" t="e">
        <v>#NAME?</v>
      </c>
      <c r="BT47" s="195" t="e">
        <v>#NAME?</v>
      </c>
      <c r="BU47" s="196" t="e">
        <f t="shared" si="42"/>
        <v>#NAME?</v>
      </c>
      <c r="BV47" s="195" t="e">
        <v>#NAME?</v>
      </c>
      <c r="BW47" s="195" t="e">
        <v>#NAME?</v>
      </c>
      <c r="BX47" s="195" t="e">
        <v>#NAME?</v>
      </c>
      <c r="BY47" s="196" t="e">
        <f t="shared" si="43"/>
        <v>#NAME?</v>
      </c>
    </row>
    <row r="48" spans="1:77" s="89" customFormat="1" ht="15.75">
      <c r="A48" s="124" t="s">
        <v>76</v>
      </c>
      <c r="B48" s="90"/>
      <c r="C48" s="90"/>
      <c r="D48" s="81"/>
      <c r="E48" s="91"/>
      <c r="F48" s="95"/>
      <c r="G48" s="82"/>
      <c r="H48" s="82"/>
      <c r="I48" s="173"/>
      <c r="J48" s="261" t="s">
        <v>168</v>
      </c>
      <c r="K48" s="329">
        <f t="shared" si="24"/>
        <v>13920</v>
      </c>
      <c r="L48" s="435">
        <f t="shared" si="25"/>
        <v>12528</v>
      </c>
      <c r="M48" s="398">
        <f t="shared" si="26"/>
        <v>9787.5</v>
      </c>
      <c r="N48" s="398" t="e">
        <f t="shared" si="27"/>
        <v>#NAME?</v>
      </c>
      <c r="O48" s="398" t="e">
        <f t="shared" si="27"/>
        <v>#NAME?</v>
      </c>
      <c r="P48" s="191"/>
      <c r="Q48" s="191"/>
      <c r="R48" s="192"/>
      <c r="S48" s="228" t="str">
        <f>S47</f>
        <v>Per month</v>
      </c>
      <c r="T48" s="229">
        <v>2.4</v>
      </c>
      <c r="U48" s="260">
        <v>5800</v>
      </c>
      <c r="V48" s="193"/>
      <c r="W48" s="329">
        <f t="shared" si="28"/>
        <v>13920</v>
      </c>
      <c r="X48" s="191"/>
      <c r="Y48" s="290">
        <f t="shared" si="29"/>
        <v>13920</v>
      </c>
      <c r="Z48" s="191"/>
      <c r="AA48" s="190">
        <f t="shared" si="30"/>
        <v>10875</v>
      </c>
      <c r="AB48" s="191"/>
      <c r="AC48" s="191"/>
      <c r="AD48" s="192"/>
      <c r="AE48" s="228" t="str">
        <f>AE47</f>
        <v>Per month</v>
      </c>
      <c r="AF48" s="259">
        <v>3.6</v>
      </c>
      <c r="AG48" s="260">
        <v>5800</v>
      </c>
      <c r="AH48" s="193"/>
      <c r="AI48" s="241">
        <f t="shared" si="31"/>
        <v>20880</v>
      </c>
      <c r="AJ48" s="191"/>
      <c r="AK48" s="290">
        <f t="shared" si="32"/>
        <v>20880</v>
      </c>
      <c r="AL48" s="191"/>
      <c r="AM48" s="190">
        <f t="shared" si="33"/>
        <v>16312.5</v>
      </c>
      <c r="AN48" s="191"/>
      <c r="AO48" s="191"/>
      <c r="AP48" s="191"/>
      <c r="AQ48" s="191"/>
      <c r="AR48" s="194" t="e">
        <f t="shared" si="34"/>
        <v>#NAME?</v>
      </c>
      <c r="AS48" s="194" t="e">
        <f t="shared" si="35"/>
        <v>#NAME?</v>
      </c>
      <c r="AT48" s="195" t="e">
        <v>#NAME?</v>
      </c>
      <c r="AU48" s="195" t="e">
        <v>#NAME?</v>
      </c>
      <c r="AV48" s="195" t="e">
        <v>#NAME?</v>
      </c>
      <c r="AW48" s="196" t="e">
        <f t="shared" si="36"/>
        <v>#NAME?</v>
      </c>
      <c r="AX48" s="195" t="e">
        <v>#NAME?</v>
      </c>
      <c r="AY48" s="195" t="e">
        <v>#NAME?</v>
      </c>
      <c r="AZ48" s="195" t="e">
        <v>#NAME?</v>
      </c>
      <c r="BA48" s="196" t="e">
        <f t="shared" si="37"/>
        <v>#NAME?</v>
      </c>
      <c r="BB48" s="195" t="e">
        <v>#NAME?</v>
      </c>
      <c r="BC48" s="195" t="e">
        <v>#NAME?</v>
      </c>
      <c r="BD48" s="195" t="e">
        <v>#NAME?</v>
      </c>
      <c r="BE48" s="196" t="e">
        <f t="shared" si="38"/>
        <v>#NAME?</v>
      </c>
      <c r="BF48" s="195" t="e">
        <v>#NAME?</v>
      </c>
      <c r="BG48" s="195" t="e">
        <v>#NAME?</v>
      </c>
      <c r="BH48" s="195" t="e">
        <v>#NAME?</v>
      </c>
      <c r="BI48" s="196" t="e">
        <f t="shared" si="39"/>
        <v>#NAME?</v>
      </c>
      <c r="BJ48" s="195" t="e">
        <v>#NAME?</v>
      </c>
      <c r="BK48" s="195" t="e">
        <v>#NAME?</v>
      </c>
      <c r="BL48" s="195" t="e">
        <v>#NAME?</v>
      </c>
      <c r="BM48" s="196" t="e">
        <f t="shared" si="40"/>
        <v>#NAME?</v>
      </c>
      <c r="BN48" s="195" t="e">
        <v>#NAME?</v>
      </c>
      <c r="BO48" s="195" t="e">
        <v>#NAME?</v>
      </c>
      <c r="BP48" s="195" t="e">
        <v>#NAME?</v>
      </c>
      <c r="BQ48" s="196" t="e">
        <f t="shared" si="41"/>
        <v>#NAME?</v>
      </c>
      <c r="BR48" s="195" t="e">
        <v>#NAME?</v>
      </c>
      <c r="BS48" s="195" t="e">
        <v>#NAME?</v>
      </c>
      <c r="BT48" s="195" t="e">
        <v>#NAME?</v>
      </c>
      <c r="BU48" s="196" t="e">
        <f t="shared" si="42"/>
        <v>#NAME?</v>
      </c>
      <c r="BV48" s="195" t="e">
        <v>#NAME?</v>
      </c>
      <c r="BW48" s="195" t="e">
        <v>#NAME?</v>
      </c>
      <c r="BX48" s="195" t="e">
        <v>#NAME?</v>
      </c>
      <c r="BY48" s="196" t="e">
        <f t="shared" si="43"/>
        <v>#NAME?</v>
      </c>
    </row>
    <row r="49" spans="1:77" s="89" customFormat="1" ht="15.75">
      <c r="A49" s="124" t="s">
        <v>77</v>
      </c>
      <c r="B49" s="90"/>
      <c r="C49" s="90"/>
      <c r="D49" s="81"/>
      <c r="E49" s="91"/>
      <c r="F49" s="95"/>
      <c r="G49" s="82"/>
      <c r="H49" s="82"/>
      <c r="I49" s="173"/>
      <c r="J49" s="261" t="s">
        <v>169</v>
      </c>
      <c r="K49" s="329">
        <f t="shared" si="24"/>
        <v>4464</v>
      </c>
      <c r="L49" s="435">
        <f t="shared" si="25"/>
        <v>4017.6</v>
      </c>
      <c r="M49" s="398">
        <f t="shared" si="26"/>
        <v>3138.75</v>
      </c>
      <c r="N49" s="398" t="e">
        <f t="shared" si="27"/>
        <v>#NAME?</v>
      </c>
      <c r="O49" s="398" t="e">
        <f t="shared" si="27"/>
        <v>#NAME?</v>
      </c>
      <c r="P49" s="191"/>
      <c r="Q49" s="191"/>
      <c r="R49" s="192"/>
      <c r="S49" s="228" t="str">
        <f>S48</f>
        <v>Per month</v>
      </c>
      <c r="T49" s="229">
        <v>1.2</v>
      </c>
      <c r="U49" s="260">
        <v>3720</v>
      </c>
      <c r="V49" s="193"/>
      <c r="W49" s="329">
        <f t="shared" si="28"/>
        <v>4464</v>
      </c>
      <c r="X49" s="191"/>
      <c r="Y49" s="290">
        <f t="shared" si="29"/>
        <v>4464</v>
      </c>
      <c r="Z49" s="191"/>
      <c r="AA49" s="190">
        <f t="shared" si="30"/>
        <v>3487.5</v>
      </c>
      <c r="AB49" s="191"/>
      <c r="AC49" s="191"/>
      <c r="AD49" s="192"/>
      <c r="AE49" s="228" t="str">
        <f>AE48</f>
        <v>Per month</v>
      </c>
      <c r="AF49" s="259">
        <v>3.6</v>
      </c>
      <c r="AG49" s="260">
        <f>3100*1.2</f>
        <v>3720</v>
      </c>
      <c r="AH49" s="193"/>
      <c r="AI49" s="241">
        <f t="shared" si="31"/>
        <v>13392</v>
      </c>
      <c r="AJ49" s="191"/>
      <c r="AK49" s="290">
        <f t="shared" si="32"/>
        <v>13392</v>
      </c>
      <c r="AL49" s="191"/>
      <c r="AM49" s="190">
        <f t="shared" si="33"/>
        <v>10462.5</v>
      </c>
      <c r="AN49" s="191"/>
      <c r="AO49" s="191"/>
      <c r="AP49" s="191"/>
      <c r="AQ49" s="191"/>
      <c r="AR49" s="194" t="e">
        <f t="shared" si="34"/>
        <v>#NAME?</v>
      </c>
      <c r="AS49" s="194" t="e">
        <f t="shared" si="35"/>
        <v>#NAME?</v>
      </c>
      <c r="AT49" s="195" t="e">
        <v>#NAME?</v>
      </c>
      <c r="AU49" s="195" t="e">
        <v>#NAME?</v>
      </c>
      <c r="AV49" s="195" t="e">
        <v>#NAME?</v>
      </c>
      <c r="AW49" s="196" t="e">
        <f t="shared" si="36"/>
        <v>#NAME?</v>
      </c>
      <c r="AX49" s="195" t="e">
        <v>#NAME?</v>
      </c>
      <c r="AY49" s="195" t="e">
        <v>#NAME?</v>
      </c>
      <c r="AZ49" s="195" t="e">
        <v>#NAME?</v>
      </c>
      <c r="BA49" s="196" t="e">
        <f t="shared" si="37"/>
        <v>#NAME?</v>
      </c>
      <c r="BB49" s="195" t="e">
        <v>#NAME?</v>
      </c>
      <c r="BC49" s="195" t="e">
        <v>#NAME?</v>
      </c>
      <c r="BD49" s="195" t="e">
        <v>#NAME?</v>
      </c>
      <c r="BE49" s="196" t="e">
        <f t="shared" si="38"/>
        <v>#NAME?</v>
      </c>
      <c r="BF49" s="195" t="e">
        <v>#NAME?</v>
      </c>
      <c r="BG49" s="195" t="e">
        <v>#NAME?</v>
      </c>
      <c r="BH49" s="195" t="e">
        <v>#NAME?</v>
      </c>
      <c r="BI49" s="196" t="e">
        <f t="shared" si="39"/>
        <v>#NAME?</v>
      </c>
      <c r="BJ49" s="195" t="e">
        <v>#NAME?</v>
      </c>
      <c r="BK49" s="195" t="e">
        <v>#NAME?</v>
      </c>
      <c r="BL49" s="195" t="e">
        <v>#NAME?</v>
      </c>
      <c r="BM49" s="196" t="e">
        <f t="shared" si="40"/>
        <v>#NAME?</v>
      </c>
      <c r="BN49" s="195" t="e">
        <v>#NAME?</v>
      </c>
      <c r="BO49" s="195" t="e">
        <v>#NAME?</v>
      </c>
      <c r="BP49" s="195" t="e">
        <v>#NAME?</v>
      </c>
      <c r="BQ49" s="196" t="e">
        <f t="shared" si="41"/>
        <v>#NAME?</v>
      </c>
      <c r="BR49" s="195" t="e">
        <v>#NAME?</v>
      </c>
      <c r="BS49" s="195" t="e">
        <v>#NAME?</v>
      </c>
      <c r="BT49" s="195" t="e">
        <v>#NAME?</v>
      </c>
      <c r="BU49" s="196" t="e">
        <f t="shared" si="42"/>
        <v>#NAME?</v>
      </c>
      <c r="BV49" s="195" t="e">
        <v>#NAME?</v>
      </c>
      <c r="BW49" s="195" t="e">
        <v>#NAME?</v>
      </c>
      <c r="BX49" s="195" t="e">
        <v>#NAME?</v>
      </c>
      <c r="BY49" s="196" t="e">
        <f t="shared" si="43"/>
        <v>#NAME?</v>
      </c>
    </row>
    <row r="50" spans="1:77" s="89" customFormat="1" ht="15.75">
      <c r="A50" s="124" t="s">
        <v>78</v>
      </c>
      <c r="B50" s="104"/>
      <c r="C50" s="104"/>
      <c r="D50" s="81"/>
      <c r="E50" s="105"/>
      <c r="F50" s="95"/>
      <c r="G50" s="82"/>
      <c r="H50" s="82"/>
      <c r="I50" s="173"/>
      <c r="J50" s="261" t="s">
        <v>170</v>
      </c>
      <c r="K50" s="329">
        <f t="shared" si="24"/>
        <v>78000</v>
      </c>
      <c r="L50" s="435">
        <f t="shared" si="25"/>
        <v>70200</v>
      </c>
      <c r="M50" s="398">
        <f t="shared" si="26"/>
        <v>54843.75</v>
      </c>
      <c r="N50" s="398" t="e">
        <f t="shared" si="27"/>
        <v>#NAME?</v>
      </c>
      <c r="O50" s="398" t="e">
        <f t="shared" si="27"/>
        <v>#NAME?</v>
      </c>
      <c r="P50" s="191"/>
      <c r="Q50" s="191"/>
      <c r="R50" s="192"/>
      <c r="S50" s="228" t="s">
        <v>155</v>
      </c>
      <c r="T50" s="262">
        <v>12</v>
      </c>
      <c r="U50" s="230">
        <v>6500</v>
      </c>
      <c r="V50" s="193"/>
      <c r="W50" s="329">
        <f t="shared" si="28"/>
        <v>78000</v>
      </c>
      <c r="X50" s="191"/>
      <c r="Y50" s="290">
        <f t="shared" si="29"/>
        <v>78000</v>
      </c>
      <c r="Z50" s="191"/>
      <c r="AA50" s="190">
        <f t="shared" si="30"/>
        <v>60937.5</v>
      </c>
      <c r="AB50" s="191"/>
      <c r="AC50" s="191"/>
      <c r="AD50" s="192"/>
      <c r="AE50" s="228" t="s">
        <v>155</v>
      </c>
      <c r="AF50" s="262">
        <v>36</v>
      </c>
      <c r="AG50" s="230">
        <v>6500</v>
      </c>
      <c r="AH50" s="193"/>
      <c r="AI50" s="241">
        <f t="shared" si="31"/>
        <v>234000</v>
      </c>
      <c r="AJ50" s="191"/>
      <c r="AK50" s="290">
        <f t="shared" si="32"/>
        <v>234000</v>
      </c>
      <c r="AL50" s="191"/>
      <c r="AM50" s="190">
        <f t="shared" si="33"/>
        <v>182812.5</v>
      </c>
      <c r="AN50" s="191"/>
      <c r="AO50" s="191"/>
      <c r="AP50" s="191"/>
      <c r="AQ50" s="191"/>
      <c r="AR50" s="194" t="e">
        <f t="shared" si="34"/>
        <v>#NAME?</v>
      </c>
      <c r="AS50" s="194" t="e">
        <f t="shared" si="35"/>
        <v>#NAME?</v>
      </c>
      <c r="AT50" s="195" t="e">
        <v>#NAME?</v>
      </c>
      <c r="AU50" s="195" t="e">
        <v>#NAME?</v>
      </c>
      <c r="AV50" s="195" t="e">
        <v>#NAME?</v>
      </c>
      <c r="AW50" s="196" t="e">
        <f t="shared" si="36"/>
        <v>#NAME?</v>
      </c>
      <c r="AX50" s="195" t="e">
        <v>#NAME?</v>
      </c>
      <c r="AY50" s="195" t="e">
        <v>#NAME?</v>
      </c>
      <c r="AZ50" s="195" t="e">
        <v>#NAME?</v>
      </c>
      <c r="BA50" s="196" t="e">
        <f t="shared" si="37"/>
        <v>#NAME?</v>
      </c>
      <c r="BB50" s="195" t="e">
        <v>#NAME?</v>
      </c>
      <c r="BC50" s="195" t="e">
        <v>#NAME?</v>
      </c>
      <c r="BD50" s="195" t="e">
        <v>#NAME?</v>
      </c>
      <c r="BE50" s="196" t="e">
        <f t="shared" si="38"/>
        <v>#NAME?</v>
      </c>
      <c r="BF50" s="195" t="e">
        <v>#NAME?</v>
      </c>
      <c r="BG50" s="195" t="e">
        <v>#NAME?</v>
      </c>
      <c r="BH50" s="195" t="e">
        <v>#NAME?</v>
      </c>
      <c r="BI50" s="196" t="e">
        <f t="shared" si="39"/>
        <v>#NAME?</v>
      </c>
      <c r="BJ50" s="195" t="e">
        <v>#NAME?</v>
      </c>
      <c r="BK50" s="195" t="e">
        <v>#NAME?</v>
      </c>
      <c r="BL50" s="195" t="e">
        <v>#NAME?</v>
      </c>
      <c r="BM50" s="196" t="e">
        <f t="shared" si="40"/>
        <v>#NAME?</v>
      </c>
      <c r="BN50" s="195" t="e">
        <v>#NAME?</v>
      </c>
      <c r="BO50" s="195" t="e">
        <v>#NAME?</v>
      </c>
      <c r="BP50" s="195" t="e">
        <v>#NAME?</v>
      </c>
      <c r="BQ50" s="196" t="e">
        <f t="shared" si="41"/>
        <v>#NAME?</v>
      </c>
      <c r="BR50" s="195" t="e">
        <v>#NAME?</v>
      </c>
      <c r="BS50" s="195" t="e">
        <v>#NAME?</v>
      </c>
      <c r="BT50" s="195" t="e">
        <v>#NAME?</v>
      </c>
      <c r="BU50" s="196" t="e">
        <f t="shared" si="42"/>
        <v>#NAME?</v>
      </c>
      <c r="BV50" s="195" t="e">
        <v>#NAME?</v>
      </c>
      <c r="BW50" s="195" t="e">
        <v>#NAME?</v>
      </c>
      <c r="BX50" s="195" t="e">
        <v>#NAME?</v>
      </c>
      <c r="BY50" s="196" t="e">
        <f t="shared" si="43"/>
        <v>#NAME?</v>
      </c>
    </row>
    <row r="51" spans="1:77" s="89" customFormat="1" ht="15.75">
      <c r="A51" s="124" t="s">
        <v>79</v>
      </c>
      <c r="B51" s="104"/>
      <c r="C51" s="104"/>
      <c r="D51" s="81"/>
      <c r="E51" s="105"/>
      <c r="F51" s="95"/>
      <c r="G51" s="82"/>
      <c r="H51" s="82"/>
      <c r="I51" s="173"/>
      <c r="J51" s="261" t="s">
        <v>171</v>
      </c>
      <c r="K51" s="329">
        <f t="shared" si="24"/>
        <v>1200</v>
      </c>
      <c r="L51" s="435">
        <f t="shared" si="25"/>
        <v>1080</v>
      </c>
      <c r="M51" s="398">
        <f t="shared" si="26"/>
        <v>843.75</v>
      </c>
      <c r="N51" s="398" t="e">
        <f t="shared" si="27"/>
        <v>#NAME?</v>
      </c>
      <c r="O51" s="398" t="e">
        <f t="shared" si="27"/>
        <v>#NAME?</v>
      </c>
      <c r="P51" s="191"/>
      <c r="Q51" s="191"/>
      <c r="R51" s="192"/>
      <c r="S51" s="228" t="s">
        <v>172</v>
      </c>
      <c r="T51" s="229">
        <v>1</v>
      </c>
      <c r="U51" s="260">
        <v>1200</v>
      </c>
      <c r="V51" s="193"/>
      <c r="W51" s="329">
        <f t="shared" si="28"/>
        <v>1200</v>
      </c>
      <c r="X51" s="191"/>
      <c r="Y51" s="290">
        <f t="shared" si="29"/>
        <v>1200</v>
      </c>
      <c r="Z51" s="191"/>
      <c r="AA51" s="190">
        <f t="shared" si="30"/>
        <v>937.5</v>
      </c>
      <c r="AB51" s="191"/>
      <c r="AC51" s="191"/>
      <c r="AD51" s="192"/>
      <c r="AE51" s="228" t="s">
        <v>172</v>
      </c>
      <c r="AF51" s="259">
        <v>1</v>
      </c>
      <c r="AG51" s="260">
        <v>1500</v>
      </c>
      <c r="AH51" s="193"/>
      <c r="AI51" s="241">
        <f t="shared" si="31"/>
        <v>1500</v>
      </c>
      <c r="AJ51" s="191"/>
      <c r="AK51" s="290">
        <f t="shared" si="32"/>
        <v>1500</v>
      </c>
      <c r="AL51" s="191"/>
      <c r="AM51" s="190">
        <f t="shared" si="33"/>
        <v>1171.875</v>
      </c>
      <c r="AN51" s="191"/>
      <c r="AO51" s="191"/>
      <c r="AP51" s="191"/>
      <c r="AQ51" s="191"/>
      <c r="AR51" s="194" t="e">
        <f t="shared" si="34"/>
        <v>#NAME?</v>
      </c>
      <c r="AS51" s="194" t="e">
        <f t="shared" si="35"/>
        <v>#NAME?</v>
      </c>
      <c r="AT51" s="195" t="e">
        <v>#NAME?</v>
      </c>
      <c r="AU51" s="195" t="e">
        <v>#NAME?</v>
      </c>
      <c r="AV51" s="195" t="e">
        <v>#NAME?</v>
      </c>
      <c r="AW51" s="196" t="e">
        <f t="shared" si="36"/>
        <v>#NAME?</v>
      </c>
      <c r="AX51" s="195" t="e">
        <v>#NAME?</v>
      </c>
      <c r="AY51" s="195" t="e">
        <v>#NAME?</v>
      </c>
      <c r="AZ51" s="195" t="e">
        <v>#NAME?</v>
      </c>
      <c r="BA51" s="196" t="e">
        <f t="shared" si="37"/>
        <v>#NAME?</v>
      </c>
      <c r="BB51" s="195" t="e">
        <v>#NAME?</v>
      </c>
      <c r="BC51" s="195" t="e">
        <v>#NAME?</v>
      </c>
      <c r="BD51" s="195" t="e">
        <v>#NAME?</v>
      </c>
      <c r="BE51" s="196" t="e">
        <f t="shared" si="38"/>
        <v>#NAME?</v>
      </c>
      <c r="BF51" s="195" t="e">
        <v>#NAME?</v>
      </c>
      <c r="BG51" s="195" t="e">
        <v>#NAME?</v>
      </c>
      <c r="BH51" s="195" t="e">
        <v>#NAME?</v>
      </c>
      <c r="BI51" s="196" t="e">
        <f t="shared" si="39"/>
        <v>#NAME?</v>
      </c>
      <c r="BJ51" s="195" t="e">
        <v>#NAME?</v>
      </c>
      <c r="BK51" s="195" t="e">
        <v>#NAME?</v>
      </c>
      <c r="BL51" s="195" t="e">
        <v>#NAME?</v>
      </c>
      <c r="BM51" s="196" t="e">
        <f t="shared" si="40"/>
        <v>#NAME?</v>
      </c>
      <c r="BN51" s="195" t="e">
        <v>#NAME?</v>
      </c>
      <c r="BO51" s="195" t="e">
        <v>#NAME?</v>
      </c>
      <c r="BP51" s="195" t="e">
        <v>#NAME?</v>
      </c>
      <c r="BQ51" s="196" t="e">
        <f t="shared" si="41"/>
        <v>#NAME?</v>
      </c>
      <c r="BR51" s="195" t="e">
        <v>#NAME?</v>
      </c>
      <c r="BS51" s="195" t="e">
        <v>#NAME?</v>
      </c>
      <c r="BT51" s="195" t="e">
        <v>#NAME?</v>
      </c>
      <c r="BU51" s="196" t="e">
        <f t="shared" si="42"/>
        <v>#NAME?</v>
      </c>
      <c r="BV51" s="195" t="e">
        <v>#NAME?</v>
      </c>
      <c r="BW51" s="195" t="e">
        <v>#NAME?</v>
      </c>
      <c r="BX51" s="195" t="e">
        <v>#NAME?</v>
      </c>
      <c r="BY51" s="196" t="e">
        <f t="shared" si="43"/>
        <v>#NAME?</v>
      </c>
    </row>
    <row r="52" spans="1:77" s="89" customFormat="1" ht="40.5" customHeight="1">
      <c r="A52" s="171"/>
      <c r="B52" s="172"/>
      <c r="C52" s="172"/>
      <c r="D52" s="172"/>
      <c r="E52" s="172"/>
      <c r="F52" s="172"/>
      <c r="I52" s="173"/>
      <c r="J52" s="186" t="str">
        <f>CONCATENATE("Subtotal ",J43)</f>
        <v>Subtotal 1.2 Salaries (gross salaries including social security
charges and other related costs, expat/int. staff)</v>
      </c>
      <c r="K52" s="363">
        <f>SUBTOTAL(9,K44:K51)</f>
        <v>161017.33333333334</v>
      </c>
      <c r="L52" s="436">
        <f>SUBTOTAL(9,L44:L48)</f>
        <v>69618</v>
      </c>
      <c r="M52" s="399">
        <f>SUBTOTAL(9,M44:M48)</f>
        <v>54389.0625</v>
      </c>
      <c r="N52" s="399" t="e">
        <f>SUBTOTAL(9,N44:N48)</f>
        <v>#NAME?</v>
      </c>
      <c r="O52" s="399" t="e">
        <f>SUBTOTAL(9,O44:O48)</f>
        <v>#NAME?</v>
      </c>
      <c r="P52" s="193"/>
      <c r="Q52" s="193"/>
      <c r="R52" s="225"/>
      <c r="S52" s="193"/>
      <c r="T52" s="193"/>
      <c r="U52" s="224"/>
      <c r="V52" s="224"/>
      <c r="W52" s="330">
        <f>SUBTOTAL(9,W44:W51)</f>
        <v>161017.33333333334</v>
      </c>
      <c r="X52" s="193"/>
      <c r="Y52" s="301">
        <f>SUBTOTAL(9,Y44:Y48)</f>
        <v>77353.33333333334</v>
      </c>
      <c r="Z52" s="193"/>
      <c r="AA52" s="223">
        <f>SUBTOTAL(9,AA44:AA48)</f>
        <v>60432.291666666664</v>
      </c>
      <c r="AB52" s="193"/>
      <c r="AC52" s="193"/>
      <c r="AD52" s="225"/>
      <c r="AE52" s="193"/>
      <c r="AF52" s="193"/>
      <c r="AG52" s="224"/>
      <c r="AH52" s="224"/>
      <c r="AI52" s="242">
        <f>SUBTOTAL(9,AI44:AI51)</f>
        <v>460072</v>
      </c>
      <c r="AJ52" s="193"/>
      <c r="AK52" s="301">
        <f>SUBTOTAL(9,AK44:AK48)</f>
        <v>211180</v>
      </c>
      <c r="AL52" s="193"/>
      <c r="AM52" s="223">
        <f>SUBTOTAL(9,AM44:AM48)</f>
        <v>164984.375</v>
      </c>
      <c r="AN52" s="193"/>
      <c r="AO52" s="193"/>
      <c r="AP52" s="193"/>
      <c r="AQ52" s="193"/>
      <c r="AR52" s="224" t="e">
        <f aca="true" t="shared" si="44" ref="AR52:BF52">SUBTOTAL(9,AR44:AR48)</f>
        <v>#NAME?</v>
      </c>
      <c r="AS52" s="224" t="e">
        <f t="shared" si="44"/>
        <v>#NAME?</v>
      </c>
      <c r="AT52" s="224" t="e">
        <f t="shared" si="44"/>
        <v>#NAME?</v>
      </c>
      <c r="AU52" s="224" t="e">
        <f t="shared" si="44"/>
        <v>#NAME?</v>
      </c>
      <c r="AV52" s="224" t="e">
        <f t="shared" si="44"/>
        <v>#NAME?</v>
      </c>
      <c r="AW52" s="224" t="e">
        <f t="shared" si="44"/>
        <v>#NAME?</v>
      </c>
      <c r="AX52" s="224" t="e">
        <f t="shared" si="44"/>
        <v>#NAME?</v>
      </c>
      <c r="AY52" s="224" t="e">
        <f t="shared" si="44"/>
        <v>#NAME?</v>
      </c>
      <c r="AZ52" s="224" t="e">
        <f t="shared" si="44"/>
        <v>#NAME?</v>
      </c>
      <c r="BA52" s="224" t="e">
        <f t="shared" si="44"/>
        <v>#NAME?</v>
      </c>
      <c r="BB52" s="224" t="e">
        <f t="shared" si="44"/>
        <v>#NAME?</v>
      </c>
      <c r="BC52" s="224" t="e">
        <f t="shared" si="44"/>
        <v>#NAME?</v>
      </c>
      <c r="BD52" s="224" t="e">
        <f t="shared" si="44"/>
        <v>#NAME?</v>
      </c>
      <c r="BE52" s="224" t="e">
        <f t="shared" si="44"/>
        <v>#NAME?</v>
      </c>
      <c r="BF52" s="224" t="e">
        <f t="shared" si="44"/>
        <v>#NAME?</v>
      </c>
      <c r="BG52" s="224" t="e">
        <f aca="true" t="shared" si="45" ref="BG52:BY52">SUBTOTAL(9,BG44:BG48)</f>
        <v>#NAME?</v>
      </c>
      <c r="BH52" s="224" t="e">
        <f t="shared" si="45"/>
        <v>#NAME?</v>
      </c>
      <c r="BI52" s="224" t="e">
        <f t="shared" si="45"/>
        <v>#NAME?</v>
      </c>
      <c r="BJ52" s="224" t="e">
        <f t="shared" si="45"/>
        <v>#NAME?</v>
      </c>
      <c r="BK52" s="224" t="e">
        <f t="shared" si="45"/>
        <v>#NAME?</v>
      </c>
      <c r="BL52" s="224" t="e">
        <f t="shared" si="45"/>
        <v>#NAME?</v>
      </c>
      <c r="BM52" s="224" t="e">
        <f t="shared" si="45"/>
        <v>#NAME?</v>
      </c>
      <c r="BN52" s="224" t="e">
        <f t="shared" si="45"/>
        <v>#NAME?</v>
      </c>
      <c r="BO52" s="224" t="e">
        <f t="shared" si="45"/>
        <v>#NAME?</v>
      </c>
      <c r="BP52" s="224" t="e">
        <f t="shared" si="45"/>
        <v>#NAME?</v>
      </c>
      <c r="BQ52" s="224" t="e">
        <f t="shared" si="45"/>
        <v>#NAME?</v>
      </c>
      <c r="BR52" s="224" t="e">
        <f t="shared" si="45"/>
        <v>#NAME?</v>
      </c>
      <c r="BS52" s="224" t="e">
        <f t="shared" si="45"/>
        <v>#NAME?</v>
      </c>
      <c r="BT52" s="224" t="e">
        <f t="shared" si="45"/>
        <v>#NAME?</v>
      </c>
      <c r="BU52" s="224" t="e">
        <f t="shared" si="45"/>
        <v>#NAME?</v>
      </c>
      <c r="BV52" s="224" t="e">
        <f t="shared" si="45"/>
        <v>#NAME?</v>
      </c>
      <c r="BW52" s="224" t="e">
        <f t="shared" si="45"/>
        <v>#NAME?</v>
      </c>
      <c r="BX52" s="224" t="e">
        <f t="shared" si="45"/>
        <v>#NAME?</v>
      </c>
      <c r="BY52" s="224" t="e">
        <f t="shared" si="45"/>
        <v>#NAME?</v>
      </c>
    </row>
    <row r="53" spans="1:77" s="86" customFormat="1" ht="15.75">
      <c r="A53" s="79"/>
      <c r="B53" s="98"/>
      <c r="C53" s="98"/>
      <c r="D53" s="95"/>
      <c r="E53" s="98"/>
      <c r="F53" s="95"/>
      <c r="G53" s="82"/>
      <c r="H53" s="82"/>
      <c r="I53" s="169"/>
      <c r="J53" s="188"/>
      <c r="K53" s="331"/>
      <c r="L53" s="437"/>
      <c r="M53" s="400"/>
      <c r="N53" s="400"/>
      <c r="O53" s="400"/>
      <c r="P53" s="191"/>
      <c r="Q53" s="191"/>
      <c r="R53" s="191"/>
      <c r="S53" s="191"/>
      <c r="T53" s="191"/>
      <c r="U53" s="191"/>
      <c r="V53" s="191"/>
      <c r="W53" s="331"/>
      <c r="X53" s="191"/>
      <c r="Y53" s="302"/>
      <c r="Z53" s="191"/>
      <c r="AA53" s="202"/>
      <c r="AB53" s="191"/>
      <c r="AC53" s="191"/>
      <c r="AD53" s="191"/>
      <c r="AE53" s="191"/>
      <c r="AF53" s="191"/>
      <c r="AG53" s="191"/>
      <c r="AH53" s="191"/>
      <c r="AI53" s="244"/>
      <c r="AJ53" s="191"/>
      <c r="AK53" s="302"/>
      <c r="AL53" s="191"/>
      <c r="AM53" s="202"/>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1"/>
      <c r="BR53" s="191"/>
      <c r="BS53" s="191"/>
      <c r="BT53" s="191"/>
      <c r="BU53" s="191"/>
      <c r="BV53" s="191"/>
      <c r="BW53" s="191"/>
      <c r="BX53" s="191"/>
      <c r="BY53" s="191"/>
    </row>
    <row r="54" spans="1:77" s="86" customFormat="1" ht="30.75" customHeight="1">
      <c r="A54" s="79"/>
      <c r="B54" s="87"/>
      <c r="C54" s="87"/>
      <c r="D54" s="95"/>
      <c r="E54" s="87"/>
      <c r="F54" s="95"/>
      <c r="G54" s="82"/>
      <c r="H54" s="82"/>
      <c r="I54" s="168" t="s">
        <v>41</v>
      </c>
      <c r="J54" s="183" t="s">
        <v>135</v>
      </c>
      <c r="K54" s="364"/>
      <c r="L54" s="438"/>
      <c r="M54" s="401"/>
      <c r="N54" s="402"/>
      <c r="O54" s="402"/>
      <c r="P54" s="191"/>
      <c r="Q54" s="191"/>
      <c r="R54" s="198"/>
      <c r="S54" s="199"/>
      <c r="T54" s="199"/>
      <c r="U54" s="199"/>
      <c r="V54" s="199"/>
      <c r="W54" s="332"/>
      <c r="X54" s="191"/>
      <c r="Y54" s="303"/>
      <c r="Z54" s="191"/>
      <c r="AA54" s="203"/>
      <c r="AB54" s="191"/>
      <c r="AC54" s="191"/>
      <c r="AD54" s="198"/>
      <c r="AE54" s="199"/>
      <c r="AF54" s="199"/>
      <c r="AG54" s="199"/>
      <c r="AH54" s="199"/>
      <c r="AI54" s="245"/>
      <c r="AJ54" s="191"/>
      <c r="AK54" s="303"/>
      <c r="AL54" s="191"/>
      <c r="AM54" s="203"/>
      <c r="AN54" s="191"/>
      <c r="AO54" s="191"/>
      <c r="AP54" s="191"/>
      <c r="AQ54" s="191"/>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4"/>
      <c r="BR54" s="204"/>
      <c r="BS54" s="204"/>
      <c r="BT54" s="204"/>
      <c r="BU54" s="204"/>
      <c r="BV54" s="204"/>
      <c r="BW54" s="204"/>
      <c r="BX54" s="204"/>
      <c r="BY54" s="204"/>
    </row>
    <row r="55" spans="1:77" s="89" customFormat="1" ht="17.25" customHeight="1">
      <c r="A55" s="171"/>
      <c r="B55" s="172"/>
      <c r="C55" s="172"/>
      <c r="D55" s="172"/>
      <c r="E55" s="172"/>
      <c r="F55" s="172"/>
      <c r="I55" s="173"/>
      <c r="J55" s="186" t="s">
        <v>117</v>
      </c>
      <c r="K55" s="363"/>
      <c r="L55" s="436"/>
      <c r="M55" s="399"/>
      <c r="N55" s="399"/>
      <c r="O55" s="399"/>
      <c r="P55" s="193"/>
      <c r="Q55" s="193"/>
      <c r="R55" s="225"/>
      <c r="S55" s="193"/>
      <c r="T55" s="193"/>
      <c r="U55" s="224"/>
      <c r="V55" s="224"/>
      <c r="W55" s="330"/>
      <c r="X55" s="193"/>
      <c r="Y55" s="301"/>
      <c r="Z55" s="193"/>
      <c r="AA55" s="223"/>
      <c r="AB55" s="193"/>
      <c r="AC55" s="193"/>
      <c r="AD55" s="225"/>
      <c r="AE55" s="193"/>
      <c r="AF55" s="193"/>
      <c r="AG55" s="224"/>
      <c r="AH55" s="224"/>
      <c r="AI55" s="242"/>
      <c r="AJ55" s="193"/>
      <c r="AK55" s="301"/>
      <c r="AL55" s="193"/>
      <c r="AM55" s="223"/>
      <c r="AN55" s="193"/>
      <c r="AO55" s="193"/>
      <c r="AP55" s="193"/>
      <c r="AQ55" s="193"/>
      <c r="AR55" s="224"/>
      <c r="AS55" s="224"/>
      <c r="AT55" s="224"/>
      <c r="AU55" s="224"/>
      <c r="AV55" s="224"/>
      <c r="AW55" s="224"/>
      <c r="AX55" s="224"/>
      <c r="AY55" s="224"/>
      <c r="AZ55" s="224"/>
      <c r="BA55" s="224"/>
      <c r="BB55" s="224"/>
      <c r="BC55" s="224"/>
      <c r="BD55" s="224"/>
      <c r="BE55" s="224"/>
      <c r="BF55" s="224"/>
      <c r="BG55" s="224"/>
      <c r="BH55" s="224"/>
      <c r="BI55" s="224"/>
      <c r="BJ55" s="224"/>
      <c r="BK55" s="224"/>
      <c r="BL55" s="224"/>
      <c r="BM55" s="224"/>
      <c r="BN55" s="224"/>
      <c r="BO55" s="224"/>
      <c r="BP55" s="224"/>
      <c r="BQ55" s="224"/>
      <c r="BR55" s="224"/>
      <c r="BS55" s="224"/>
      <c r="BT55" s="224"/>
      <c r="BU55" s="224"/>
      <c r="BV55" s="224"/>
      <c r="BW55" s="224"/>
      <c r="BX55" s="224"/>
      <c r="BY55" s="224"/>
    </row>
    <row r="56" spans="1:77" s="89" customFormat="1" ht="15.75">
      <c r="A56" s="124" t="s">
        <v>80</v>
      </c>
      <c r="B56" s="90"/>
      <c r="C56" s="90"/>
      <c r="D56" s="81"/>
      <c r="E56" s="91"/>
      <c r="F56" s="95"/>
      <c r="G56" s="82"/>
      <c r="H56" s="82"/>
      <c r="I56" s="166"/>
      <c r="J56" s="263" t="s">
        <v>173</v>
      </c>
      <c r="K56" s="329">
        <f>Y56</f>
        <v>8800</v>
      </c>
      <c r="L56" s="435">
        <f>K56*0.9</f>
        <v>7920</v>
      </c>
      <c r="M56" s="398">
        <f>L56/$M$4</f>
        <v>6187.5</v>
      </c>
      <c r="N56" s="398" t="e">
        <f aca="true" t="shared" si="46" ref="N56:O58">L56-AR56</f>
        <v>#NAME?</v>
      </c>
      <c r="O56" s="398" t="e">
        <f t="shared" si="46"/>
        <v>#NAME?</v>
      </c>
      <c r="P56" s="191"/>
      <c r="Q56" s="191"/>
      <c r="R56" s="192"/>
      <c r="S56" s="268" t="s">
        <v>186</v>
      </c>
      <c r="T56" s="262">
        <v>80</v>
      </c>
      <c r="U56" s="230">
        <v>110</v>
      </c>
      <c r="V56" s="193"/>
      <c r="W56" s="329">
        <f>(T56*U56)</f>
        <v>8800</v>
      </c>
      <c r="X56" s="191"/>
      <c r="Y56" s="290">
        <f>W56</f>
        <v>8800</v>
      </c>
      <c r="Z56" s="191"/>
      <c r="AA56" s="190">
        <f>Y56/M$4</f>
        <v>6875</v>
      </c>
      <c r="AB56" s="191"/>
      <c r="AC56" s="191"/>
      <c r="AD56" s="192"/>
      <c r="AE56" s="268" t="s">
        <v>186</v>
      </c>
      <c r="AF56" s="262">
        <v>225</v>
      </c>
      <c r="AG56" s="230">
        <v>110</v>
      </c>
      <c r="AH56" s="193"/>
      <c r="AI56" s="241">
        <f>(AF56*AG56)</f>
        <v>24750</v>
      </c>
      <c r="AJ56" s="191"/>
      <c r="AK56" s="290">
        <f>AI56</f>
        <v>24750</v>
      </c>
      <c r="AL56" s="191"/>
      <c r="AM56" s="190">
        <f>AK56/M$4</f>
        <v>19335.9375</v>
      </c>
      <c r="AN56" s="191"/>
      <c r="AO56" s="191"/>
      <c r="AP56" s="191"/>
      <c r="AQ56" s="191"/>
      <c r="AR56" s="194" t="e">
        <f>AS56*$M$4</f>
        <v>#NAME?</v>
      </c>
      <c r="AS56" s="194" t="e">
        <f>AW56+BA56+BE56+BI56+BM56+BQ56+BU56+BY56</f>
        <v>#NAME?</v>
      </c>
      <c r="AT56" s="195" t="e">
        <v>#NAME?</v>
      </c>
      <c r="AU56" s="195" t="e">
        <v>#NAME?</v>
      </c>
      <c r="AV56" s="195" t="e">
        <v>#NAME?</v>
      </c>
      <c r="AW56" s="196" t="e">
        <f>SUM(AT56:AV56)</f>
        <v>#NAME?</v>
      </c>
      <c r="AX56" s="195" t="e">
        <v>#NAME?</v>
      </c>
      <c r="AY56" s="195" t="e">
        <v>#NAME?</v>
      </c>
      <c r="AZ56" s="195" t="e">
        <v>#NAME?</v>
      </c>
      <c r="BA56" s="196" t="e">
        <f>SUM(AX56:AZ56)</f>
        <v>#NAME?</v>
      </c>
      <c r="BB56" s="195" t="e">
        <v>#NAME?</v>
      </c>
      <c r="BC56" s="195" t="e">
        <v>#NAME?</v>
      </c>
      <c r="BD56" s="195" t="e">
        <v>#NAME?</v>
      </c>
      <c r="BE56" s="196" t="e">
        <f>SUM(BB56:BD56)</f>
        <v>#NAME?</v>
      </c>
      <c r="BF56" s="195" t="e">
        <v>#NAME?</v>
      </c>
      <c r="BG56" s="195" t="e">
        <v>#NAME?</v>
      </c>
      <c r="BH56" s="195" t="e">
        <v>#NAME?</v>
      </c>
      <c r="BI56" s="196" t="e">
        <f>SUM(BF56:BH56)</f>
        <v>#NAME?</v>
      </c>
      <c r="BJ56" s="195" t="e">
        <v>#NAME?</v>
      </c>
      <c r="BK56" s="195" t="e">
        <v>#NAME?</v>
      </c>
      <c r="BL56" s="195" t="e">
        <v>#NAME?</v>
      </c>
      <c r="BM56" s="196" t="e">
        <f>SUM(BJ56:BL56)</f>
        <v>#NAME?</v>
      </c>
      <c r="BN56" s="195" t="e">
        <v>#NAME?</v>
      </c>
      <c r="BO56" s="195" t="e">
        <v>#NAME?</v>
      </c>
      <c r="BP56" s="195" t="e">
        <v>#NAME?</v>
      </c>
      <c r="BQ56" s="196" t="e">
        <f>SUM(BM56:BP56)</f>
        <v>#NAME?</v>
      </c>
      <c r="BR56" s="195" t="e">
        <v>#NAME?</v>
      </c>
      <c r="BS56" s="195" t="e">
        <v>#NAME?</v>
      </c>
      <c r="BT56" s="195" t="e">
        <v>#NAME?</v>
      </c>
      <c r="BU56" s="196" t="e">
        <f>SUM(BQ56:BT56)</f>
        <v>#NAME?</v>
      </c>
      <c r="BV56" s="195" t="e">
        <v>#NAME?</v>
      </c>
      <c r="BW56" s="195" t="e">
        <v>#NAME?</v>
      </c>
      <c r="BX56" s="195" t="e">
        <v>#NAME?</v>
      </c>
      <c r="BY56" s="196" t="e">
        <f>SUM(BU56:BX56)</f>
        <v>#NAME?</v>
      </c>
    </row>
    <row r="57" spans="1:77" s="89" customFormat="1" ht="15.75">
      <c r="A57" s="124" t="s">
        <v>81</v>
      </c>
      <c r="B57" s="90"/>
      <c r="C57" s="90"/>
      <c r="D57" s="81"/>
      <c r="E57" s="91"/>
      <c r="F57" s="95"/>
      <c r="G57" s="82"/>
      <c r="H57" s="82"/>
      <c r="I57" s="166"/>
      <c r="J57" s="263" t="s">
        <v>174</v>
      </c>
      <c r="K57" s="329">
        <f>Y57</f>
        <v>4500</v>
      </c>
      <c r="L57" s="435">
        <f>K57*0.9</f>
        <v>4050</v>
      </c>
      <c r="M57" s="398">
        <f>L57/$M$4</f>
        <v>3164.0625</v>
      </c>
      <c r="N57" s="398" t="e">
        <f t="shared" si="46"/>
        <v>#NAME?</v>
      </c>
      <c r="O57" s="398" t="e">
        <f t="shared" si="46"/>
        <v>#NAME?</v>
      </c>
      <c r="P57" s="191"/>
      <c r="Q57" s="191"/>
      <c r="R57" s="192"/>
      <c r="S57" s="268" t="s">
        <v>186</v>
      </c>
      <c r="T57" s="262">
        <v>30</v>
      </c>
      <c r="U57" s="230">
        <v>150</v>
      </c>
      <c r="V57" s="193"/>
      <c r="W57" s="329">
        <f>(T57*U57)</f>
        <v>4500</v>
      </c>
      <c r="X57" s="191"/>
      <c r="Y57" s="290">
        <f>W57</f>
        <v>4500</v>
      </c>
      <c r="Z57" s="191"/>
      <c r="AA57" s="190">
        <f>Y57/M$4</f>
        <v>3515.625</v>
      </c>
      <c r="AB57" s="191"/>
      <c r="AC57" s="191"/>
      <c r="AD57" s="192"/>
      <c r="AE57" s="268" t="s">
        <v>186</v>
      </c>
      <c r="AF57" s="262">
        <v>60</v>
      </c>
      <c r="AG57" s="230">
        <v>150</v>
      </c>
      <c r="AH57" s="193"/>
      <c r="AI57" s="241">
        <f>(AF57*AG57)</f>
        <v>9000</v>
      </c>
      <c r="AJ57" s="191"/>
      <c r="AK57" s="290">
        <f>AI57</f>
        <v>9000</v>
      </c>
      <c r="AL57" s="191"/>
      <c r="AM57" s="190">
        <f>AK57/M$4</f>
        <v>7031.25</v>
      </c>
      <c r="AN57" s="191"/>
      <c r="AO57" s="191"/>
      <c r="AP57" s="191"/>
      <c r="AQ57" s="191"/>
      <c r="AR57" s="194" t="e">
        <f>AS57*$M$4</f>
        <v>#NAME?</v>
      </c>
      <c r="AS57" s="194" t="e">
        <f>AW57+BA57+BE57+BI57+BM57+BQ57+BU57+BY57</f>
        <v>#NAME?</v>
      </c>
      <c r="AT57" s="195" t="e">
        <v>#NAME?</v>
      </c>
      <c r="AU57" s="195" t="e">
        <v>#NAME?</v>
      </c>
      <c r="AV57" s="195" t="e">
        <v>#NAME?</v>
      </c>
      <c r="AW57" s="196" t="e">
        <f>SUM(AT57:AV57)</f>
        <v>#NAME?</v>
      </c>
      <c r="AX57" s="195" t="e">
        <v>#NAME?</v>
      </c>
      <c r="AY57" s="195" t="e">
        <v>#NAME?</v>
      </c>
      <c r="AZ57" s="195" t="e">
        <v>#NAME?</v>
      </c>
      <c r="BA57" s="196" t="e">
        <f>SUM(AX57:AZ57)</f>
        <v>#NAME?</v>
      </c>
      <c r="BB57" s="195" t="e">
        <v>#NAME?</v>
      </c>
      <c r="BC57" s="195" t="e">
        <v>#NAME?</v>
      </c>
      <c r="BD57" s="195" t="e">
        <v>#NAME?</v>
      </c>
      <c r="BE57" s="196" t="e">
        <f>SUM(BB57:BD57)</f>
        <v>#NAME?</v>
      </c>
      <c r="BF57" s="195" t="e">
        <v>#NAME?</v>
      </c>
      <c r="BG57" s="195" t="e">
        <v>#NAME?</v>
      </c>
      <c r="BH57" s="195" t="e">
        <v>#NAME?</v>
      </c>
      <c r="BI57" s="196" t="e">
        <f>SUM(BF57:BH57)</f>
        <v>#NAME?</v>
      </c>
      <c r="BJ57" s="195" t="e">
        <v>#NAME?</v>
      </c>
      <c r="BK57" s="195" t="e">
        <v>#NAME?</v>
      </c>
      <c r="BL57" s="195" t="e">
        <v>#NAME?</v>
      </c>
      <c r="BM57" s="196" t="e">
        <f>SUM(BJ57:BL57)</f>
        <v>#NAME?</v>
      </c>
      <c r="BN57" s="195" t="e">
        <v>#NAME?</v>
      </c>
      <c r="BO57" s="195" t="e">
        <v>#NAME?</v>
      </c>
      <c r="BP57" s="195" t="e">
        <v>#NAME?</v>
      </c>
      <c r="BQ57" s="196" t="e">
        <f>SUM(BM57:BP57)</f>
        <v>#NAME?</v>
      </c>
      <c r="BR57" s="195" t="e">
        <v>#NAME?</v>
      </c>
      <c r="BS57" s="195" t="e">
        <v>#NAME?</v>
      </c>
      <c r="BT57" s="195" t="e">
        <v>#NAME?</v>
      </c>
      <c r="BU57" s="196" t="e">
        <f>SUM(BQ57:BT57)</f>
        <v>#NAME?</v>
      </c>
      <c r="BV57" s="195" t="e">
        <v>#NAME?</v>
      </c>
      <c r="BW57" s="195" t="e">
        <v>#NAME?</v>
      </c>
      <c r="BX57" s="195" t="e">
        <v>#NAME?</v>
      </c>
      <c r="BY57" s="196" t="e">
        <f>SUM(BU57:BX57)</f>
        <v>#NAME?</v>
      </c>
    </row>
    <row r="58" spans="1:77" s="89" customFormat="1" ht="15.75">
      <c r="A58" s="124" t="s">
        <v>82</v>
      </c>
      <c r="B58" s="90"/>
      <c r="C58" s="90"/>
      <c r="D58" s="81"/>
      <c r="E58" s="91"/>
      <c r="F58" s="95"/>
      <c r="G58" s="82"/>
      <c r="H58" s="82"/>
      <c r="I58" s="166"/>
      <c r="J58" s="264" t="s">
        <v>175</v>
      </c>
      <c r="K58" s="329">
        <f>Y58</f>
        <v>2000</v>
      </c>
      <c r="L58" s="435">
        <f>K58*0.9</f>
        <v>1800</v>
      </c>
      <c r="M58" s="398">
        <f>L58/$M$4</f>
        <v>1406.25</v>
      </c>
      <c r="N58" s="398" t="e">
        <f t="shared" si="46"/>
        <v>#NAME?</v>
      </c>
      <c r="O58" s="398" t="e">
        <f t="shared" si="46"/>
        <v>#NAME?</v>
      </c>
      <c r="P58" s="191"/>
      <c r="Q58" s="191"/>
      <c r="R58" s="192"/>
      <c r="S58" s="268" t="s">
        <v>186</v>
      </c>
      <c r="T58" s="262">
        <v>10</v>
      </c>
      <c r="U58" s="230">
        <v>200</v>
      </c>
      <c r="V58" s="193"/>
      <c r="W58" s="329">
        <f>(T58*U58)</f>
        <v>2000</v>
      </c>
      <c r="X58" s="191"/>
      <c r="Y58" s="290">
        <f>W58</f>
        <v>2000</v>
      </c>
      <c r="Z58" s="191"/>
      <c r="AA58" s="190">
        <f>Y58/M$4</f>
        <v>1562.5</v>
      </c>
      <c r="AB58" s="191"/>
      <c r="AC58" s="191"/>
      <c r="AD58" s="192"/>
      <c r="AE58" s="268" t="s">
        <v>186</v>
      </c>
      <c r="AF58" s="262">
        <v>30</v>
      </c>
      <c r="AG58" s="230">
        <v>200</v>
      </c>
      <c r="AH58" s="193"/>
      <c r="AI58" s="241">
        <f>(AF58*AG58)</f>
        <v>6000</v>
      </c>
      <c r="AJ58" s="191"/>
      <c r="AK58" s="290">
        <f>AI58</f>
        <v>6000</v>
      </c>
      <c r="AL58" s="191"/>
      <c r="AM58" s="190">
        <f>AK58/M$4</f>
        <v>4687.5</v>
      </c>
      <c r="AN58" s="191"/>
      <c r="AO58" s="191"/>
      <c r="AP58" s="191"/>
      <c r="AQ58" s="191"/>
      <c r="AR58" s="194" t="e">
        <f>AS58*$M$4</f>
        <v>#NAME?</v>
      </c>
      <c r="AS58" s="194" t="e">
        <f>AW58+BA58+BE58+BI58+BM58+BQ58+BU58+BY58</f>
        <v>#NAME?</v>
      </c>
      <c r="AT58" s="195" t="e">
        <v>#NAME?</v>
      </c>
      <c r="AU58" s="195" t="e">
        <v>#NAME?</v>
      </c>
      <c r="AV58" s="195" t="e">
        <v>#NAME?</v>
      </c>
      <c r="AW58" s="196" t="e">
        <f>SUM(AT58:AV58)</f>
        <v>#NAME?</v>
      </c>
      <c r="AX58" s="195" t="e">
        <v>#NAME?</v>
      </c>
      <c r="AY58" s="195" t="e">
        <v>#NAME?</v>
      </c>
      <c r="AZ58" s="195" t="e">
        <v>#NAME?</v>
      </c>
      <c r="BA58" s="196" t="e">
        <f>SUM(AX58:AZ58)</f>
        <v>#NAME?</v>
      </c>
      <c r="BB58" s="195" t="e">
        <v>#NAME?</v>
      </c>
      <c r="BC58" s="195" t="e">
        <v>#NAME?</v>
      </c>
      <c r="BD58" s="195" t="e">
        <v>#NAME?</v>
      </c>
      <c r="BE58" s="196" t="e">
        <f>SUM(BB58:BD58)</f>
        <v>#NAME?</v>
      </c>
      <c r="BF58" s="195" t="e">
        <v>#NAME?</v>
      </c>
      <c r="BG58" s="195" t="e">
        <v>#NAME?</v>
      </c>
      <c r="BH58" s="195" t="e">
        <v>#NAME?</v>
      </c>
      <c r="BI58" s="196" t="e">
        <f>SUM(BF58:BH58)</f>
        <v>#NAME?</v>
      </c>
      <c r="BJ58" s="195" t="e">
        <v>#NAME?</v>
      </c>
      <c r="BK58" s="195" t="e">
        <v>#NAME?</v>
      </c>
      <c r="BL58" s="195" t="e">
        <v>#NAME?</v>
      </c>
      <c r="BM58" s="196" t="e">
        <f>SUM(BJ58:BL58)</f>
        <v>#NAME?</v>
      </c>
      <c r="BN58" s="195" t="e">
        <v>#NAME?</v>
      </c>
      <c r="BO58" s="195" t="e">
        <v>#NAME?</v>
      </c>
      <c r="BP58" s="195" t="e">
        <v>#NAME?</v>
      </c>
      <c r="BQ58" s="196" t="e">
        <f>SUM(BM58:BP58)</f>
        <v>#NAME?</v>
      </c>
      <c r="BR58" s="195" t="e">
        <v>#NAME?</v>
      </c>
      <c r="BS58" s="195" t="e">
        <v>#NAME?</v>
      </c>
      <c r="BT58" s="195" t="e">
        <v>#NAME?</v>
      </c>
      <c r="BU58" s="196" t="e">
        <f>SUM(BQ58:BT58)</f>
        <v>#NAME?</v>
      </c>
      <c r="BV58" s="195" t="e">
        <v>#NAME?</v>
      </c>
      <c r="BW58" s="195" t="e">
        <v>#NAME?</v>
      </c>
      <c r="BX58" s="195" t="e">
        <v>#NAME?</v>
      </c>
      <c r="BY58" s="196" t="e">
        <f>SUM(BU58:BX58)</f>
        <v>#NAME?</v>
      </c>
    </row>
    <row r="59" spans="1:77" s="89" customFormat="1" ht="20.25" customHeight="1">
      <c r="A59" s="171"/>
      <c r="B59" s="172"/>
      <c r="C59" s="172"/>
      <c r="D59" s="172"/>
      <c r="E59" s="172"/>
      <c r="F59" s="172"/>
      <c r="I59" s="173"/>
      <c r="J59" s="186" t="str">
        <f>CONCATENATE("Subtotal ",J55)</f>
        <v>Subtotal Labor HQ TA</v>
      </c>
      <c r="K59" s="363">
        <f>SUBTOTAL(9,K56:K58)</f>
        <v>15300</v>
      </c>
      <c r="L59" s="436">
        <f>SUBTOTAL(9,L56:L58)</f>
        <v>13770</v>
      </c>
      <c r="M59" s="399">
        <f>SUBTOTAL(9,M56:M58)</f>
        <v>10757.8125</v>
      </c>
      <c r="N59" s="399" t="e">
        <f>SUBTOTAL(9,N56:N58)</f>
        <v>#NAME?</v>
      </c>
      <c r="O59" s="399" t="e">
        <f>SUBTOTAL(9,O56:O58)</f>
        <v>#NAME?</v>
      </c>
      <c r="P59" s="193"/>
      <c r="Q59" s="193"/>
      <c r="R59" s="225"/>
      <c r="S59" s="193"/>
      <c r="T59" s="193"/>
      <c r="U59" s="224"/>
      <c r="V59" s="224"/>
      <c r="W59" s="330">
        <f>SUBTOTAL(9,W56:W58)</f>
        <v>15300</v>
      </c>
      <c r="X59" s="193"/>
      <c r="Y59" s="301">
        <f>SUBTOTAL(9,Y56:Y58)</f>
        <v>15300</v>
      </c>
      <c r="Z59" s="193"/>
      <c r="AA59" s="223">
        <f>SUBTOTAL(9,AA56:AA58)</f>
        <v>11953.125</v>
      </c>
      <c r="AB59" s="193"/>
      <c r="AC59" s="193"/>
      <c r="AD59" s="225"/>
      <c r="AE59" s="193"/>
      <c r="AF59" s="193"/>
      <c r="AG59" s="224"/>
      <c r="AH59" s="224"/>
      <c r="AI59" s="242">
        <f>SUBTOTAL(9,AI56:AI58)</f>
        <v>39750</v>
      </c>
      <c r="AJ59" s="193"/>
      <c r="AK59" s="301">
        <f>SUBTOTAL(9,AK56:AK58)</f>
        <v>39750</v>
      </c>
      <c r="AL59" s="193"/>
      <c r="AM59" s="223">
        <f>SUBTOTAL(9,AM56:AM58)</f>
        <v>31054.6875</v>
      </c>
      <c r="AN59" s="193"/>
      <c r="AO59" s="193"/>
      <c r="AP59" s="193"/>
      <c r="AQ59" s="193"/>
      <c r="AR59" s="224" t="e">
        <f aca="true" t="shared" si="47" ref="AR59:BF59">SUBTOTAL(9,AR56:AR58)</f>
        <v>#NAME?</v>
      </c>
      <c r="AS59" s="224" t="e">
        <f t="shared" si="47"/>
        <v>#NAME?</v>
      </c>
      <c r="AT59" s="224" t="e">
        <f t="shared" si="47"/>
        <v>#NAME?</v>
      </c>
      <c r="AU59" s="224" t="e">
        <f t="shared" si="47"/>
        <v>#NAME?</v>
      </c>
      <c r="AV59" s="224" t="e">
        <f t="shared" si="47"/>
        <v>#NAME?</v>
      </c>
      <c r="AW59" s="224" t="e">
        <f t="shared" si="47"/>
        <v>#NAME?</v>
      </c>
      <c r="AX59" s="224" t="e">
        <f t="shared" si="47"/>
        <v>#NAME?</v>
      </c>
      <c r="AY59" s="224" t="e">
        <f t="shared" si="47"/>
        <v>#NAME?</v>
      </c>
      <c r="AZ59" s="224" t="e">
        <f t="shared" si="47"/>
        <v>#NAME?</v>
      </c>
      <c r="BA59" s="224" t="e">
        <f t="shared" si="47"/>
        <v>#NAME?</v>
      </c>
      <c r="BB59" s="224" t="e">
        <f t="shared" si="47"/>
        <v>#NAME?</v>
      </c>
      <c r="BC59" s="224" t="e">
        <f t="shared" si="47"/>
        <v>#NAME?</v>
      </c>
      <c r="BD59" s="224" t="e">
        <f t="shared" si="47"/>
        <v>#NAME?</v>
      </c>
      <c r="BE59" s="224" t="e">
        <f t="shared" si="47"/>
        <v>#NAME?</v>
      </c>
      <c r="BF59" s="224" t="e">
        <f t="shared" si="47"/>
        <v>#NAME?</v>
      </c>
      <c r="BG59" s="224" t="e">
        <f aca="true" t="shared" si="48" ref="BG59:BY59">SUBTOTAL(9,BG56:BG58)</f>
        <v>#NAME?</v>
      </c>
      <c r="BH59" s="224" t="e">
        <f t="shared" si="48"/>
        <v>#NAME?</v>
      </c>
      <c r="BI59" s="224" t="e">
        <f t="shared" si="48"/>
        <v>#NAME?</v>
      </c>
      <c r="BJ59" s="224" t="e">
        <f t="shared" si="48"/>
        <v>#NAME?</v>
      </c>
      <c r="BK59" s="224" t="e">
        <f t="shared" si="48"/>
        <v>#NAME?</v>
      </c>
      <c r="BL59" s="224" t="e">
        <f t="shared" si="48"/>
        <v>#NAME?</v>
      </c>
      <c r="BM59" s="224" t="e">
        <f t="shared" si="48"/>
        <v>#NAME?</v>
      </c>
      <c r="BN59" s="224" t="e">
        <f t="shared" si="48"/>
        <v>#NAME?</v>
      </c>
      <c r="BO59" s="224" t="e">
        <f t="shared" si="48"/>
        <v>#NAME?</v>
      </c>
      <c r="BP59" s="224" t="e">
        <f t="shared" si="48"/>
        <v>#NAME?</v>
      </c>
      <c r="BQ59" s="224" t="e">
        <f t="shared" si="48"/>
        <v>#NAME?</v>
      </c>
      <c r="BR59" s="224" t="e">
        <f t="shared" si="48"/>
        <v>#NAME?</v>
      </c>
      <c r="BS59" s="224" t="e">
        <f t="shared" si="48"/>
        <v>#NAME?</v>
      </c>
      <c r="BT59" s="224" t="e">
        <f t="shared" si="48"/>
        <v>#NAME?</v>
      </c>
      <c r="BU59" s="224" t="e">
        <f t="shared" si="48"/>
        <v>#NAME?</v>
      </c>
      <c r="BV59" s="224" t="e">
        <f t="shared" si="48"/>
        <v>#NAME?</v>
      </c>
      <c r="BW59" s="224" t="e">
        <f t="shared" si="48"/>
        <v>#NAME?</v>
      </c>
      <c r="BX59" s="224" t="e">
        <f t="shared" si="48"/>
        <v>#NAME?</v>
      </c>
      <c r="BY59" s="224" t="e">
        <f t="shared" si="48"/>
        <v>#NAME?</v>
      </c>
    </row>
    <row r="60" spans="1:77" s="89" customFormat="1" ht="15.75">
      <c r="A60" s="171"/>
      <c r="B60" s="172"/>
      <c r="C60" s="172"/>
      <c r="D60" s="172"/>
      <c r="E60" s="172"/>
      <c r="F60" s="172"/>
      <c r="I60" s="173"/>
      <c r="J60" s="186"/>
      <c r="K60" s="363"/>
      <c r="L60" s="436"/>
      <c r="M60" s="399"/>
      <c r="N60" s="399"/>
      <c r="O60" s="399"/>
      <c r="P60" s="193"/>
      <c r="Q60" s="193"/>
      <c r="R60" s="225"/>
      <c r="S60" s="193"/>
      <c r="T60" s="193"/>
      <c r="U60" s="224"/>
      <c r="V60" s="224"/>
      <c r="W60" s="330"/>
      <c r="X60" s="193"/>
      <c r="Y60" s="301"/>
      <c r="Z60" s="193"/>
      <c r="AA60" s="223"/>
      <c r="AB60" s="193"/>
      <c r="AC60" s="193"/>
      <c r="AD60" s="225"/>
      <c r="AE60" s="193"/>
      <c r="AF60" s="193"/>
      <c r="AG60" s="224"/>
      <c r="AH60" s="224"/>
      <c r="AI60" s="242"/>
      <c r="AJ60" s="193"/>
      <c r="AK60" s="301"/>
      <c r="AL60" s="193"/>
      <c r="AM60" s="223"/>
      <c r="AN60" s="193"/>
      <c r="AO60" s="193"/>
      <c r="AP60" s="193"/>
      <c r="AQ60" s="193"/>
      <c r="AR60" s="224"/>
      <c r="AS60" s="224"/>
      <c r="AT60" s="224"/>
      <c r="AU60" s="224"/>
      <c r="AV60" s="224"/>
      <c r="AW60" s="224"/>
      <c r="AX60" s="224"/>
      <c r="AY60" s="224"/>
      <c r="AZ60" s="224"/>
      <c r="BA60" s="224"/>
      <c r="BB60" s="224"/>
      <c r="BC60" s="224"/>
      <c r="BD60" s="224"/>
      <c r="BE60" s="224"/>
      <c r="BF60" s="224"/>
      <c r="BG60" s="224"/>
      <c r="BH60" s="224"/>
      <c r="BI60" s="224"/>
      <c r="BJ60" s="224"/>
      <c r="BK60" s="224"/>
      <c r="BL60" s="224"/>
      <c r="BM60" s="224"/>
      <c r="BN60" s="224"/>
      <c r="BO60" s="224"/>
      <c r="BP60" s="224"/>
      <c r="BQ60" s="224"/>
      <c r="BR60" s="224"/>
      <c r="BS60" s="224"/>
      <c r="BT60" s="224"/>
      <c r="BU60" s="224"/>
      <c r="BV60" s="224"/>
      <c r="BW60" s="224"/>
      <c r="BX60" s="224"/>
      <c r="BY60" s="224"/>
    </row>
    <row r="61" spans="1:77" s="86" customFormat="1" ht="28.5" customHeight="1">
      <c r="A61" s="79"/>
      <c r="B61" s="100" t="s">
        <v>45</v>
      </c>
      <c r="C61" s="100"/>
      <c r="D61" s="95"/>
      <c r="E61" s="101" t="s">
        <v>16</v>
      </c>
      <c r="F61" s="95"/>
      <c r="G61" s="82"/>
      <c r="H61" s="82"/>
      <c r="I61" s="168"/>
      <c r="J61" s="187" t="str">
        <f>CONCATENATE("Total ",J54)</f>
        <v>Total Per diems for mission/travel</v>
      </c>
      <c r="K61" s="365">
        <f>SUBTOTAL(9,K56:K60)</f>
        <v>15300</v>
      </c>
      <c r="L61" s="439">
        <f>SUBTOTAL(9,L56:L60)</f>
        <v>13770</v>
      </c>
      <c r="M61" s="403">
        <f>SUBTOTAL(9,M56:M60)</f>
        <v>10757.8125</v>
      </c>
      <c r="N61" s="404" t="e">
        <f>SUBTOTAL(9,N56:N60)</f>
        <v>#NAME?</v>
      </c>
      <c r="O61" s="404" t="e">
        <f>SUBTOTAL(9,O56:O60)</f>
        <v>#NAME?</v>
      </c>
      <c r="P61" s="191"/>
      <c r="Q61" s="191"/>
      <c r="R61" s="198"/>
      <c r="S61" s="198"/>
      <c r="T61" s="199"/>
      <c r="U61" s="200"/>
      <c r="V61" s="200"/>
      <c r="W61" s="333">
        <f>SUBTOTAL(9,W56:W60)</f>
        <v>15300</v>
      </c>
      <c r="X61" s="191"/>
      <c r="Y61" s="304">
        <f>SUBTOTAL(9,Y56:Y60)</f>
        <v>15300</v>
      </c>
      <c r="Z61" s="191"/>
      <c r="AA61" s="197">
        <f>SUBTOTAL(9,AA56:AA60)</f>
        <v>11953.125</v>
      </c>
      <c r="AB61" s="191"/>
      <c r="AC61" s="191"/>
      <c r="AD61" s="198"/>
      <c r="AE61" s="198"/>
      <c r="AF61" s="199"/>
      <c r="AG61" s="200"/>
      <c r="AH61" s="200"/>
      <c r="AI61" s="243">
        <f>SUBTOTAL(9,AI56:AI60)</f>
        <v>39750</v>
      </c>
      <c r="AJ61" s="191"/>
      <c r="AK61" s="304">
        <f>SUBTOTAL(9,AK56:AK60)</f>
        <v>39750</v>
      </c>
      <c r="AL61" s="191"/>
      <c r="AM61" s="197">
        <f>SUBTOTAL(9,AM56:AM60)</f>
        <v>31054.6875</v>
      </c>
      <c r="AN61" s="191"/>
      <c r="AO61" s="191"/>
      <c r="AP61" s="191"/>
      <c r="AQ61" s="191"/>
      <c r="AR61" s="201" t="e">
        <f>SUBTOTAL(9,AR56:AR60)</f>
        <v>#NAME?</v>
      </c>
      <c r="AS61" s="201" t="e">
        <f>SUBTOTAL(9,AS56:AS60)</f>
        <v>#NAME?</v>
      </c>
      <c r="AT61" s="201">
        <v>0</v>
      </c>
      <c r="AU61" s="201">
        <v>0</v>
      </c>
      <c r="AV61" s="201">
        <v>0</v>
      </c>
      <c r="AW61" s="201">
        <v>0</v>
      </c>
      <c r="AX61" s="201">
        <v>0</v>
      </c>
      <c r="AY61" s="201">
        <v>0</v>
      </c>
      <c r="AZ61" s="201">
        <v>0</v>
      </c>
      <c r="BA61" s="201">
        <v>0</v>
      </c>
      <c r="BB61" s="201">
        <v>0</v>
      </c>
      <c r="BC61" s="201">
        <v>0</v>
      </c>
      <c r="BD61" s="201">
        <v>609.23</v>
      </c>
      <c r="BE61" s="201">
        <v>0</v>
      </c>
      <c r="BF61" s="201">
        <v>0</v>
      </c>
      <c r="BG61" s="201">
        <v>0</v>
      </c>
      <c r="BH61" s="201">
        <v>0</v>
      </c>
      <c r="BI61" s="201">
        <v>0</v>
      </c>
      <c r="BJ61" s="201">
        <v>0</v>
      </c>
      <c r="BK61" s="201">
        <v>0</v>
      </c>
      <c r="BL61" s="201">
        <v>0</v>
      </c>
      <c r="BM61" s="201">
        <v>0</v>
      </c>
      <c r="BN61" s="201">
        <v>0</v>
      </c>
      <c r="BO61" s="201">
        <v>0</v>
      </c>
      <c r="BP61" s="201">
        <v>0</v>
      </c>
      <c r="BQ61" s="201">
        <v>0</v>
      </c>
      <c r="BR61" s="201">
        <v>0</v>
      </c>
      <c r="BS61" s="201">
        <v>0</v>
      </c>
      <c r="BT61" s="201">
        <v>0</v>
      </c>
      <c r="BU61" s="201">
        <v>0</v>
      </c>
      <c r="BV61" s="201">
        <v>0</v>
      </c>
      <c r="BW61" s="201">
        <v>0</v>
      </c>
      <c r="BX61" s="201">
        <v>0</v>
      </c>
      <c r="BY61" s="201">
        <v>0</v>
      </c>
    </row>
    <row r="62" spans="1:77" s="86" customFormat="1" ht="24" customHeight="1">
      <c r="A62" s="79"/>
      <c r="B62" s="102" t="s">
        <v>42</v>
      </c>
      <c r="C62" s="102"/>
      <c r="D62" s="95"/>
      <c r="E62" s="80" t="s">
        <v>46</v>
      </c>
      <c r="F62" s="95"/>
      <c r="G62" s="82"/>
      <c r="H62" s="82"/>
      <c r="I62" s="149"/>
      <c r="J62" s="184" t="str">
        <f>CONCATENATE("Subtotal ",J27)</f>
        <v>Subtotal Human Resources</v>
      </c>
      <c r="K62" s="337">
        <f>SUBTOTAL(9,K30:K61)</f>
        <v>250817.33333333334</v>
      </c>
      <c r="L62" s="440">
        <f>SUBTOTAL(9,L30:L61)</f>
        <v>225735.6</v>
      </c>
      <c r="M62" s="405">
        <f>SUBTOTAL(9,M30:M61)</f>
        <v>176355.9375</v>
      </c>
      <c r="N62" s="405" t="e">
        <f>SUBTOTAL(9,N30:N61)</f>
        <v>#NAME?</v>
      </c>
      <c r="O62" s="405" t="e">
        <f>SUBTOTAL(9,O30:O61)</f>
        <v>#NAME?</v>
      </c>
      <c r="P62" s="191"/>
      <c r="Q62" s="191"/>
      <c r="R62" s="206"/>
      <c r="S62" s="207"/>
      <c r="T62" s="208"/>
      <c r="U62" s="208"/>
      <c r="V62" s="208"/>
      <c r="W62" s="334">
        <f>SUBTOTAL(9,W30:W61)</f>
        <v>250817.33333333334</v>
      </c>
      <c r="X62" s="191"/>
      <c r="Y62" s="305">
        <f>SUBTOTAL(9,Y30:Y61)</f>
        <v>250817.33333333334</v>
      </c>
      <c r="Z62" s="191"/>
      <c r="AA62" s="205">
        <f>SUBTOTAL(9,AA30:AA61)</f>
        <v>195951.0416666667</v>
      </c>
      <c r="AB62" s="191"/>
      <c r="AC62" s="191"/>
      <c r="AD62" s="206"/>
      <c r="AE62" s="207"/>
      <c r="AF62" s="208"/>
      <c r="AG62" s="208"/>
      <c r="AH62" s="208"/>
      <c r="AI62" s="246">
        <f>SUBTOTAL(9,AI30:AI61)</f>
        <v>736066</v>
      </c>
      <c r="AJ62" s="191"/>
      <c r="AK62" s="305">
        <f>SUBTOTAL(9,AK30:AK61)</f>
        <v>736066</v>
      </c>
      <c r="AL62" s="191"/>
      <c r="AM62" s="205">
        <f>SUBTOTAL(9,AM30:AM61)</f>
        <v>575051.5625</v>
      </c>
      <c r="AN62" s="191"/>
      <c r="AO62" s="191"/>
      <c r="AP62" s="191"/>
      <c r="AQ62" s="191"/>
      <c r="AR62" s="209" t="e">
        <f>SUBTOTAL(9,AR30:AR61)</f>
        <v>#NAME?</v>
      </c>
      <c r="AS62" s="209" t="e">
        <f>SUBTOTAL(9,AS30:AS61)</f>
        <v>#NAME?</v>
      </c>
      <c r="AT62" s="209">
        <v>0</v>
      </c>
      <c r="AU62" s="209">
        <v>0</v>
      </c>
      <c r="AV62" s="209">
        <v>0</v>
      </c>
      <c r="AW62" s="209">
        <v>0</v>
      </c>
      <c r="AX62" s="209">
        <v>0</v>
      </c>
      <c r="AY62" s="209">
        <v>0</v>
      </c>
      <c r="AZ62" s="209">
        <v>0</v>
      </c>
      <c r="BA62" s="209">
        <v>0</v>
      </c>
      <c r="BB62" s="209">
        <v>0</v>
      </c>
      <c r="BC62" s="209">
        <v>0</v>
      </c>
      <c r="BD62" s="209">
        <v>609.23</v>
      </c>
      <c r="BE62" s="209">
        <v>0</v>
      </c>
      <c r="BF62" s="209">
        <v>0</v>
      </c>
      <c r="BG62" s="209">
        <v>0</v>
      </c>
      <c r="BH62" s="209">
        <v>0</v>
      </c>
      <c r="BI62" s="209">
        <v>0</v>
      </c>
      <c r="BJ62" s="209">
        <v>0</v>
      </c>
      <c r="BK62" s="209">
        <v>0</v>
      </c>
      <c r="BL62" s="209">
        <v>0</v>
      </c>
      <c r="BM62" s="209">
        <v>0</v>
      </c>
      <c r="BN62" s="209">
        <v>0</v>
      </c>
      <c r="BO62" s="209">
        <v>0</v>
      </c>
      <c r="BP62" s="209">
        <v>0</v>
      </c>
      <c r="BQ62" s="209">
        <v>0</v>
      </c>
      <c r="BR62" s="209">
        <v>0</v>
      </c>
      <c r="BS62" s="209">
        <v>0</v>
      </c>
      <c r="BT62" s="209">
        <v>0</v>
      </c>
      <c r="BU62" s="209">
        <v>0</v>
      </c>
      <c r="BV62" s="209">
        <v>0</v>
      </c>
      <c r="BW62" s="209">
        <v>0</v>
      </c>
      <c r="BX62" s="209">
        <v>0</v>
      </c>
      <c r="BY62" s="209">
        <v>0</v>
      </c>
    </row>
    <row r="63" spans="1:77" s="86" customFormat="1" ht="15">
      <c r="A63" s="79"/>
      <c r="B63" s="98"/>
      <c r="C63" s="98"/>
      <c r="D63" s="95"/>
      <c r="E63" s="98"/>
      <c r="F63" s="95"/>
      <c r="G63" s="82"/>
      <c r="H63" s="82"/>
      <c r="I63" s="150"/>
      <c r="J63" s="189"/>
      <c r="K63" s="366"/>
      <c r="L63" s="441"/>
      <c r="M63" s="406"/>
      <c r="N63" s="406"/>
      <c r="O63" s="406"/>
      <c r="P63" s="191"/>
      <c r="Q63" s="191"/>
      <c r="R63" s="211"/>
      <c r="S63" s="191"/>
      <c r="T63" s="191"/>
      <c r="U63" s="191"/>
      <c r="V63" s="191"/>
      <c r="W63" s="331"/>
      <c r="X63" s="191"/>
      <c r="Y63" s="306"/>
      <c r="Z63" s="191"/>
      <c r="AA63" s="210"/>
      <c r="AB63" s="191"/>
      <c r="AC63" s="191"/>
      <c r="AD63" s="211"/>
      <c r="AE63" s="191"/>
      <c r="AF63" s="191"/>
      <c r="AG63" s="191"/>
      <c r="AH63" s="191"/>
      <c r="AI63" s="244"/>
      <c r="AJ63" s="191"/>
      <c r="AK63" s="306"/>
      <c r="AL63" s="191"/>
      <c r="AM63" s="210"/>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1"/>
      <c r="BR63" s="191"/>
      <c r="BS63" s="191"/>
      <c r="BT63" s="191"/>
      <c r="BU63" s="191"/>
      <c r="BV63" s="191"/>
      <c r="BW63" s="191"/>
      <c r="BX63" s="191"/>
      <c r="BY63" s="191"/>
    </row>
    <row r="64" spans="1:77" s="86" customFormat="1" ht="15.75">
      <c r="A64" s="79"/>
      <c r="B64" s="80" t="s">
        <v>43</v>
      </c>
      <c r="C64" s="80" t="s">
        <v>44</v>
      </c>
      <c r="D64" s="95"/>
      <c r="E64" s="80" t="s">
        <v>44</v>
      </c>
      <c r="F64" s="95"/>
      <c r="G64" s="82"/>
      <c r="H64" s="82"/>
      <c r="I64" s="149" t="s">
        <v>2</v>
      </c>
      <c r="J64" s="184" t="s">
        <v>119</v>
      </c>
      <c r="K64" s="367"/>
      <c r="L64" s="442"/>
      <c r="M64" s="407"/>
      <c r="N64" s="407"/>
      <c r="O64" s="407"/>
      <c r="P64" s="191"/>
      <c r="Q64" s="191"/>
      <c r="R64" s="206"/>
      <c r="S64" s="213"/>
      <c r="T64" s="213"/>
      <c r="U64" s="213"/>
      <c r="V64" s="213"/>
      <c r="W64" s="335"/>
      <c r="X64" s="191"/>
      <c r="Y64" s="307"/>
      <c r="Z64" s="191"/>
      <c r="AA64" s="212"/>
      <c r="AB64" s="191"/>
      <c r="AC64" s="191"/>
      <c r="AD64" s="206"/>
      <c r="AE64" s="213"/>
      <c r="AF64" s="213"/>
      <c r="AG64" s="213"/>
      <c r="AH64" s="213"/>
      <c r="AI64" s="247"/>
      <c r="AJ64" s="191"/>
      <c r="AK64" s="307"/>
      <c r="AL64" s="191"/>
      <c r="AM64" s="212"/>
      <c r="AN64" s="191"/>
      <c r="AO64" s="191"/>
      <c r="AP64" s="191"/>
      <c r="AQ64" s="191"/>
      <c r="AR64" s="214"/>
      <c r="AS64" s="214"/>
      <c r="AT64" s="214"/>
      <c r="AU64" s="214"/>
      <c r="AV64" s="214"/>
      <c r="AW64" s="214"/>
      <c r="AX64" s="214"/>
      <c r="AY64" s="214"/>
      <c r="AZ64" s="214"/>
      <c r="BA64" s="214"/>
      <c r="BB64" s="214"/>
      <c r="BC64" s="214"/>
      <c r="BD64" s="214"/>
      <c r="BE64" s="214"/>
      <c r="BF64" s="214"/>
      <c r="BG64" s="214"/>
      <c r="BH64" s="214"/>
      <c r="BI64" s="214"/>
      <c r="BJ64" s="214"/>
      <c r="BK64" s="214"/>
      <c r="BL64" s="214"/>
      <c r="BM64" s="214"/>
      <c r="BN64" s="214"/>
      <c r="BO64" s="214"/>
      <c r="BP64" s="214"/>
      <c r="BQ64" s="214"/>
      <c r="BR64" s="214"/>
      <c r="BS64" s="214"/>
      <c r="BT64" s="214"/>
      <c r="BU64" s="214"/>
      <c r="BV64" s="214"/>
      <c r="BW64" s="214"/>
      <c r="BX64" s="214"/>
      <c r="BY64" s="214"/>
    </row>
    <row r="65" spans="1:77" s="86" customFormat="1" ht="18" customHeight="1">
      <c r="A65" s="79"/>
      <c r="B65" s="87"/>
      <c r="C65" s="87"/>
      <c r="D65" s="95"/>
      <c r="E65" s="88"/>
      <c r="F65" s="95"/>
      <c r="G65" s="82"/>
      <c r="H65" s="82"/>
      <c r="I65" s="123" t="s">
        <v>3</v>
      </c>
      <c r="J65" s="183" t="s">
        <v>136</v>
      </c>
      <c r="K65" s="368"/>
      <c r="L65" s="443"/>
      <c r="M65" s="408" t="str">
        <f>$M$28</f>
        <v>GBP</v>
      </c>
      <c r="N65" s="409" t="str">
        <f>$M$28</f>
        <v>GBP</v>
      </c>
      <c r="O65" s="409" t="str">
        <f>$M$28</f>
        <v>GBP</v>
      </c>
      <c r="P65" s="191"/>
      <c r="Q65" s="191"/>
      <c r="R65" s="216"/>
      <c r="S65" s="216"/>
      <c r="T65" s="198"/>
      <c r="U65" s="198"/>
      <c r="V65" s="198"/>
      <c r="W65" s="336"/>
      <c r="X65" s="191"/>
      <c r="Y65" s="308"/>
      <c r="Z65" s="191"/>
      <c r="AA65" s="215" t="str">
        <f>$M$28</f>
        <v>GBP</v>
      </c>
      <c r="AB65" s="191"/>
      <c r="AC65" s="191"/>
      <c r="AD65" s="216"/>
      <c r="AE65" s="216"/>
      <c r="AF65" s="198"/>
      <c r="AG65" s="198"/>
      <c r="AH65" s="198"/>
      <c r="AI65" s="248"/>
      <c r="AJ65" s="191"/>
      <c r="AK65" s="308" t="e">
        <f>#REF!</f>
        <v>#REF!</v>
      </c>
      <c r="AL65" s="191"/>
      <c r="AM65" s="215" t="str">
        <f>$M$28</f>
        <v>GBP</v>
      </c>
      <c r="AN65" s="191"/>
      <c r="AO65" s="191"/>
      <c r="AP65" s="191"/>
      <c r="AQ65" s="191"/>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7"/>
      <c r="BY65" s="217"/>
    </row>
    <row r="66" spans="1:77" s="89" customFormat="1" ht="15.75">
      <c r="A66" s="171"/>
      <c r="B66" s="172"/>
      <c r="C66" s="172"/>
      <c r="D66" s="172"/>
      <c r="E66" s="172"/>
      <c r="F66" s="172"/>
      <c r="I66" s="173"/>
      <c r="J66" s="186" t="s">
        <v>176</v>
      </c>
      <c r="K66" s="363"/>
      <c r="L66" s="436"/>
      <c r="M66" s="399"/>
      <c r="N66" s="399"/>
      <c r="O66" s="399"/>
      <c r="P66" s="193"/>
      <c r="Q66" s="193"/>
      <c r="R66" s="225"/>
      <c r="S66" s="193"/>
      <c r="T66" s="193"/>
      <c r="U66" s="224"/>
      <c r="V66" s="224"/>
      <c r="W66" s="330"/>
      <c r="X66" s="193"/>
      <c r="Y66" s="301"/>
      <c r="Z66" s="193"/>
      <c r="AA66" s="223"/>
      <c r="AB66" s="193"/>
      <c r="AC66" s="193"/>
      <c r="AD66" s="225"/>
      <c r="AE66" s="193"/>
      <c r="AF66" s="193"/>
      <c r="AG66" s="224"/>
      <c r="AH66" s="224"/>
      <c r="AI66" s="242"/>
      <c r="AJ66" s="193"/>
      <c r="AK66" s="301"/>
      <c r="AL66" s="193"/>
      <c r="AM66" s="223"/>
      <c r="AN66" s="193"/>
      <c r="AO66" s="193"/>
      <c r="AP66" s="193"/>
      <c r="AQ66" s="193"/>
      <c r="AR66" s="224"/>
      <c r="AS66" s="224"/>
      <c r="AT66" s="224"/>
      <c r="AU66" s="224"/>
      <c r="AV66" s="224"/>
      <c r="AW66" s="224"/>
      <c r="AX66" s="224"/>
      <c r="AY66" s="224"/>
      <c r="AZ66" s="224"/>
      <c r="BA66" s="224"/>
      <c r="BB66" s="224"/>
      <c r="BC66" s="224"/>
      <c r="BD66" s="224"/>
      <c r="BE66" s="224"/>
      <c r="BF66" s="224"/>
      <c r="BG66" s="224"/>
      <c r="BH66" s="224"/>
      <c r="BI66" s="224"/>
      <c r="BJ66" s="224"/>
      <c r="BK66" s="224"/>
      <c r="BL66" s="224"/>
      <c r="BM66" s="224"/>
      <c r="BN66" s="224"/>
      <c r="BO66" s="224"/>
      <c r="BP66" s="224"/>
      <c r="BQ66" s="224"/>
      <c r="BR66" s="224"/>
      <c r="BS66" s="224"/>
      <c r="BT66" s="224"/>
      <c r="BU66" s="224"/>
      <c r="BV66" s="224"/>
      <c r="BW66" s="224"/>
      <c r="BX66" s="224"/>
      <c r="BY66" s="224"/>
    </row>
    <row r="67" spans="1:77" s="89" customFormat="1" ht="15.75">
      <c r="A67" s="124" t="s">
        <v>83</v>
      </c>
      <c r="B67" s="90"/>
      <c r="C67" s="90"/>
      <c r="D67" s="81"/>
      <c r="E67" s="91">
        <v>5050</v>
      </c>
      <c r="F67" s="95"/>
      <c r="G67" s="82"/>
      <c r="H67" s="82"/>
      <c r="I67" s="166"/>
      <c r="J67" s="264" t="s">
        <v>178</v>
      </c>
      <c r="K67" s="329">
        <f>Y67</f>
        <v>2300</v>
      </c>
      <c r="L67" s="435">
        <f>K67*0.9</f>
        <v>2070</v>
      </c>
      <c r="M67" s="398">
        <f>L67/$M$4</f>
        <v>1617.1875</v>
      </c>
      <c r="N67" s="398" t="e">
        <f aca="true" t="shared" si="49" ref="N67:O69">L67-AR67</f>
        <v>#NAME?</v>
      </c>
      <c r="O67" s="398" t="e">
        <f t="shared" si="49"/>
        <v>#NAME?</v>
      </c>
      <c r="P67" s="191"/>
      <c r="Q67" s="191"/>
      <c r="R67" s="192"/>
      <c r="S67" s="265" t="s">
        <v>184</v>
      </c>
      <c r="T67" s="280">
        <v>2</v>
      </c>
      <c r="U67" s="267">
        <v>1150</v>
      </c>
      <c r="V67" s="193"/>
      <c r="W67" s="329">
        <f>(T67*U67)</f>
        <v>2300</v>
      </c>
      <c r="X67" s="191"/>
      <c r="Y67" s="290">
        <f>W67</f>
        <v>2300</v>
      </c>
      <c r="Z67" s="191"/>
      <c r="AA67" s="190">
        <f>Y67/M$4</f>
        <v>1796.875</v>
      </c>
      <c r="AB67" s="191"/>
      <c r="AC67" s="191"/>
      <c r="AD67" s="192"/>
      <c r="AE67" s="265" t="s">
        <v>184</v>
      </c>
      <c r="AF67" s="266">
        <v>9</v>
      </c>
      <c r="AG67" s="267">
        <v>1150</v>
      </c>
      <c r="AH67" s="193"/>
      <c r="AI67" s="241">
        <f>(AF67*AG67)</f>
        <v>10350</v>
      </c>
      <c r="AJ67" s="191"/>
      <c r="AK67" s="290">
        <f>AI67</f>
        <v>10350</v>
      </c>
      <c r="AL67" s="191"/>
      <c r="AM67" s="190">
        <f>AK67/M$4</f>
        <v>8085.9375</v>
      </c>
      <c r="AN67" s="191"/>
      <c r="AO67" s="191"/>
      <c r="AP67" s="191"/>
      <c r="AQ67" s="191"/>
      <c r="AR67" s="194" t="e">
        <f>AS67*$M$4</f>
        <v>#NAME?</v>
      </c>
      <c r="AS67" s="194" t="e">
        <f>AW67+BA67+BE67+BI67+BM67+BQ67+BU67+BY67</f>
        <v>#NAME?</v>
      </c>
      <c r="AT67" s="195" t="e">
        <v>#NAME?</v>
      </c>
      <c r="AU67" s="195" t="e">
        <v>#NAME?</v>
      </c>
      <c r="AV67" s="195" t="e">
        <v>#NAME?</v>
      </c>
      <c r="AW67" s="196" t="e">
        <f>SUM(AT67:AV67)</f>
        <v>#NAME?</v>
      </c>
      <c r="AX67" s="195" t="e">
        <v>#NAME?</v>
      </c>
      <c r="AY67" s="195" t="e">
        <v>#NAME?</v>
      </c>
      <c r="AZ67" s="195" t="e">
        <v>#NAME?</v>
      </c>
      <c r="BA67" s="196" t="e">
        <f>SUM(AX67:AZ67)</f>
        <v>#NAME?</v>
      </c>
      <c r="BB67" s="195" t="e">
        <v>#NAME?</v>
      </c>
      <c r="BC67" s="195" t="e">
        <v>#NAME?</v>
      </c>
      <c r="BD67" s="195" t="e">
        <v>#NAME?</v>
      </c>
      <c r="BE67" s="196" t="e">
        <f>SUM(BB67:BD67)</f>
        <v>#NAME?</v>
      </c>
      <c r="BF67" s="195" t="e">
        <v>#NAME?</v>
      </c>
      <c r="BG67" s="195" t="e">
        <v>#NAME?</v>
      </c>
      <c r="BH67" s="195" t="e">
        <v>#NAME?</v>
      </c>
      <c r="BI67" s="196" t="e">
        <f>SUM(BF67:BH67)</f>
        <v>#NAME?</v>
      </c>
      <c r="BJ67" s="195" t="e">
        <v>#NAME?</v>
      </c>
      <c r="BK67" s="195" t="e">
        <v>#NAME?</v>
      </c>
      <c r="BL67" s="195" t="e">
        <v>#NAME?</v>
      </c>
      <c r="BM67" s="196" t="e">
        <f>SUM(BJ67:BL67)</f>
        <v>#NAME?</v>
      </c>
      <c r="BN67" s="195" t="e">
        <v>#NAME?</v>
      </c>
      <c r="BO67" s="195" t="e">
        <v>#NAME?</v>
      </c>
      <c r="BP67" s="195" t="e">
        <v>#NAME?</v>
      </c>
      <c r="BQ67" s="196" t="e">
        <f>SUM(BM67:BP67)</f>
        <v>#NAME?</v>
      </c>
      <c r="BR67" s="195" t="e">
        <v>#NAME?</v>
      </c>
      <c r="BS67" s="195" t="e">
        <v>#NAME?</v>
      </c>
      <c r="BT67" s="195" t="e">
        <v>#NAME?</v>
      </c>
      <c r="BU67" s="196" t="e">
        <f>SUM(BQ67:BT67)</f>
        <v>#NAME?</v>
      </c>
      <c r="BV67" s="195" t="e">
        <v>#NAME?</v>
      </c>
      <c r="BW67" s="195" t="e">
        <v>#NAME?</v>
      </c>
      <c r="BX67" s="195" t="e">
        <v>#NAME?</v>
      </c>
      <c r="BY67" s="196" t="e">
        <f>SUM(BU67:BX67)</f>
        <v>#NAME?</v>
      </c>
    </row>
    <row r="68" spans="1:77" s="89" customFormat="1" ht="15.75">
      <c r="A68" s="124" t="s">
        <v>84</v>
      </c>
      <c r="B68" s="90"/>
      <c r="C68" s="90"/>
      <c r="D68" s="81"/>
      <c r="E68" s="91">
        <v>5050</v>
      </c>
      <c r="F68" s="95"/>
      <c r="G68" s="82"/>
      <c r="H68" s="82"/>
      <c r="I68" s="166"/>
      <c r="J68" s="264" t="s">
        <v>179</v>
      </c>
      <c r="K68" s="329">
        <f>Y68</f>
        <v>840</v>
      </c>
      <c r="L68" s="435">
        <f>K68*0.9</f>
        <v>756</v>
      </c>
      <c r="M68" s="398">
        <f>L68/$M$4</f>
        <v>590.625</v>
      </c>
      <c r="N68" s="398" t="e">
        <f t="shared" si="49"/>
        <v>#NAME?</v>
      </c>
      <c r="O68" s="398" t="e">
        <f t="shared" si="49"/>
        <v>#NAME?</v>
      </c>
      <c r="P68" s="191"/>
      <c r="Q68" s="191"/>
      <c r="R68" s="192"/>
      <c r="S68" s="265" t="s">
        <v>185</v>
      </c>
      <c r="T68" s="280">
        <v>3</v>
      </c>
      <c r="U68" s="267">
        <v>280</v>
      </c>
      <c r="V68" s="193"/>
      <c r="W68" s="329">
        <f>(T68*U68)</f>
        <v>840</v>
      </c>
      <c r="X68" s="191"/>
      <c r="Y68" s="290">
        <f>W68</f>
        <v>840</v>
      </c>
      <c r="Z68" s="191"/>
      <c r="AA68" s="190">
        <f>Y68/M$4</f>
        <v>656.25</v>
      </c>
      <c r="AB68" s="191"/>
      <c r="AC68" s="191"/>
      <c r="AD68" s="192"/>
      <c r="AE68" s="265" t="s">
        <v>185</v>
      </c>
      <c r="AF68" s="266">
        <v>3</v>
      </c>
      <c r="AG68" s="267">
        <v>280</v>
      </c>
      <c r="AH68" s="193"/>
      <c r="AI68" s="241">
        <f>(AF68*AG68)</f>
        <v>840</v>
      </c>
      <c r="AJ68" s="191"/>
      <c r="AK68" s="290">
        <f>AI68</f>
        <v>840</v>
      </c>
      <c r="AL68" s="191"/>
      <c r="AM68" s="190">
        <f>AK68/M$4</f>
        <v>656.25</v>
      </c>
      <c r="AN68" s="191"/>
      <c r="AO68" s="191"/>
      <c r="AP68" s="191"/>
      <c r="AQ68" s="191"/>
      <c r="AR68" s="194" t="e">
        <f>AS68*$M$4</f>
        <v>#NAME?</v>
      </c>
      <c r="AS68" s="194" t="e">
        <f>AW68+BA68+BE68+BI68+BM68+BQ68+BU68+BY68</f>
        <v>#NAME?</v>
      </c>
      <c r="AT68" s="195" t="e">
        <v>#NAME?</v>
      </c>
      <c r="AU68" s="195" t="e">
        <v>#NAME?</v>
      </c>
      <c r="AV68" s="195" t="e">
        <v>#NAME?</v>
      </c>
      <c r="AW68" s="196" t="e">
        <f>SUM(AT68:AV68)</f>
        <v>#NAME?</v>
      </c>
      <c r="AX68" s="195" t="e">
        <v>#NAME?</v>
      </c>
      <c r="AY68" s="195" t="e">
        <v>#NAME?</v>
      </c>
      <c r="AZ68" s="195" t="e">
        <v>#NAME?</v>
      </c>
      <c r="BA68" s="196" t="e">
        <f>SUM(AX68:AZ68)</f>
        <v>#NAME?</v>
      </c>
      <c r="BB68" s="195" t="e">
        <v>#NAME?</v>
      </c>
      <c r="BC68" s="195" t="e">
        <v>#NAME?</v>
      </c>
      <c r="BD68" s="195" t="e">
        <v>#NAME?</v>
      </c>
      <c r="BE68" s="196" t="e">
        <f>SUM(BB68:BD68)</f>
        <v>#NAME?</v>
      </c>
      <c r="BF68" s="195" t="e">
        <v>#NAME?</v>
      </c>
      <c r="BG68" s="195" t="e">
        <v>#NAME?</v>
      </c>
      <c r="BH68" s="195" t="e">
        <v>#NAME?</v>
      </c>
      <c r="BI68" s="196" t="e">
        <f>SUM(BF68:BH68)</f>
        <v>#NAME?</v>
      </c>
      <c r="BJ68" s="195" t="e">
        <v>#NAME?</v>
      </c>
      <c r="BK68" s="195" t="e">
        <v>#NAME?</v>
      </c>
      <c r="BL68" s="195" t="e">
        <v>#NAME?</v>
      </c>
      <c r="BM68" s="196" t="e">
        <f>SUM(BJ68:BL68)</f>
        <v>#NAME?</v>
      </c>
      <c r="BN68" s="195" t="e">
        <v>#NAME?</v>
      </c>
      <c r="BO68" s="195" t="e">
        <v>#NAME?</v>
      </c>
      <c r="BP68" s="195" t="e">
        <v>#NAME?</v>
      </c>
      <c r="BQ68" s="196" t="e">
        <f>SUM(BM68:BP68)</f>
        <v>#NAME?</v>
      </c>
      <c r="BR68" s="195" t="e">
        <v>#NAME?</v>
      </c>
      <c r="BS68" s="195" t="e">
        <v>#NAME?</v>
      </c>
      <c r="BT68" s="195" t="e">
        <v>#NAME?</v>
      </c>
      <c r="BU68" s="196" t="e">
        <f>SUM(BQ68:BT68)</f>
        <v>#NAME?</v>
      </c>
      <c r="BV68" s="195" t="e">
        <v>#NAME?</v>
      </c>
      <c r="BW68" s="195" t="e">
        <v>#NAME?</v>
      </c>
      <c r="BX68" s="195" t="e">
        <v>#NAME?</v>
      </c>
      <c r="BY68" s="196" t="e">
        <f>SUM(BU68:BX68)</f>
        <v>#NAME?</v>
      </c>
    </row>
    <row r="69" spans="1:77" s="89" customFormat="1" ht="15.75">
      <c r="A69" s="124" t="s">
        <v>85</v>
      </c>
      <c r="B69" s="90"/>
      <c r="C69" s="90"/>
      <c r="D69" s="81"/>
      <c r="E69" s="91">
        <v>5050</v>
      </c>
      <c r="F69" s="95"/>
      <c r="G69" s="82"/>
      <c r="H69" s="82"/>
      <c r="I69" s="166"/>
      <c r="J69" s="264" t="s">
        <v>180</v>
      </c>
      <c r="K69" s="329">
        <f>Y69</f>
        <v>1150</v>
      </c>
      <c r="L69" s="435">
        <f>K69*0.9</f>
        <v>1035</v>
      </c>
      <c r="M69" s="398">
        <f>L69/$M$4</f>
        <v>808.59375</v>
      </c>
      <c r="N69" s="398" t="e">
        <f t="shared" si="49"/>
        <v>#NAME?</v>
      </c>
      <c r="O69" s="398" t="e">
        <f t="shared" si="49"/>
        <v>#NAME?</v>
      </c>
      <c r="P69" s="191"/>
      <c r="Q69" s="191"/>
      <c r="R69" s="192"/>
      <c r="S69" s="265" t="s">
        <v>184</v>
      </c>
      <c r="T69" s="280">
        <v>1</v>
      </c>
      <c r="U69" s="267">
        <v>1150</v>
      </c>
      <c r="V69" s="193"/>
      <c r="W69" s="329">
        <f>(T69*U69)</f>
        <v>1150</v>
      </c>
      <c r="X69" s="191"/>
      <c r="Y69" s="290">
        <f>W69</f>
        <v>1150</v>
      </c>
      <c r="Z69" s="191"/>
      <c r="AA69" s="190">
        <f>Y69/M$4</f>
        <v>898.4375</v>
      </c>
      <c r="AB69" s="191"/>
      <c r="AC69" s="191"/>
      <c r="AD69" s="192"/>
      <c r="AE69" s="265" t="s">
        <v>184</v>
      </c>
      <c r="AF69" s="266">
        <v>2</v>
      </c>
      <c r="AG69" s="267">
        <v>1150</v>
      </c>
      <c r="AH69" s="193"/>
      <c r="AI69" s="241">
        <f>(AF69*AG69)</f>
        <v>2300</v>
      </c>
      <c r="AJ69" s="191"/>
      <c r="AK69" s="290">
        <f>AI69</f>
        <v>2300</v>
      </c>
      <c r="AL69" s="191"/>
      <c r="AM69" s="190">
        <f>AK69/M$4</f>
        <v>1796.875</v>
      </c>
      <c r="AN69" s="191"/>
      <c r="AO69" s="191"/>
      <c r="AP69" s="191"/>
      <c r="AQ69" s="191"/>
      <c r="AR69" s="194" t="e">
        <f>AS69*$M$4</f>
        <v>#NAME?</v>
      </c>
      <c r="AS69" s="194" t="e">
        <f>AW69+BA69+BE69+BI69+BM69+BQ69+BU69+BY69</f>
        <v>#NAME?</v>
      </c>
      <c r="AT69" s="195" t="e">
        <v>#NAME?</v>
      </c>
      <c r="AU69" s="195" t="e">
        <v>#NAME?</v>
      </c>
      <c r="AV69" s="195" t="e">
        <v>#NAME?</v>
      </c>
      <c r="AW69" s="196" t="e">
        <f>SUM(AT69:AV69)</f>
        <v>#NAME?</v>
      </c>
      <c r="AX69" s="195" t="e">
        <v>#NAME?</v>
      </c>
      <c r="AY69" s="195" t="e">
        <v>#NAME?</v>
      </c>
      <c r="AZ69" s="195" t="e">
        <v>#NAME?</v>
      </c>
      <c r="BA69" s="196" t="e">
        <f>SUM(AX69:AZ69)</f>
        <v>#NAME?</v>
      </c>
      <c r="BB69" s="195" t="e">
        <v>#NAME?</v>
      </c>
      <c r="BC69" s="195" t="e">
        <v>#NAME?</v>
      </c>
      <c r="BD69" s="195" t="e">
        <v>#NAME?</v>
      </c>
      <c r="BE69" s="196" t="e">
        <f>SUM(BB69:BD69)</f>
        <v>#NAME?</v>
      </c>
      <c r="BF69" s="195" t="e">
        <v>#NAME?</v>
      </c>
      <c r="BG69" s="195" t="e">
        <v>#NAME?</v>
      </c>
      <c r="BH69" s="195" t="e">
        <v>#NAME?</v>
      </c>
      <c r="BI69" s="196" t="e">
        <f>SUM(BF69:BH69)</f>
        <v>#NAME?</v>
      </c>
      <c r="BJ69" s="195" t="e">
        <v>#NAME?</v>
      </c>
      <c r="BK69" s="195" t="e">
        <v>#NAME?</v>
      </c>
      <c r="BL69" s="195" t="e">
        <v>#NAME?</v>
      </c>
      <c r="BM69" s="196" t="e">
        <f>SUM(BJ69:BL69)</f>
        <v>#NAME?</v>
      </c>
      <c r="BN69" s="195" t="e">
        <v>#NAME?</v>
      </c>
      <c r="BO69" s="195" t="e">
        <v>#NAME?</v>
      </c>
      <c r="BP69" s="195" t="e">
        <v>#NAME?</v>
      </c>
      <c r="BQ69" s="196" t="e">
        <f>SUM(BM69:BP69)</f>
        <v>#NAME?</v>
      </c>
      <c r="BR69" s="195" t="e">
        <v>#NAME?</v>
      </c>
      <c r="BS69" s="195" t="e">
        <v>#NAME?</v>
      </c>
      <c r="BT69" s="195" t="e">
        <v>#NAME?</v>
      </c>
      <c r="BU69" s="196" t="e">
        <f>SUM(BQ69:BT69)</f>
        <v>#NAME?</v>
      </c>
      <c r="BV69" s="195" t="e">
        <v>#NAME?</v>
      </c>
      <c r="BW69" s="195" t="e">
        <v>#NAME?</v>
      </c>
      <c r="BX69" s="195" t="e">
        <v>#NAME?</v>
      </c>
      <c r="BY69" s="196" t="e">
        <f>SUM(BU69:BX69)</f>
        <v>#NAME?</v>
      </c>
    </row>
    <row r="70" spans="1:77" s="89" customFormat="1" ht="20.25" customHeight="1">
      <c r="A70" s="171"/>
      <c r="B70" s="172"/>
      <c r="C70" s="172"/>
      <c r="D70" s="172"/>
      <c r="E70" s="172"/>
      <c r="F70" s="172"/>
      <c r="I70" s="173"/>
      <c r="J70" s="186" t="str">
        <f>CONCATENATE("Subtotal ",J66)</f>
        <v>Subtotal 21. International Travel</v>
      </c>
      <c r="K70" s="363">
        <f>SUBTOTAL(9,K67:K69)</f>
        <v>4290</v>
      </c>
      <c r="L70" s="436">
        <f>SUBTOTAL(9,L67:L69)</f>
        <v>3861</v>
      </c>
      <c r="M70" s="399">
        <f>SUBTOTAL(9,M67:M69)</f>
        <v>3016.40625</v>
      </c>
      <c r="N70" s="399" t="e">
        <f>SUBTOTAL(9,N67:N69)</f>
        <v>#NAME?</v>
      </c>
      <c r="O70" s="399" t="e">
        <f>SUBTOTAL(9,O67:O69)</f>
        <v>#NAME?</v>
      </c>
      <c r="P70" s="193"/>
      <c r="Q70" s="193"/>
      <c r="R70" s="225"/>
      <c r="S70" s="193"/>
      <c r="T70" s="193"/>
      <c r="U70" s="224"/>
      <c r="V70" s="224"/>
      <c r="W70" s="330">
        <f>SUBTOTAL(9,W67:W69)</f>
        <v>4290</v>
      </c>
      <c r="X70" s="193"/>
      <c r="Y70" s="301">
        <f>SUBTOTAL(9,Y67:Y69)</f>
        <v>4290</v>
      </c>
      <c r="Z70" s="193"/>
      <c r="AA70" s="223">
        <f>SUBTOTAL(9,AA67:AA69)</f>
        <v>3351.5625</v>
      </c>
      <c r="AB70" s="193"/>
      <c r="AC70" s="193"/>
      <c r="AD70" s="225"/>
      <c r="AE70" s="193"/>
      <c r="AF70" s="193"/>
      <c r="AG70" s="224"/>
      <c r="AH70" s="224"/>
      <c r="AI70" s="242">
        <f>SUBTOTAL(9,AI67:AI69)</f>
        <v>13490</v>
      </c>
      <c r="AJ70" s="193"/>
      <c r="AK70" s="301">
        <f>SUBTOTAL(9,AK67:AK69)</f>
        <v>13490</v>
      </c>
      <c r="AL70" s="193"/>
      <c r="AM70" s="223">
        <f>SUBTOTAL(9,AM67:AM69)</f>
        <v>10539.0625</v>
      </c>
      <c r="AN70" s="193"/>
      <c r="AO70" s="193"/>
      <c r="AP70" s="193"/>
      <c r="AQ70" s="193"/>
      <c r="AR70" s="224" t="e">
        <f aca="true" t="shared" si="50" ref="AR70:BF70">SUBTOTAL(9,AR67:AR69)</f>
        <v>#NAME?</v>
      </c>
      <c r="AS70" s="224" t="e">
        <f t="shared" si="50"/>
        <v>#NAME?</v>
      </c>
      <c r="AT70" s="224" t="e">
        <f t="shared" si="50"/>
        <v>#NAME?</v>
      </c>
      <c r="AU70" s="224" t="e">
        <f t="shared" si="50"/>
        <v>#NAME?</v>
      </c>
      <c r="AV70" s="224" t="e">
        <f t="shared" si="50"/>
        <v>#NAME?</v>
      </c>
      <c r="AW70" s="224" t="e">
        <f t="shared" si="50"/>
        <v>#NAME?</v>
      </c>
      <c r="AX70" s="224" t="e">
        <f t="shared" si="50"/>
        <v>#NAME?</v>
      </c>
      <c r="AY70" s="224" t="e">
        <f t="shared" si="50"/>
        <v>#NAME?</v>
      </c>
      <c r="AZ70" s="224" t="e">
        <f t="shared" si="50"/>
        <v>#NAME?</v>
      </c>
      <c r="BA70" s="224" t="e">
        <f t="shared" si="50"/>
        <v>#NAME?</v>
      </c>
      <c r="BB70" s="224" t="e">
        <f t="shared" si="50"/>
        <v>#NAME?</v>
      </c>
      <c r="BC70" s="224" t="e">
        <f t="shared" si="50"/>
        <v>#NAME?</v>
      </c>
      <c r="BD70" s="224" t="e">
        <f t="shared" si="50"/>
        <v>#NAME?</v>
      </c>
      <c r="BE70" s="224" t="e">
        <f t="shared" si="50"/>
        <v>#NAME?</v>
      </c>
      <c r="BF70" s="224" t="e">
        <f t="shared" si="50"/>
        <v>#NAME?</v>
      </c>
      <c r="BG70" s="224" t="e">
        <f aca="true" t="shared" si="51" ref="BG70:BY70">SUBTOTAL(9,BG67:BG69)</f>
        <v>#NAME?</v>
      </c>
      <c r="BH70" s="224" t="e">
        <f t="shared" si="51"/>
        <v>#NAME?</v>
      </c>
      <c r="BI70" s="224" t="e">
        <f t="shared" si="51"/>
        <v>#NAME?</v>
      </c>
      <c r="BJ70" s="224" t="e">
        <f t="shared" si="51"/>
        <v>#NAME?</v>
      </c>
      <c r="BK70" s="224" t="e">
        <f t="shared" si="51"/>
        <v>#NAME?</v>
      </c>
      <c r="BL70" s="224" t="e">
        <f t="shared" si="51"/>
        <v>#NAME?</v>
      </c>
      <c r="BM70" s="224" t="e">
        <f t="shared" si="51"/>
        <v>#NAME?</v>
      </c>
      <c r="BN70" s="224" t="e">
        <f t="shared" si="51"/>
        <v>#NAME?</v>
      </c>
      <c r="BO70" s="224" t="e">
        <f t="shared" si="51"/>
        <v>#NAME?</v>
      </c>
      <c r="BP70" s="224" t="e">
        <f t="shared" si="51"/>
        <v>#NAME?</v>
      </c>
      <c r="BQ70" s="224" t="e">
        <f t="shared" si="51"/>
        <v>#NAME?</v>
      </c>
      <c r="BR70" s="224" t="e">
        <f t="shared" si="51"/>
        <v>#NAME?</v>
      </c>
      <c r="BS70" s="224" t="e">
        <f t="shared" si="51"/>
        <v>#NAME?</v>
      </c>
      <c r="BT70" s="224" t="e">
        <f t="shared" si="51"/>
        <v>#NAME?</v>
      </c>
      <c r="BU70" s="224" t="e">
        <f t="shared" si="51"/>
        <v>#NAME?</v>
      </c>
      <c r="BV70" s="224" t="e">
        <f t="shared" si="51"/>
        <v>#NAME?</v>
      </c>
      <c r="BW70" s="224" t="e">
        <f t="shared" si="51"/>
        <v>#NAME?</v>
      </c>
      <c r="BX70" s="224" t="e">
        <f t="shared" si="51"/>
        <v>#NAME?</v>
      </c>
      <c r="BY70" s="224" t="e">
        <f t="shared" si="51"/>
        <v>#NAME?</v>
      </c>
    </row>
    <row r="71" spans="1:77" s="89" customFormat="1" ht="20.25" customHeight="1">
      <c r="A71" s="171"/>
      <c r="B71" s="172"/>
      <c r="C71" s="172"/>
      <c r="D71" s="172"/>
      <c r="E71" s="172"/>
      <c r="F71" s="172"/>
      <c r="I71" s="173"/>
      <c r="J71" s="186"/>
      <c r="K71" s="363"/>
      <c r="L71" s="436"/>
      <c r="M71" s="399"/>
      <c r="N71" s="399"/>
      <c r="O71" s="399"/>
      <c r="P71" s="193"/>
      <c r="Q71" s="193"/>
      <c r="R71" s="225"/>
      <c r="S71" s="193"/>
      <c r="T71" s="193"/>
      <c r="U71" s="224"/>
      <c r="V71" s="224"/>
      <c r="W71" s="330"/>
      <c r="X71" s="193"/>
      <c r="Y71" s="301"/>
      <c r="Z71" s="193"/>
      <c r="AA71" s="223"/>
      <c r="AB71" s="193"/>
      <c r="AC71" s="193"/>
      <c r="AD71" s="225"/>
      <c r="AE71" s="193"/>
      <c r="AF71" s="193"/>
      <c r="AG71" s="224"/>
      <c r="AH71" s="224"/>
      <c r="AI71" s="242"/>
      <c r="AJ71" s="193"/>
      <c r="AK71" s="301"/>
      <c r="AL71" s="193"/>
      <c r="AM71" s="223"/>
      <c r="AN71" s="193"/>
      <c r="AO71" s="193"/>
      <c r="AP71" s="193"/>
      <c r="AQ71" s="193"/>
      <c r="AR71" s="224"/>
      <c r="AS71" s="224"/>
      <c r="AT71" s="224"/>
      <c r="AU71" s="224"/>
      <c r="AV71" s="224"/>
      <c r="AW71" s="224"/>
      <c r="AX71" s="224"/>
      <c r="AY71" s="224"/>
      <c r="AZ71" s="224"/>
      <c r="BA71" s="224"/>
      <c r="BB71" s="224"/>
      <c r="BC71" s="224"/>
      <c r="BD71" s="224"/>
      <c r="BE71" s="224"/>
      <c r="BF71" s="224"/>
      <c r="BG71" s="224"/>
      <c r="BH71" s="224"/>
      <c r="BI71" s="224"/>
      <c r="BJ71" s="224"/>
      <c r="BK71" s="224"/>
      <c r="BL71" s="224"/>
      <c r="BM71" s="224"/>
      <c r="BN71" s="224"/>
      <c r="BO71" s="224"/>
      <c r="BP71" s="224"/>
      <c r="BQ71" s="224"/>
      <c r="BR71" s="224"/>
      <c r="BS71" s="224"/>
      <c r="BT71" s="224"/>
      <c r="BU71" s="224"/>
      <c r="BV71" s="224"/>
      <c r="BW71" s="224"/>
      <c r="BX71" s="224"/>
      <c r="BY71" s="224"/>
    </row>
    <row r="72" spans="1:77" s="89" customFormat="1" ht="15.75">
      <c r="A72" s="171"/>
      <c r="B72" s="172"/>
      <c r="C72" s="172"/>
      <c r="D72" s="172"/>
      <c r="E72" s="172"/>
      <c r="F72" s="172"/>
      <c r="I72" s="173"/>
      <c r="J72" s="186" t="s">
        <v>177</v>
      </c>
      <c r="K72" s="363"/>
      <c r="L72" s="436"/>
      <c r="M72" s="399"/>
      <c r="N72" s="399"/>
      <c r="O72" s="399"/>
      <c r="P72" s="193"/>
      <c r="Q72" s="193"/>
      <c r="R72" s="225"/>
      <c r="S72" s="193"/>
      <c r="T72" s="193"/>
      <c r="U72" s="224"/>
      <c r="V72" s="224"/>
      <c r="W72" s="330"/>
      <c r="X72" s="193"/>
      <c r="Y72" s="301"/>
      <c r="Z72" s="193"/>
      <c r="AA72" s="223"/>
      <c r="AB72" s="193"/>
      <c r="AC72" s="193"/>
      <c r="AD72" s="225"/>
      <c r="AE72" s="193"/>
      <c r="AF72" s="193"/>
      <c r="AG72" s="224"/>
      <c r="AH72" s="224"/>
      <c r="AI72" s="242"/>
      <c r="AJ72" s="193"/>
      <c r="AK72" s="301"/>
      <c r="AL72" s="193"/>
      <c r="AM72" s="223"/>
      <c r="AN72" s="193"/>
      <c r="AO72" s="193"/>
      <c r="AP72" s="193"/>
      <c r="AQ72" s="193"/>
      <c r="AR72" s="224"/>
      <c r="AS72" s="224"/>
      <c r="AT72" s="224"/>
      <c r="AU72" s="224"/>
      <c r="AV72" s="224"/>
      <c r="AW72" s="224"/>
      <c r="AX72" s="224"/>
      <c r="AY72" s="224"/>
      <c r="AZ72" s="224"/>
      <c r="BA72" s="224"/>
      <c r="BB72" s="224"/>
      <c r="BC72" s="224"/>
      <c r="BD72" s="224"/>
      <c r="BE72" s="224"/>
      <c r="BF72" s="224"/>
      <c r="BG72" s="224"/>
      <c r="BH72" s="224"/>
      <c r="BI72" s="224"/>
      <c r="BJ72" s="224"/>
      <c r="BK72" s="224"/>
      <c r="BL72" s="224"/>
      <c r="BM72" s="224"/>
      <c r="BN72" s="224"/>
      <c r="BO72" s="224"/>
      <c r="BP72" s="224"/>
      <c r="BQ72" s="224"/>
      <c r="BR72" s="224"/>
      <c r="BS72" s="224"/>
      <c r="BT72" s="224"/>
      <c r="BU72" s="224"/>
      <c r="BV72" s="224"/>
      <c r="BW72" s="224"/>
      <c r="BX72" s="224"/>
      <c r="BY72" s="224"/>
    </row>
    <row r="73" spans="1:77" s="89" customFormat="1" ht="15.75">
      <c r="A73" s="124" t="s">
        <v>86</v>
      </c>
      <c r="B73" s="90"/>
      <c r="C73" s="90"/>
      <c r="D73" s="81"/>
      <c r="E73" s="91">
        <v>5050</v>
      </c>
      <c r="F73" s="95"/>
      <c r="G73" s="82"/>
      <c r="H73" s="82"/>
      <c r="I73" s="166"/>
      <c r="J73" s="264" t="s">
        <v>181</v>
      </c>
      <c r="K73" s="329">
        <f>Y73</f>
        <v>3360</v>
      </c>
      <c r="L73" s="435">
        <f>K73*0.9</f>
        <v>3024</v>
      </c>
      <c r="M73" s="398">
        <f>L73/$M$4</f>
        <v>2362.5</v>
      </c>
      <c r="N73" s="398" t="e">
        <f aca="true" t="shared" si="52" ref="N73:O75">L73-AR73</f>
        <v>#NAME?</v>
      </c>
      <c r="O73" s="398" t="e">
        <f t="shared" si="52"/>
        <v>#NAME?</v>
      </c>
      <c r="P73" s="191"/>
      <c r="Q73" s="191"/>
      <c r="R73" s="192"/>
      <c r="S73" s="265">
        <f>P73</f>
        <v>0</v>
      </c>
      <c r="T73" s="266">
        <v>3</v>
      </c>
      <c r="U73" s="258">
        <v>1120</v>
      </c>
      <c r="V73" s="193"/>
      <c r="W73" s="329">
        <f>(T73*U73)</f>
        <v>3360</v>
      </c>
      <c r="X73" s="191"/>
      <c r="Y73" s="290">
        <f>W73</f>
        <v>3360</v>
      </c>
      <c r="Z73" s="191"/>
      <c r="AA73" s="190">
        <f>Y73/M$4</f>
        <v>2625</v>
      </c>
      <c r="AB73" s="191"/>
      <c r="AC73" s="191"/>
      <c r="AD73" s="192"/>
      <c r="AE73" s="265" t="s">
        <v>184</v>
      </c>
      <c r="AF73" s="266">
        <v>9</v>
      </c>
      <c r="AG73" s="267">
        <v>1120</v>
      </c>
      <c r="AH73" s="193"/>
      <c r="AI73" s="241">
        <f>(AF73*AG73)</f>
        <v>10080</v>
      </c>
      <c r="AJ73" s="191"/>
      <c r="AK73" s="290">
        <f>AI73</f>
        <v>10080</v>
      </c>
      <c r="AL73" s="191"/>
      <c r="AM73" s="190">
        <f>AK73/M$4</f>
        <v>7875</v>
      </c>
      <c r="AN73" s="191"/>
      <c r="AO73" s="191"/>
      <c r="AP73" s="191"/>
      <c r="AQ73" s="191"/>
      <c r="AR73" s="194" t="e">
        <f>AS73*$M$4</f>
        <v>#NAME?</v>
      </c>
      <c r="AS73" s="194" t="e">
        <f>AW73+BA73+BE73+BI73+BM73+BQ73+BU73+BY73</f>
        <v>#NAME?</v>
      </c>
      <c r="AT73" s="195" t="e">
        <v>#NAME?</v>
      </c>
      <c r="AU73" s="195" t="e">
        <v>#NAME?</v>
      </c>
      <c r="AV73" s="195" t="e">
        <v>#NAME?</v>
      </c>
      <c r="AW73" s="196" t="e">
        <f>SUM(AT73:AV73)</f>
        <v>#NAME?</v>
      </c>
      <c r="AX73" s="195" t="e">
        <v>#NAME?</v>
      </c>
      <c r="AY73" s="195" t="e">
        <v>#NAME?</v>
      </c>
      <c r="AZ73" s="195" t="e">
        <v>#NAME?</v>
      </c>
      <c r="BA73" s="196" t="e">
        <f>SUM(AX73:AZ73)</f>
        <v>#NAME?</v>
      </c>
      <c r="BB73" s="195" t="e">
        <v>#NAME?</v>
      </c>
      <c r="BC73" s="195" t="e">
        <v>#NAME?</v>
      </c>
      <c r="BD73" s="195" t="e">
        <v>#NAME?</v>
      </c>
      <c r="BE73" s="196" t="e">
        <f>SUM(BB73:BD73)</f>
        <v>#NAME?</v>
      </c>
      <c r="BF73" s="195" t="e">
        <v>#NAME?</v>
      </c>
      <c r="BG73" s="195" t="e">
        <v>#NAME?</v>
      </c>
      <c r="BH73" s="195" t="e">
        <v>#NAME?</v>
      </c>
      <c r="BI73" s="196" t="e">
        <f>SUM(BF73:BH73)</f>
        <v>#NAME?</v>
      </c>
      <c r="BJ73" s="195" t="e">
        <v>#NAME?</v>
      </c>
      <c r="BK73" s="195" t="e">
        <v>#NAME?</v>
      </c>
      <c r="BL73" s="195" t="e">
        <v>#NAME?</v>
      </c>
      <c r="BM73" s="196" t="e">
        <f>SUM(BJ73:BL73)</f>
        <v>#NAME?</v>
      </c>
      <c r="BN73" s="195" t="e">
        <v>#NAME?</v>
      </c>
      <c r="BO73" s="195" t="e">
        <v>#NAME?</v>
      </c>
      <c r="BP73" s="195" t="e">
        <v>#NAME?</v>
      </c>
      <c r="BQ73" s="196" t="e">
        <f>SUM(BM73:BP73)</f>
        <v>#NAME?</v>
      </c>
      <c r="BR73" s="195" t="e">
        <v>#NAME?</v>
      </c>
      <c r="BS73" s="195" t="e">
        <v>#NAME?</v>
      </c>
      <c r="BT73" s="195" t="e">
        <v>#NAME?</v>
      </c>
      <c r="BU73" s="196" t="e">
        <f>SUM(BQ73:BT73)</f>
        <v>#NAME?</v>
      </c>
      <c r="BV73" s="195" t="e">
        <v>#NAME?</v>
      </c>
      <c r="BW73" s="195" t="e">
        <v>#NAME?</v>
      </c>
      <c r="BX73" s="195" t="e">
        <v>#NAME?</v>
      </c>
      <c r="BY73" s="196" t="e">
        <f>SUM(BU73:BX73)</f>
        <v>#NAME?</v>
      </c>
    </row>
    <row r="74" spans="1:77" s="89" customFormat="1" ht="15.75">
      <c r="A74" s="124" t="s">
        <v>87</v>
      </c>
      <c r="B74" s="90"/>
      <c r="C74" s="90"/>
      <c r="D74" s="81"/>
      <c r="E74" s="91">
        <v>5050</v>
      </c>
      <c r="F74" s="95"/>
      <c r="G74" s="82"/>
      <c r="H74" s="82"/>
      <c r="I74" s="166"/>
      <c r="J74" s="264" t="s">
        <v>182</v>
      </c>
      <c r="K74" s="329">
        <f>Y74</f>
        <v>480</v>
      </c>
      <c r="L74" s="435">
        <f>K74*0.9</f>
        <v>432</v>
      </c>
      <c r="M74" s="398">
        <f>L74/$M$4</f>
        <v>337.5</v>
      </c>
      <c r="N74" s="398" t="e">
        <f t="shared" si="52"/>
        <v>#NAME?</v>
      </c>
      <c r="O74" s="398" t="e">
        <f t="shared" si="52"/>
        <v>#NAME?</v>
      </c>
      <c r="P74" s="191"/>
      <c r="Q74" s="191"/>
      <c r="R74" s="192"/>
      <c r="S74" s="268">
        <f>P74</f>
        <v>0</v>
      </c>
      <c r="T74" s="280">
        <v>4</v>
      </c>
      <c r="U74" s="281">
        <v>120</v>
      </c>
      <c r="V74" s="193"/>
      <c r="W74" s="329">
        <f>(T74*U74)</f>
        <v>480</v>
      </c>
      <c r="X74" s="191"/>
      <c r="Y74" s="290">
        <f>W74</f>
        <v>480</v>
      </c>
      <c r="Z74" s="191"/>
      <c r="AA74" s="190">
        <f>Y74/M$4</f>
        <v>375</v>
      </c>
      <c r="AB74" s="191"/>
      <c r="AC74" s="191"/>
      <c r="AD74" s="192"/>
      <c r="AE74" s="265" t="s">
        <v>185</v>
      </c>
      <c r="AF74" s="266">
        <v>45</v>
      </c>
      <c r="AG74" s="267">
        <v>120</v>
      </c>
      <c r="AH74" s="193"/>
      <c r="AI74" s="241">
        <f>(AF74*AG74)</f>
        <v>5400</v>
      </c>
      <c r="AJ74" s="191"/>
      <c r="AK74" s="290">
        <f>AI74</f>
        <v>5400</v>
      </c>
      <c r="AL74" s="191"/>
      <c r="AM74" s="190">
        <f>AK74/M$4</f>
        <v>4218.75</v>
      </c>
      <c r="AN74" s="191"/>
      <c r="AO74" s="191"/>
      <c r="AP74" s="191"/>
      <c r="AQ74" s="191"/>
      <c r="AR74" s="194" t="e">
        <f>AS74*$M$4</f>
        <v>#NAME?</v>
      </c>
      <c r="AS74" s="194" t="e">
        <f>AW74+BA74+BE74+BI74+BM74+BQ74+BU74+BY74</f>
        <v>#NAME?</v>
      </c>
      <c r="AT74" s="195" t="e">
        <v>#NAME?</v>
      </c>
      <c r="AU74" s="195" t="e">
        <v>#NAME?</v>
      </c>
      <c r="AV74" s="195" t="e">
        <v>#NAME?</v>
      </c>
      <c r="AW74" s="196" t="e">
        <f>SUM(AT74:AV74)</f>
        <v>#NAME?</v>
      </c>
      <c r="AX74" s="195" t="e">
        <v>#NAME?</v>
      </c>
      <c r="AY74" s="195" t="e">
        <v>#NAME?</v>
      </c>
      <c r="AZ74" s="195" t="e">
        <v>#NAME?</v>
      </c>
      <c r="BA74" s="196" t="e">
        <f>SUM(AX74:AZ74)</f>
        <v>#NAME?</v>
      </c>
      <c r="BB74" s="195" t="e">
        <v>#NAME?</v>
      </c>
      <c r="BC74" s="195" t="e">
        <v>#NAME?</v>
      </c>
      <c r="BD74" s="195" t="e">
        <v>#NAME?</v>
      </c>
      <c r="BE74" s="196" t="e">
        <f>SUM(BB74:BD74)</f>
        <v>#NAME?</v>
      </c>
      <c r="BF74" s="195" t="e">
        <v>#NAME?</v>
      </c>
      <c r="BG74" s="195" t="e">
        <v>#NAME?</v>
      </c>
      <c r="BH74" s="195" t="e">
        <v>#NAME?</v>
      </c>
      <c r="BI74" s="196" t="e">
        <f>SUM(BF74:BH74)</f>
        <v>#NAME?</v>
      </c>
      <c r="BJ74" s="195" t="e">
        <v>#NAME?</v>
      </c>
      <c r="BK74" s="195" t="e">
        <v>#NAME?</v>
      </c>
      <c r="BL74" s="195" t="e">
        <v>#NAME?</v>
      </c>
      <c r="BM74" s="196" t="e">
        <f>SUM(BJ74:BL74)</f>
        <v>#NAME?</v>
      </c>
      <c r="BN74" s="195" t="e">
        <v>#NAME?</v>
      </c>
      <c r="BO74" s="195" t="e">
        <v>#NAME?</v>
      </c>
      <c r="BP74" s="195" t="e">
        <v>#NAME?</v>
      </c>
      <c r="BQ74" s="196" t="e">
        <f>SUM(BM74:BP74)</f>
        <v>#NAME?</v>
      </c>
      <c r="BR74" s="195" t="e">
        <v>#NAME?</v>
      </c>
      <c r="BS74" s="195" t="e">
        <v>#NAME?</v>
      </c>
      <c r="BT74" s="195" t="e">
        <v>#NAME?</v>
      </c>
      <c r="BU74" s="196" t="e">
        <f>SUM(BQ74:BT74)</f>
        <v>#NAME?</v>
      </c>
      <c r="BV74" s="195" t="e">
        <v>#NAME?</v>
      </c>
      <c r="BW74" s="195" t="e">
        <v>#NAME?</v>
      </c>
      <c r="BX74" s="195" t="e">
        <v>#NAME?</v>
      </c>
      <c r="BY74" s="196" t="e">
        <f>SUM(BU74:BX74)</f>
        <v>#NAME?</v>
      </c>
    </row>
    <row r="75" spans="1:77" s="89" customFormat="1" ht="15.75">
      <c r="A75" s="124" t="s">
        <v>88</v>
      </c>
      <c r="B75" s="90"/>
      <c r="C75" s="90"/>
      <c r="D75" s="81"/>
      <c r="E75" s="91">
        <v>5050</v>
      </c>
      <c r="F75" s="95"/>
      <c r="G75" s="82"/>
      <c r="H75" s="82"/>
      <c r="I75" s="166"/>
      <c r="J75" s="263" t="s">
        <v>183</v>
      </c>
      <c r="K75" s="329">
        <f>Y75</f>
        <v>1200</v>
      </c>
      <c r="L75" s="435">
        <f>K75*0.9</f>
        <v>1080</v>
      </c>
      <c r="M75" s="398">
        <f>L75/$M$4</f>
        <v>843.75</v>
      </c>
      <c r="N75" s="398" t="e">
        <f t="shared" si="52"/>
        <v>#NAME?</v>
      </c>
      <c r="O75" s="398" t="e">
        <f t="shared" si="52"/>
        <v>#NAME?</v>
      </c>
      <c r="P75" s="191"/>
      <c r="Q75" s="191"/>
      <c r="R75" s="192"/>
      <c r="S75" s="268">
        <f>P75</f>
        <v>0</v>
      </c>
      <c r="T75" s="280">
        <v>12</v>
      </c>
      <c r="U75" s="281">
        <v>100</v>
      </c>
      <c r="V75" s="193"/>
      <c r="W75" s="329">
        <f>(T75*U75)</f>
        <v>1200</v>
      </c>
      <c r="X75" s="191"/>
      <c r="Y75" s="290">
        <f>W75</f>
        <v>1200</v>
      </c>
      <c r="Z75" s="191"/>
      <c r="AA75" s="190">
        <f>Y75/M$4</f>
        <v>937.5</v>
      </c>
      <c r="AB75" s="191"/>
      <c r="AC75" s="191"/>
      <c r="AD75" s="192"/>
      <c r="AE75" s="268" t="s">
        <v>155</v>
      </c>
      <c r="AF75" s="280">
        <v>36</v>
      </c>
      <c r="AG75" s="316">
        <v>100</v>
      </c>
      <c r="AH75" s="193"/>
      <c r="AI75" s="241">
        <f>(AF75*AG75)</f>
        <v>3600</v>
      </c>
      <c r="AJ75" s="191"/>
      <c r="AK75" s="290">
        <f>AI75</f>
        <v>3600</v>
      </c>
      <c r="AL75" s="191"/>
      <c r="AM75" s="190">
        <f>AK75/M$4</f>
        <v>2812.5</v>
      </c>
      <c r="AN75" s="191"/>
      <c r="AO75" s="191"/>
      <c r="AP75" s="191"/>
      <c r="AQ75" s="191"/>
      <c r="AR75" s="194" t="e">
        <f>AS75*$M$4</f>
        <v>#NAME?</v>
      </c>
      <c r="AS75" s="194" t="e">
        <f>AW75+BA75+BE75+BI75+BM75+BQ75+BU75+BY75</f>
        <v>#NAME?</v>
      </c>
      <c r="AT75" s="195" t="e">
        <v>#NAME?</v>
      </c>
      <c r="AU75" s="195" t="e">
        <v>#NAME?</v>
      </c>
      <c r="AV75" s="195" t="e">
        <v>#NAME?</v>
      </c>
      <c r="AW75" s="196" t="e">
        <f>SUM(AT75:AV75)</f>
        <v>#NAME?</v>
      </c>
      <c r="AX75" s="195" t="e">
        <v>#NAME?</v>
      </c>
      <c r="AY75" s="195" t="e">
        <v>#NAME?</v>
      </c>
      <c r="AZ75" s="195" t="e">
        <v>#NAME?</v>
      </c>
      <c r="BA75" s="196" t="e">
        <f>SUM(AX75:AZ75)</f>
        <v>#NAME?</v>
      </c>
      <c r="BB75" s="195" t="e">
        <v>#NAME?</v>
      </c>
      <c r="BC75" s="195" t="e">
        <v>#NAME?</v>
      </c>
      <c r="BD75" s="195" t="e">
        <v>#NAME?</v>
      </c>
      <c r="BE75" s="196" t="e">
        <f>SUM(BB75:BD75)</f>
        <v>#NAME?</v>
      </c>
      <c r="BF75" s="195" t="e">
        <v>#NAME?</v>
      </c>
      <c r="BG75" s="195" t="e">
        <v>#NAME?</v>
      </c>
      <c r="BH75" s="195" t="e">
        <v>#NAME?</v>
      </c>
      <c r="BI75" s="196" t="e">
        <f>SUM(BF75:BH75)</f>
        <v>#NAME?</v>
      </c>
      <c r="BJ75" s="195" t="e">
        <v>#NAME?</v>
      </c>
      <c r="BK75" s="195" t="e">
        <v>#NAME?</v>
      </c>
      <c r="BL75" s="195" t="e">
        <v>#NAME?</v>
      </c>
      <c r="BM75" s="196" t="e">
        <f>SUM(BJ75:BL75)</f>
        <v>#NAME?</v>
      </c>
      <c r="BN75" s="195" t="e">
        <v>#NAME?</v>
      </c>
      <c r="BO75" s="195" t="e">
        <v>#NAME?</v>
      </c>
      <c r="BP75" s="195" t="e">
        <v>#NAME?</v>
      </c>
      <c r="BQ75" s="196" t="e">
        <f>SUM(BM75:BP75)</f>
        <v>#NAME?</v>
      </c>
      <c r="BR75" s="195" t="e">
        <v>#NAME?</v>
      </c>
      <c r="BS75" s="195" t="e">
        <v>#NAME?</v>
      </c>
      <c r="BT75" s="195" t="e">
        <v>#NAME?</v>
      </c>
      <c r="BU75" s="196" t="e">
        <f>SUM(BQ75:BT75)</f>
        <v>#NAME?</v>
      </c>
      <c r="BV75" s="195" t="e">
        <v>#NAME?</v>
      </c>
      <c r="BW75" s="195" t="e">
        <v>#NAME?</v>
      </c>
      <c r="BX75" s="195" t="e">
        <v>#NAME?</v>
      </c>
      <c r="BY75" s="196" t="e">
        <f>SUM(BU75:BX75)</f>
        <v>#NAME?</v>
      </c>
    </row>
    <row r="76" spans="1:77" s="89" customFormat="1" ht="20.25" customHeight="1">
      <c r="A76" s="171"/>
      <c r="B76" s="172"/>
      <c r="C76" s="172"/>
      <c r="D76" s="172"/>
      <c r="E76" s="172"/>
      <c r="F76" s="172"/>
      <c r="I76" s="173"/>
      <c r="J76" s="186" t="str">
        <f>CONCATENATE("Subtotal ",J72)</f>
        <v>Subtotal 2.2 Local transportation</v>
      </c>
      <c r="K76" s="363">
        <f>SUBTOTAL(9,K73:K75)</f>
        <v>5040</v>
      </c>
      <c r="L76" s="436">
        <f>SUBTOTAL(9,L73:L75)</f>
        <v>4536</v>
      </c>
      <c r="M76" s="399">
        <f>SUBTOTAL(9,M73:M75)</f>
        <v>3543.75</v>
      </c>
      <c r="N76" s="399" t="e">
        <f>SUBTOTAL(9,N73:N75)</f>
        <v>#NAME?</v>
      </c>
      <c r="O76" s="399" t="e">
        <f>SUBTOTAL(9,O73:O75)</f>
        <v>#NAME?</v>
      </c>
      <c r="P76" s="193"/>
      <c r="Q76" s="193"/>
      <c r="R76" s="225"/>
      <c r="S76" s="193"/>
      <c r="T76" s="193"/>
      <c r="U76" s="224"/>
      <c r="V76" s="224"/>
      <c r="W76" s="330">
        <f>SUBTOTAL(9,W73:W75)</f>
        <v>5040</v>
      </c>
      <c r="X76" s="193"/>
      <c r="Y76" s="301">
        <f>SUBTOTAL(9,Y73:Y75)</f>
        <v>5040</v>
      </c>
      <c r="Z76" s="193"/>
      <c r="AA76" s="223">
        <f>SUBTOTAL(9,AA73:AA75)</f>
        <v>3937.5</v>
      </c>
      <c r="AB76" s="193"/>
      <c r="AC76" s="193"/>
      <c r="AD76" s="225"/>
      <c r="AE76" s="193"/>
      <c r="AF76" s="193"/>
      <c r="AG76" s="224"/>
      <c r="AH76" s="224"/>
      <c r="AI76" s="242">
        <f>SUBTOTAL(9,AI73:AI75)</f>
        <v>19080</v>
      </c>
      <c r="AJ76" s="193"/>
      <c r="AK76" s="301">
        <f>SUBTOTAL(9,AK73:AK75)</f>
        <v>19080</v>
      </c>
      <c r="AL76" s="193"/>
      <c r="AM76" s="223">
        <f>SUBTOTAL(9,AM73:AM75)</f>
        <v>14906.25</v>
      </c>
      <c r="AN76" s="193"/>
      <c r="AO76" s="193"/>
      <c r="AP76" s="193"/>
      <c r="AQ76" s="193"/>
      <c r="AR76" s="224" t="e">
        <f aca="true" t="shared" si="53" ref="AR76:BF76">SUBTOTAL(9,AR73:AR75)</f>
        <v>#NAME?</v>
      </c>
      <c r="AS76" s="224" t="e">
        <f t="shared" si="53"/>
        <v>#NAME?</v>
      </c>
      <c r="AT76" s="224" t="e">
        <f t="shared" si="53"/>
        <v>#NAME?</v>
      </c>
      <c r="AU76" s="224" t="e">
        <f t="shared" si="53"/>
        <v>#NAME?</v>
      </c>
      <c r="AV76" s="224" t="e">
        <f t="shared" si="53"/>
        <v>#NAME?</v>
      </c>
      <c r="AW76" s="224" t="e">
        <f t="shared" si="53"/>
        <v>#NAME?</v>
      </c>
      <c r="AX76" s="224" t="e">
        <f t="shared" si="53"/>
        <v>#NAME?</v>
      </c>
      <c r="AY76" s="224" t="e">
        <f t="shared" si="53"/>
        <v>#NAME?</v>
      </c>
      <c r="AZ76" s="224" t="e">
        <f t="shared" si="53"/>
        <v>#NAME?</v>
      </c>
      <c r="BA76" s="224" t="e">
        <f t="shared" si="53"/>
        <v>#NAME?</v>
      </c>
      <c r="BB76" s="224" t="e">
        <f t="shared" si="53"/>
        <v>#NAME?</v>
      </c>
      <c r="BC76" s="224" t="e">
        <f t="shared" si="53"/>
        <v>#NAME?</v>
      </c>
      <c r="BD76" s="224" t="e">
        <f t="shared" si="53"/>
        <v>#NAME?</v>
      </c>
      <c r="BE76" s="224" t="e">
        <f t="shared" si="53"/>
        <v>#NAME?</v>
      </c>
      <c r="BF76" s="224" t="e">
        <f t="shared" si="53"/>
        <v>#NAME?</v>
      </c>
      <c r="BG76" s="224" t="e">
        <f aca="true" t="shared" si="54" ref="BG76:BY76">SUBTOTAL(9,BG73:BG75)</f>
        <v>#NAME?</v>
      </c>
      <c r="BH76" s="224" t="e">
        <f t="shared" si="54"/>
        <v>#NAME?</v>
      </c>
      <c r="BI76" s="224" t="e">
        <f t="shared" si="54"/>
        <v>#NAME?</v>
      </c>
      <c r="BJ76" s="224" t="e">
        <f t="shared" si="54"/>
        <v>#NAME?</v>
      </c>
      <c r="BK76" s="224" t="e">
        <f t="shared" si="54"/>
        <v>#NAME?</v>
      </c>
      <c r="BL76" s="224" t="e">
        <f t="shared" si="54"/>
        <v>#NAME?</v>
      </c>
      <c r="BM76" s="224" t="e">
        <f t="shared" si="54"/>
        <v>#NAME?</v>
      </c>
      <c r="BN76" s="224" t="e">
        <f t="shared" si="54"/>
        <v>#NAME?</v>
      </c>
      <c r="BO76" s="224" t="e">
        <f t="shared" si="54"/>
        <v>#NAME?</v>
      </c>
      <c r="BP76" s="224" t="e">
        <f t="shared" si="54"/>
        <v>#NAME?</v>
      </c>
      <c r="BQ76" s="224" t="e">
        <f t="shared" si="54"/>
        <v>#NAME?</v>
      </c>
      <c r="BR76" s="224" t="e">
        <f t="shared" si="54"/>
        <v>#NAME?</v>
      </c>
      <c r="BS76" s="224" t="e">
        <f t="shared" si="54"/>
        <v>#NAME?</v>
      </c>
      <c r="BT76" s="224" t="e">
        <f t="shared" si="54"/>
        <v>#NAME?</v>
      </c>
      <c r="BU76" s="224" t="e">
        <f t="shared" si="54"/>
        <v>#NAME?</v>
      </c>
      <c r="BV76" s="224" t="e">
        <f t="shared" si="54"/>
        <v>#NAME?</v>
      </c>
      <c r="BW76" s="224" t="e">
        <f t="shared" si="54"/>
        <v>#NAME?</v>
      </c>
      <c r="BX76" s="224" t="e">
        <f t="shared" si="54"/>
        <v>#NAME?</v>
      </c>
      <c r="BY76" s="224" t="e">
        <f t="shared" si="54"/>
        <v>#NAME?</v>
      </c>
    </row>
    <row r="77" spans="1:77" s="89" customFormat="1" ht="15.75">
      <c r="A77" s="171"/>
      <c r="B77" s="172"/>
      <c r="C77" s="172"/>
      <c r="D77" s="172"/>
      <c r="E77" s="172"/>
      <c r="F77" s="172"/>
      <c r="I77" s="173"/>
      <c r="J77" s="186"/>
      <c r="K77" s="363"/>
      <c r="L77" s="436"/>
      <c r="M77" s="399"/>
      <c r="N77" s="399"/>
      <c r="O77" s="399"/>
      <c r="P77" s="193"/>
      <c r="Q77" s="193"/>
      <c r="R77" s="225"/>
      <c r="S77" s="193"/>
      <c r="T77" s="193"/>
      <c r="U77" s="224"/>
      <c r="V77" s="224"/>
      <c r="W77" s="330"/>
      <c r="X77" s="193"/>
      <c r="Y77" s="301"/>
      <c r="Z77" s="193"/>
      <c r="AA77" s="223"/>
      <c r="AB77" s="193"/>
      <c r="AC77" s="193"/>
      <c r="AD77" s="225"/>
      <c r="AE77" s="193"/>
      <c r="AF77" s="193"/>
      <c r="AG77" s="224"/>
      <c r="AH77" s="224"/>
      <c r="AI77" s="242"/>
      <c r="AJ77" s="193"/>
      <c r="AK77" s="301"/>
      <c r="AL77" s="193"/>
      <c r="AM77" s="223"/>
      <c r="AN77" s="193"/>
      <c r="AO77" s="193"/>
      <c r="AP77" s="193"/>
      <c r="AQ77" s="193"/>
      <c r="AR77" s="224"/>
      <c r="AS77" s="224"/>
      <c r="AT77" s="224"/>
      <c r="AU77" s="224"/>
      <c r="AV77" s="224"/>
      <c r="AW77" s="224"/>
      <c r="AX77" s="224"/>
      <c r="AY77" s="224"/>
      <c r="AZ77" s="224"/>
      <c r="BA77" s="224"/>
      <c r="BB77" s="224"/>
      <c r="BC77" s="224"/>
      <c r="BD77" s="224"/>
      <c r="BE77" s="224"/>
      <c r="BF77" s="224"/>
      <c r="BG77" s="224"/>
      <c r="BH77" s="224"/>
      <c r="BI77" s="224"/>
      <c r="BJ77" s="224"/>
      <c r="BK77" s="224"/>
      <c r="BL77" s="224"/>
      <c r="BM77" s="224"/>
      <c r="BN77" s="224"/>
      <c r="BO77" s="224"/>
      <c r="BP77" s="224"/>
      <c r="BQ77" s="224"/>
      <c r="BR77" s="224"/>
      <c r="BS77" s="224"/>
      <c r="BT77" s="224"/>
      <c r="BU77" s="224"/>
      <c r="BV77" s="224"/>
      <c r="BW77" s="224"/>
      <c r="BX77" s="224"/>
      <c r="BY77" s="224"/>
    </row>
    <row r="78" spans="1:77" s="86" customFormat="1" ht="21" customHeight="1">
      <c r="A78" s="79"/>
      <c r="B78" s="87"/>
      <c r="C78" s="87"/>
      <c r="D78" s="95"/>
      <c r="E78" s="87"/>
      <c r="F78" s="95"/>
      <c r="G78" s="82"/>
      <c r="H78" s="82"/>
      <c r="I78" s="168"/>
      <c r="J78" s="187" t="str">
        <f>CONCATENATE("Total ",J65)</f>
        <v>Total Travel</v>
      </c>
      <c r="K78" s="365">
        <f>SUBTOTAL(9,K67:K77)</f>
        <v>9330</v>
      </c>
      <c r="L78" s="439">
        <f>SUBTOTAL(9,L67:L77)</f>
        <v>8397</v>
      </c>
      <c r="M78" s="403">
        <f>SUBTOTAL(9,M67:M77)</f>
        <v>6560.15625</v>
      </c>
      <c r="N78" s="404" t="e">
        <f>SUBTOTAL(9,N67:N77)</f>
        <v>#NAME?</v>
      </c>
      <c r="O78" s="404" t="e">
        <f>SUBTOTAL(9,O67:O77)</f>
        <v>#NAME?</v>
      </c>
      <c r="P78" s="191"/>
      <c r="Q78" s="191"/>
      <c r="R78" s="198"/>
      <c r="S78" s="198"/>
      <c r="T78" s="199"/>
      <c r="U78" s="200"/>
      <c r="V78" s="200"/>
      <c r="W78" s="333">
        <f>SUBTOTAL(9,W67:W77)</f>
        <v>9330</v>
      </c>
      <c r="X78" s="191"/>
      <c r="Y78" s="304">
        <f>SUBTOTAL(9,Y67:Y77)</f>
        <v>9330</v>
      </c>
      <c r="Z78" s="191"/>
      <c r="AA78" s="197">
        <f>SUBTOTAL(9,AA67:AA77)</f>
        <v>7289.0625</v>
      </c>
      <c r="AB78" s="191"/>
      <c r="AC78" s="191"/>
      <c r="AD78" s="198"/>
      <c r="AE78" s="198"/>
      <c r="AF78" s="199"/>
      <c r="AG78" s="200"/>
      <c r="AH78" s="200"/>
      <c r="AI78" s="243">
        <f>SUBTOTAL(9,AI67:AI77)</f>
        <v>32570</v>
      </c>
      <c r="AJ78" s="191"/>
      <c r="AK78" s="304">
        <f>SUBTOTAL(9,AK67:AK77)</f>
        <v>32570</v>
      </c>
      <c r="AL78" s="191"/>
      <c r="AM78" s="197">
        <f>SUBTOTAL(9,AM67:AM77)</f>
        <v>25445.3125</v>
      </c>
      <c r="AN78" s="191"/>
      <c r="AO78" s="191"/>
      <c r="AP78" s="191"/>
      <c r="AQ78" s="191"/>
      <c r="AR78" s="201" t="e">
        <f>SUBTOTAL(9,AR67:AR77)</f>
        <v>#NAME?</v>
      </c>
      <c r="AS78" s="201" t="e">
        <f>SUBTOTAL(9,AS67:AS77)</f>
        <v>#NAME?</v>
      </c>
      <c r="AT78" s="201">
        <v>0</v>
      </c>
      <c r="AU78" s="201">
        <v>0</v>
      </c>
      <c r="AV78" s="201">
        <v>0</v>
      </c>
      <c r="AW78" s="201">
        <v>0</v>
      </c>
      <c r="AX78" s="201">
        <v>0</v>
      </c>
      <c r="AY78" s="201">
        <v>0</v>
      </c>
      <c r="AZ78" s="201">
        <v>0</v>
      </c>
      <c r="BA78" s="201">
        <v>0</v>
      </c>
      <c r="BB78" s="201">
        <v>1593.69</v>
      </c>
      <c r="BC78" s="201">
        <v>0</v>
      </c>
      <c r="BD78" s="201">
        <v>797.13</v>
      </c>
      <c r="BE78" s="201">
        <v>0</v>
      </c>
      <c r="BF78" s="201">
        <v>0</v>
      </c>
      <c r="BG78" s="201">
        <v>0</v>
      </c>
      <c r="BH78" s="201">
        <v>0</v>
      </c>
      <c r="BI78" s="201">
        <v>0</v>
      </c>
      <c r="BJ78" s="201">
        <v>0</v>
      </c>
      <c r="BK78" s="201">
        <v>0</v>
      </c>
      <c r="BL78" s="201">
        <v>0</v>
      </c>
      <c r="BM78" s="201">
        <v>0</v>
      </c>
      <c r="BN78" s="201">
        <v>0</v>
      </c>
      <c r="BO78" s="201">
        <v>0</v>
      </c>
      <c r="BP78" s="201">
        <v>0</v>
      </c>
      <c r="BQ78" s="201">
        <v>0</v>
      </c>
      <c r="BR78" s="201">
        <v>0</v>
      </c>
      <c r="BS78" s="201">
        <v>0</v>
      </c>
      <c r="BT78" s="201">
        <v>0</v>
      </c>
      <c r="BU78" s="201">
        <v>0</v>
      </c>
      <c r="BV78" s="201">
        <v>0</v>
      </c>
      <c r="BW78" s="201">
        <v>0</v>
      </c>
      <c r="BX78" s="201">
        <v>0</v>
      </c>
      <c r="BY78" s="201">
        <v>0</v>
      </c>
    </row>
    <row r="79" spans="1:77" s="86" customFormat="1" ht="16.5" customHeight="1">
      <c r="A79" s="79"/>
      <c r="B79" s="102" t="s">
        <v>42</v>
      </c>
      <c r="C79" s="102"/>
      <c r="D79" s="95"/>
      <c r="E79" s="80" t="s">
        <v>46</v>
      </c>
      <c r="F79" s="95"/>
      <c r="G79" s="82"/>
      <c r="H79" s="82"/>
      <c r="I79" s="149"/>
      <c r="J79" s="184" t="str">
        <f>CONCATENATE("Subtotal ",J64)</f>
        <v>Subtotal TRAVEL</v>
      </c>
      <c r="K79" s="337">
        <f aca="true" t="shared" si="55" ref="K79:P79">SUBTOTAL(9,K66:K78)</f>
        <v>9330</v>
      </c>
      <c r="L79" s="440">
        <f t="shared" si="55"/>
        <v>8397</v>
      </c>
      <c r="M79" s="405">
        <f t="shared" si="55"/>
        <v>6560.15625</v>
      </c>
      <c r="N79" s="405" t="e">
        <f t="shared" si="55"/>
        <v>#NAME?</v>
      </c>
      <c r="O79" s="405" t="e">
        <f t="shared" si="55"/>
        <v>#NAME?</v>
      </c>
      <c r="P79" s="205">
        <f t="shared" si="55"/>
        <v>0</v>
      </c>
      <c r="Q79" s="191"/>
      <c r="R79" s="206"/>
      <c r="S79" s="207"/>
      <c r="T79" s="208"/>
      <c r="U79" s="208"/>
      <c r="V79" s="208"/>
      <c r="W79" s="337">
        <f>SUBTOTAL(9,W66:W78)</f>
        <v>9330</v>
      </c>
      <c r="X79" s="191"/>
      <c r="Y79" s="305">
        <f>SUBTOTAL(9,Y66:Y78)</f>
        <v>9330</v>
      </c>
      <c r="Z79" s="191"/>
      <c r="AA79" s="205">
        <f>SUBTOTAL(9,AA66:AA78)</f>
        <v>7289.0625</v>
      </c>
      <c r="AB79" s="191"/>
      <c r="AC79" s="191"/>
      <c r="AD79" s="206"/>
      <c r="AE79" s="207"/>
      <c r="AF79" s="208"/>
      <c r="AG79" s="208"/>
      <c r="AH79" s="208"/>
      <c r="AI79" s="249">
        <f>SUBTOTAL(9,AI66:AI78)</f>
        <v>32570</v>
      </c>
      <c r="AJ79" s="191"/>
      <c r="AK79" s="305">
        <f>SUBTOTAL(9,AK66:AK78)</f>
        <v>32570</v>
      </c>
      <c r="AL79" s="191"/>
      <c r="AM79" s="205">
        <f>SUBTOTAL(9,AM66:AM78)</f>
        <v>25445.3125</v>
      </c>
      <c r="AN79" s="191"/>
      <c r="AO79" s="191"/>
      <c r="AP79" s="191"/>
      <c r="AQ79" s="191"/>
      <c r="AR79" s="209" t="e">
        <f>SUBTOTAL(9,AR66:AR78)</f>
        <v>#NAME?</v>
      </c>
      <c r="AS79" s="209" t="e">
        <f>SUBTOTAL(9,AS66:AS78)</f>
        <v>#NAME?</v>
      </c>
      <c r="AT79" s="209">
        <v>0</v>
      </c>
      <c r="AU79" s="209">
        <v>0</v>
      </c>
      <c r="AV79" s="209">
        <v>0</v>
      </c>
      <c r="AW79" s="209">
        <v>0</v>
      </c>
      <c r="AX79" s="209">
        <v>0</v>
      </c>
      <c r="AY79" s="209">
        <v>0</v>
      </c>
      <c r="AZ79" s="209">
        <v>0</v>
      </c>
      <c r="BA79" s="209">
        <v>0</v>
      </c>
      <c r="BB79" s="209">
        <v>1593.69</v>
      </c>
      <c r="BC79" s="209">
        <v>0</v>
      </c>
      <c r="BD79" s="209">
        <v>797.13</v>
      </c>
      <c r="BE79" s="209">
        <v>0</v>
      </c>
      <c r="BF79" s="209">
        <v>0</v>
      </c>
      <c r="BG79" s="209">
        <v>0</v>
      </c>
      <c r="BH79" s="209">
        <v>0</v>
      </c>
      <c r="BI79" s="209">
        <v>0</v>
      </c>
      <c r="BJ79" s="209">
        <v>0</v>
      </c>
      <c r="BK79" s="209">
        <v>0</v>
      </c>
      <c r="BL79" s="209">
        <v>0</v>
      </c>
      <c r="BM79" s="209">
        <v>0</v>
      </c>
      <c r="BN79" s="209">
        <v>0</v>
      </c>
      <c r="BO79" s="209">
        <v>0</v>
      </c>
      <c r="BP79" s="209">
        <v>0</v>
      </c>
      <c r="BQ79" s="209">
        <v>0</v>
      </c>
      <c r="BR79" s="209">
        <v>0</v>
      </c>
      <c r="BS79" s="209">
        <v>0</v>
      </c>
      <c r="BT79" s="209">
        <v>0</v>
      </c>
      <c r="BU79" s="209">
        <v>0</v>
      </c>
      <c r="BV79" s="209">
        <v>0</v>
      </c>
      <c r="BW79" s="209">
        <v>0</v>
      </c>
      <c r="BX79" s="209">
        <v>0</v>
      </c>
      <c r="BY79" s="209">
        <v>0</v>
      </c>
    </row>
    <row r="80" spans="1:77" s="86" customFormat="1" ht="15">
      <c r="A80" s="79"/>
      <c r="B80" s="98"/>
      <c r="C80" s="98"/>
      <c r="D80" s="95"/>
      <c r="E80" s="98"/>
      <c r="F80" s="95"/>
      <c r="G80" s="82"/>
      <c r="H80" s="82"/>
      <c r="I80" s="150"/>
      <c r="J80" s="131"/>
      <c r="K80" s="366"/>
      <c r="L80" s="441"/>
      <c r="M80" s="406"/>
      <c r="N80" s="406"/>
      <c r="O80" s="406"/>
      <c r="P80" s="191"/>
      <c r="Q80" s="191"/>
      <c r="R80" s="211"/>
      <c r="S80" s="191"/>
      <c r="T80" s="191"/>
      <c r="U80" s="191"/>
      <c r="V80" s="191"/>
      <c r="W80" s="331"/>
      <c r="X80" s="191"/>
      <c r="Y80" s="306"/>
      <c r="Z80" s="191"/>
      <c r="AA80" s="210"/>
      <c r="AB80" s="191"/>
      <c r="AC80" s="191"/>
      <c r="AD80" s="211"/>
      <c r="AE80" s="191"/>
      <c r="AF80" s="191"/>
      <c r="AG80" s="191"/>
      <c r="AH80" s="191"/>
      <c r="AI80" s="244"/>
      <c r="AJ80" s="191"/>
      <c r="AK80" s="306"/>
      <c r="AL80" s="191"/>
      <c r="AM80" s="210"/>
      <c r="AN80" s="191"/>
      <c r="AO80" s="191"/>
      <c r="AP80" s="191"/>
      <c r="AQ80" s="191"/>
      <c r="AR80" s="191"/>
      <c r="AS80" s="191"/>
      <c r="AT80" s="191"/>
      <c r="AU80" s="191"/>
      <c r="AV80" s="191"/>
      <c r="AW80" s="191"/>
      <c r="AX80" s="191"/>
      <c r="AY80" s="191"/>
      <c r="AZ80" s="191"/>
      <c r="BA80" s="191"/>
      <c r="BB80" s="191"/>
      <c r="BC80" s="191"/>
      <c r="BD80" s="191"/>
      <c r="BE80" s="191"/>
      <c r="BF80" s="191"/>
      <c r="BG80" s="191"/>
      <c r="BH80" s="191"/>
      <c r="BI80" s="191"/>
      <c r="BJ80" s="191"/>
      <c r="BK80" s="191"/>
      <c r="BL80" s="191"/>
      <c r="BM80" s="191"/>
      <c r="BN80" s="191"/>
      <c r="BO80" s="191"/>
      <c r="BP80" s="191"/>
      <c r="BQ80" s="191"/>
      <c r="BR80" s="191"/>
      <c r="BS80" s="191"/>
      <c r="BT80" s="191"/>
      <c r="BU80" s="191"/>
      <c r="BV80" s="191"/>
      <c r="BW80" s="191"/>
      <c r="BX80" s="191"/>
      <c r="BY80" s="191"/>
    </row>
    <row r="81" spans="1:77" s="86" customFormat="1" ht="18" customHeight="1">
      <c r="A81" s="79"/>
      <c r="B81" s="80" t="s">
        <v>43</v>
      </c>
      <c r="C81" s="80" t="s">
        <v>44</v>
      </c>
      <c r="D81" s="95"/>
      <c r="E81" s="80" t="s">
        <v>44</v>
      </c>
      <c r="F81" s="95"/>
      <c r="G81" s="82"/>
      <c r="H81" s="82"/>
      <c r="I81" s="149" t="s">
        <v>4</v>
      </c>
      <c r="J81" s="184" t="s">
        <v>207</v>
      </c>
      <c r="K81" s="369"/>
      <c r="L81" s="444"/>
      <c r="M81" s="410"/>
      <c r="N81" s="410"/>
      <c r="O81" s="410"/>
      <c r="P81" s="191"/>
      <c r="Q81" s="191"/>
      <c r="R81" s="206"/>
      <c r="S81" s="208"/>
      <c r="T81" s="208"/>
      <c r="U81" s="208"/>
      <c r="V81" s="208"/>
      <c r="W81" s="338"/>
      <c r="X81" s="191"/>
      <c r="Y81" s="309"/>
      <c r="Z81" s="191"/>
      <c r="AA81" s="218"/>
      <c r="AB81" s="191"/>
      <c r="AC81" s="191"/>
      <c r="AD81" s="206"/>
      <c r="AE81" s="208"/>
      <c r="AF81" s="208"/>
      <c r="AG81" s="208"/>
      <c r="AH81" s="208"/>
      <c r="AI81" s="250"/>
      <c r="AJ81" s="191"/>
      <c r="AK81" s="309"/>
      <c r="AL81" s="191"/>
      <c r="AM81" s="218"/>
      <c r="AN81" s="191"/>
      <c r="AO81" s="191"/>
      <c r="AP81" s="191"/>
      <c r="AQ81" s="191"/>
      <c r="AR81" s="219"/>
      <c r="AS81" s="219"/>
      <c r="AT81" s="219"/>
      <c r="AU81" s="219"/>
      <c r="AV81" s="219"/>
      <c r="AW81" s="219"/>
      <c r="AX81" s="219"/>
      <c r="AY81" s="219"/>
      <c r="AZ81" s="219"/>
      <c r="BA81" s="219"/>
      <c r="BB81" s="219"/>
      <c r="BC81" s="219"/>
      <c r="BD81" s="219"/>
      <c r="BE81" s="219"/>
      <c r="BF81" s="219"/>
      <c r="BG81" s="219"/>
      <c r="BH81" s="219"/>
      <c r="BI81" s="219"/>
      <c r="BJ81" s="219"/>
      <c r="BK81" s="219"/>
      <c r="BL81" s="219"/>
      <c r="BM81" s="219"/>
      <c r="BN81" s="219"/>
      <c r="BO81" s="219"/>
      <c r="BP81" s="219"/>
      <c r="BQ81" s="219"/>
      <c r="BR81" s="219"/>
      <c r="BS81" s="219"/>
      <c r="BT81" s="219"/>
      <c r="BU81" s="219"/>
      <c r="BV81" s="219"/>
      <c r="BW81" s="219"/>
      <c r="BX81" s="219"/>
      <c r="BY81" s="219"/>
    </row>
    <row r="82" spans="1:77" s="86" customFormat="1" ht="22.5" customHeight="1">
      <c r="A82" s="79"/>
      <c r="B82" s="103"/>
      <c r="C82" s="103"/>
      <c r="D82" s="95"/>
      <c r="E82" s="103"/>
      <c r="F82" s="95"/>
      <c r="G82" s="82"/>
      <c r="H82" s="82"/>
      <c r="I82" s="123" t="s">
        <v>17</v>
      </c>
      <c r="J82" s="183" t="s">
        <v>187</v>
      </c>
      <c r="K82" s="368"/>
      <c r="L82" s="443"/>
      <c r="M82" s="408" t="str">
        <f>$M$28</f>
        <v>GBP</v>
      </c>
      <c r="N82" s="409" t="str">
        <f>$M$28</f>
        <v>GBP</v>
      </c>
      <c r="O82" s="409" t="str">
        <f>$M$28</f>
        <v>GBP</v>
      </c>
      <c r="P82" s="191"/>
      <c r="Q82" s="191"/>
      <c r="R82" s="216"/>
      <c r="S82" s="199"/>
      <c r="T82" s="199"/>
      <c r="U82" s="199"/>
      <c r="V82" s="199"/>
      <c r="W82" s="332"/>
      <c r="X82" s="191"/>
      <c r="Y82" s="308"/>
      <c r="Z82" s="191"/>
      <c r="AA82" s="215" t="str">
        <f>$M$28</f>
        <v>GBP</v>
      </c>
      <c r="AB82" s="191"/>
      <c r="AC82" s="191"/>
      <c r="AD82" s="216"/>
      <c r="AE82" s="199"/>
      <c r="AF82" s="199"/>
      <c r="AG82" s="199"/>
      <c r="AH82" s="199"/>
      <c r="AI82" s="245"/>
      <c r="AJ82" s="191"/>
      <c r="AK82" s="308" t="e">
        <f>#REF!</f>
        <v>#REF!</v>
      </c>
      <c r="AL82" s="191"/>
      <c r="AM82" s="215" t="str">
        <f>$M$28</f>
        <v>GBP</v>
      </c>
      <c r="AN82" s="191"/>
      <c r="AO82" s="191"/>
      <c r="AP82" s="191"/>
      <c r="AQ82" s="191"/>
      <c r="AR82" s="204"/>
      <c r="AS82" s="204"/>
      <c r="AT82" s="204"/>
      <c r="AU82" s="204"/>
      <c r="AV82" s="204"/>
      <c r="AW82" s="204"/>
      <c r="AX82" s="204"/>
      <c r="AY82" s="204"/>
      <c r="AZ82" s="204"/>
      <c r="BA82" s="204"/>
      <c r="BB82" s="204"/>
      <c r="BC82" s="204"/>
      <c r="BD82" s="204"/>
      <c r="BE82" s="204"/>
      <c r="BF82" s="204"/>
      <c r="BG82" s="204"/>
      <c r="BH82" s="204"/>
      <c r="BI82" s="204"/>
      <c r="BJ82" s="204"/>
      <c r="BK82" s="204"/>
      <c r="BL82" s="204"/>
      <c r="BM82" s="204"/>
      <c r="BN82" s="204"/>
      <c r="BO82" s="204"/>
      <c r="BP82" s="204"/>
      <c r="BQ82" s="204"/>
      <c r="BR82" s="204"/>
      <c r="BS82" s="204"/>
      <c r="BT82" s="204"/>
      <c r="BU82" s="204"/>
      <c r="BV82" s="204"/>
      <c r="BW82" s="204"/>
      <c r="BX82" s="204"/>
      <c r="BY82" s="204"/>
    </row>
    <row r="83" spans="1:77" s="89" customFormat="1" ht="15.75">
      <c r="A83" s="171"/>
      <c r="B83" s="172"/>
      <c r="C83" s="172"/>
      <c r="D83" s="172"/>
      <c r="E83" s="172"/>
      <c r="F83" s="172"/>
      <c r="I83" s="173"/>
      <c r="J83" s="186" t="s">
        <v>118</v>
      </c>
      <c r="K83" s="363"/>
      <c r="L83" s="436"/>
      <c r="M83" s="399"/>
      <c r="N83" s="399"/>
      <c r="O83" s="399"/>
      <c r="P83" s="193"/>
      <c r="Q83" s="193"/>
      <c r="R83" s="225"/>
      <c r="S83" s="193"/>
      <c r="T83" s="193"/>
      <c r="U83" s="224"/>
      <c r="V83" s="224"/>
      <c r="W83" s="330"/>
      <c r="X83" s="193"/>
      <c r="Y83" s="301"/>
      <c r="Z83" s="193"/>
      <c r="AA83" s="223"/>
      <c r="AB83" s="193"/>
      <c r="AC83" s="193"/>
      <c r="AD83" s="225"/>
      <c r="AE83" s="193"/>
      <c r="AF83" s="193"/>
      <c r="AG83" s="224"/>
      <c r="AH83" s="224"/>
      <c r="AI83" s="242"/>
      <c r="AJ83" s="193"/>
      <c r="AK83" s="301"/>
      <c r="AL83" s="193"/>
      <c r="AM83" s="223"/>
      <c r="AN83" s="193"/>
      <c r="AO83" s="193"/>
      <c r="AP83" s="193"/>
      <c r="AQ83" s="193"/>
      <c r="AR83" s="224"/>
      <c r="AS83" s="224"/>
      <c r="AT83" s="224"/>
      <c r="AU83" s="224"/>
      <c r="AV83" s="224"/>
      <c r="AW83" s="224"/>
      <c r="AX83" s="224"/>
      <c r="AY83" s="224"/>
      <c r="AZ83" s="224"/>
      <c r="BA83" s="224"/>
      <c r="BB83" s="224"/>
      <c r="BC83" s="224"/>
      <c r="BD83" s="224"/>
      <c r="BE83" s="224"/>
      <c r="BF83" s="224"/>
      <c r="BG83" s="224"/>
      <c r="BH83" s="224"/>
      <c r="BI83" s="224"/>
      <c r="BJ83" s="224"/>
      <c r="BK83" s="224"/>
      <c r="BL83" s="224"/>
      <c r="BM83" s="224"/>
      <c r="BN83" s="224"/>
      <c r="BO83" s="224"/>
      <c r="BP83" s="224"/>
      <c r="BQ83" s="224"/>
      <c r="BR83" s="224"/>
      <c r="BS83" s="224"/>
      <c r="BT83" s="224"/>
      <c r="BU83" s="224"/>
      <c r="BV83" s="224"/>
      <c r="BW83" s="224"/>
      <c r="BX83" s="224"/>
      <c r="BY83" s="224"/>
    </row>
    <row r="84" spans="1:77" s="89" customFormat="1" ht="15.75">
      <c r="A84" s="124" t="s">
        <v>89</v>
      </c>
      <c r="B84" s="124"/>
      <c r="C84" s="124"/>
      <c r="D84" s="124"/>
      <c r="E84" s="124"/>
      <c r="F84" s="124"/>
      <c r="G84" s="124"/>
      <c r="H84" s="124"/>
      <c r="I84" s="166"/>
      <c r="J84" s="269" t="s">
        <v>190</v>
      </c>
      <c r="K84" s="329">
        <f>Y84</f>
        <v>46750</v>
      </c>
      <c r="L84" s="435">
        <f>K84*0.9</f>
        <v>42075</v>
      </c>
      <c r="M84" s="398">
        <f>L84/$M$4</f>
        <v>32871.09375</v>
      </c>
      <c r="N84" s="398" t="e">
        <f>L84-AR84</f>
        <v>#NAME?</v>
      </c>
      <c r="O84" s="398" t="e">
        <f>M84-AS84</f>
        <v>#NAME?</v>
      </c>
      <c r="P84" s="191"/>
      <c r="Q84" s="191"/>
      <c r="R84" s="192"/>
      <c r="S84" s="271" t="s">
        <v>200</v>
      </c>
      <c r="T84" s="272">
        <v>1</v>
      </c>
      <c r="U84" s="273">
        <v>46750</v>
      </c>
      <c r="V84" s="193"/>
      <c r="W84" s="329">
        <f>(T84*U84)</f>
        <v>46750</v>
      </c>
      <c r="X84" s="191"/>
      <c r="Y84" s="290">
        <f>W84</f>
        <v>46750</v>
      </c>
      <c r="Z84" s="191"/>
      <c r="AA84" s="190">
        <f>Y84/M$4</f>
        <v>36523.4375</v>
      </c>
      <c r="AB84" s="191"/>
      <c r="AC84" s="191"/>
      <c r="AD84" s="192"/>
      <c r="AE84" s="271" t="s">
        <v>200</v>
      </c>
      <c r="AF84" s="272">
        <v>1</v>
      </c>
      <c r="AG84" s="273">
        <v>46750</v>
      </c>
      <c r="AH84" s="193"/>
      <c r="AI84" s="241">
        <f>(AF84*AG84)</f>
        <v>46750</v>
      </c>
      <c r="AJ84" s="191"/>
      <c r="AK84" s="290">
        <f>AI84</f>
        <v>46750</v>
      </c>
      <c r="AL84" s="191"/>
      <c r="AM84" s="190">
        <f>AK84/M$4</f>
        <v>36523.4375</v>
      </c>
      <c r="AN84" s="191"/>
      <c r="AO84" s="191"/>
      <c r="AP84" s="191"/>
      <c r="AQ84" s="191"/>
      <c r="AR84" s="194" t="e">
        <f>AS84*$M$4</f>
        <v>#NAME?</v>
      </c>
      <c r="AS84" s="194" t="e">
        <f>AW84+BA84+BE84+BI84+BM84+BQ84+BU84+BY84</f>
        <v>#NAME?</v>
      </c>
      <c r="AT84" s="195" t="e">
        <v>#NAME?</v>
      </c>
      <c r="AU84" s="195" t="e">
        <v>#NAME?</v>
      </c>
      <c r="AV84" s="195" t="e">
        <v>#NAME?</v>
      </c>
      <c r="AW84" s="196" t="e">
        <f>SUM(AT84:AV84)</f>
        <v>#NAME?</v>
      </c>
      <c r="AX84" s="195" t="e">
        <v>#NAME?</v>
      </c>
      <c r="AY84" s="195" t="e">
        <v>#NAME?</v>
      </c>
      <c r="AZ84" s="195" t="e">
        <v>#NAME?</v>
      </c>
      <c r="BA84" s="196" t="e">
        <f>SUM(AX84:AZ84)</f>
        <v>#NAME?</v>
      </c>
      <c r="BB84" s="195" t="e">
        <v>#NAME?</v>
      </c>
      <c r="BC84" s="195" t="e">
        <v>#NAME?</v>
      </c>
      <c r="BD84" s="195" t="e">
        <v>#NAME?</v>
      </c>
      <c r="BE84" s="196" t="e">
        <f>SUM(BB84:BD84)</f>
        <v>#NAME?</v>
      </c>
      <c r="BF84" s="195" t="e">
        <v>#NAME?</v>
      </c>
      <c r="BG84" s="195" t="e">
        <v>#NAME?</v>
      </c>
      <c r="BH84" s="195" t="e">
        <v>#NAME?</v>
      </c>
      <c r="BI84" s="196" t="e">
        <f>SUM(BF84:BH84)</f>
        <v>#NAME?</v>
      </c>
      <c r="BJ84" s="195" t="e">
        <v>#NAME?</v>
      </c>
      <c r="BK84" s="195" t="e">
        <v>#NAME?</v>
      </c>
      <c r="BL84" s="195" t="e">
        <v>#NAME?</v>
      </c>
      <c r="BM84" s="196" t="e">
        <f>SUM(BJ84:BL84)</f>
        <v>#NAME?</v>
      </c>
      <c r="BN84" s="195" t="e">
        <v>#NAME?</v>
      </c>
      <c r="BO84" s="195" t="e">
        <v>#NAME?</v>
      </c>
      <c r="BP84" s="195" t="e">
        <v>#NAME?</v>
      </c>
      <c r="BQ84" s="196" t="e">
        <f>SUM(BM84:BP84)</f>
        <v>#NAME?</v>
      </c>
      <c r="BR84" s="195" t="e">
        <v>#NAME?</v>
      </c>
      <c r="BS84" s="195" t="e">
        <v>#NAME?</v>
      </c>
      <c r="BT84" s="195" t="e">
        <v>#NAME?</v>
      </c>
      <c r="BU84" s="196" t="e">
        <f>SUM(BQ84:BT84)</f>
        <v>#NAME?</v>
      </c>
      <c r="BV84" s="195" t="e">
        <v>#NAME?</v>
      </c>
      <c r="BW84" s="195" t="e">
        <v>#NAME?</v>
      </c>
      <c r="BX84" s="195" t="e">
        <v>#NAME?</v>
      </c>
      <c r="BY84" s="196" t="e">
        <f>SUM(BU84:BX84)</f>
        <v>#NAME?</v>
      </c>
    </row>
    <row r="85" spans="1:77" s="89" customFormat="1" ht="15.75">
      <c r="A85" s="124" t="s">
        <v>90</v>
      </c>
      <c r="B85" s="124"/>
      <c r="C85" s="124"/>
      <c r="D85" s="124"/>
      <c r="E85" s="124"/>
      <c r="F85" s="124"/>
      <c r="G85" s="124"/>
      <c r="H85" s="124"/>
      <c r="I85" s="166"/>
      <c r="J85" s="269" t="s">
        <v>191</v>
      </c>
      <c r="K85" s="329">
        <f>Y85</f>
        <v>3000</v>
      </c>
      <c r="L85" s="435">
        <f>K85*0.9</f>
        <v>2700</v>
      </c>
      <c r="M85" s="398">
        <f>L85/$M$4</f>
        <v>2109.375</v>
      </c>
      <c r="N85" s="398" t="e">
        <f>L85-AR85</f>
        <v>#NAME?</v>
      </c>
      <c r="O85" s="398" t="e">
        <f>M85-AS85</f>
        <v>#NAME?</v>
      </c>
      <c r="P85" s="191"/>
      <c r="Q85" s="191"/>
      <c r="R85" s="192"/>
      <c r="S85" s="271" t="s">
        <v>201</v>
      </c>
      <c r="T85" s="272">
        <v>1</v>
      </c>
      <c r="U85" s="273">
        <v>3000</v>
      </c>
      <c r="V85" s="193"/>
      <c r="W85" s="329">
        <f>(T85*U85)</f>
        <v>3000</v>
      </c>
      <c r="X85" s="191"/>
      <c r="Y85" s="290">
        <f>W85</f>
        <v>3000</v>
      </c>
      <c r="Z85" s="191"/>
      <c r="AA85" s="190">
        <f>Y85/M$4</f>
        <v>2343.75</v>
      </c>
      <c r="AB85" s="191"/>
      <c r="AC85" s="191"/>
      <c r="AD85" s="192"/>
      <c r="AE85" s="271" t="s">
        <v>201</v>
      </c>
      <c r="AF85" s="272">
        <v>1</v>
      </c>
      <c r="AG85" s="273">
        <v>3000</v>
      </c>
      <c r="AH85" s="193"/>
      <c r="AI85" s="241">
        <f>(AF85*AG85)</f>
        <v>3000</v>
      </c>
      <c r="AJ85" s="191"/>
      <c r="AK85" s="290">
        <f>AI85</f>
        <v>3000</v>
      </c>
      <c r="AL85" s="191"/>
      <c r="AM85" s="190">
        <f>AK85/M$4</f>
        <v>2343.75</v>
      </c>
      <c r="AN85" s="191"/>
      <c r="AO85" s="191"/>
      <c r="AP85" s="191"/>
      <c r="AQ85" s="191"/>
      <c r="AR85" s="194" t="e">
        <f>AS85*$M$4</f>
        <v>#NAME?</v>
      </c>
      <c r="AS85" s="194" t="e">
        <f>AW85+BA85+BE85+BI85+BM85+BQ85+BU85+BY85</f>
        <v>#NAME?</v>
      </c>
      <c r="AT85" s="195" t="e">
        <v>#NAME?</v>
      </c>
      <c r="AU85" s="195" t="e">
        <v>#NAME?</v>
      </c>
      <c r="AV85" s="195" t="e">
        <v>#NAME?</v>
      </c>
      <c r="AW85" s="196" t="e">
        <f>SUM(AT85:AV85)</f>
        <v>#NAME?</v>
      </c>
      <c r="AX85" s="195" t="e">
        <v>#NAME?</v>
      </c>
      <c r="AY85" s="195" t="e">
        <v>#NAME?</v>
      </c>
      <c r="AZ85" s="195" t="e">
        <v>#NAME?</v>
      </c>
      <c r="BA85" s="196" t="e">
        <f>SUM(AX85:AZ85)</f>
        <v>#NAME?</v>
      </c>
      <c r="BB85" s="195" t="e">
        <v>#NAME?</v>
      </c>
      <c r="BC85" s="195" t="e">
        <v>#NAME?</v>
      </c>
      <c r="BD85" s="195" t="e">
        <v>#NAME?</v>
      </c>
      <c r="BE85" s="196" t="e">
        <f>SUM(BB85:BD85)</f>
        <v>#NAME?</v>
      </c>
      <c r="BF85" s="195" t="e">
        <v>#NAME?</v>
      </c>
      <c r="BG85" s="195" t="e">
        <v>#NAME?</v>
      </c>
      <c r="BH85" s="195" t="e">
        <v>#NAME?</v>
      </c>
      <c r="BI85" s="196" t="e">
        <f>SUM(BF85:BH85)</f>
        <v>#NAME?</v>
      </c>
      <c r="BJ85" s="195" t="e">
        <v>#NAME?</v>
      </c>
      <c r="BK85" s="195" t="e">
        <v>#NAME?</v>
      </c>
      <c r="BL85" s="195" t="e">
        <v>#NAME?</v>
      </c>
      <c r="BM85" s="196" t="e">
        <f>SUM(BJ85:BL85)</f>
        <v>#NAME?</v>
      </c>
      <c r="BN85" s="195" t="e">
        <v>#NAME?</v>
      </c>
      <c r="BO85" s="195" t="e">
        <v>#NAME?</v>
      </c>
      <c r="BP85" s="195" t="e">
        <v>#NAME?</v>
      </c>
      <c r="BQ85" s="196" t="e">
        <f>SUM(BM85:BP85)</f>
        <v>#NAME?</v>
      </c>
      <c r="BR85" s="195" t="e">
        <v>#NAME?</v>
      </c>
      <c r="BS85" s="195" t="e">
        <v>#NAME?</v>
      </c>
      <c r="BT85" s="195" t="e">
        <v>#NAME?</v>
      </c>
      <c r="BU85" s="196" t="e">
        <f>SUM(BQ85:BT85)</f>
        <v>#NAME?</v>
      </c>
      <c r="BV85" s="195" t="e">
        <v>#NAME?</v>
      </c>
      <c r="BW85" s="195" t="e">
        <v>#NAME?</v>
      </c>
      <c r="BX85" s="195" t="e">
        <v>#NAME?</v>
      </c>
      <c r="BY85" s="196" t="e">
        <f>SUM(BU85:BX85)</f>
        <v>#NAME?</v>
      </c>
    </row>
    <row r="86" spans="1:77" s="89" customFormat="1" ht="15.75">
      <c r="A86" s="171"/>
      <c r="B86" s="172"/>
      <c r="C86" s="172"/>
      <c r="D86" s="172"/>
      <c r="E86" s="172"/>
      <c r="F86" s="172"/>
      <c r="I86" s="173"/>
      <c r="J86" s="186" t="str">
        <f>CONCATENATE("Subtotal ",J83)</f>
        <v>Subtotal Equipment and Supplies</v>
      </c>
      <c r="K86" s="363">
        <f>SUBTOTAL(9,K84:K85)</f>
        <v>49750</v>
      </c>
      <c r="L86" s="436">
        <f>SUBTOTAL(9,L84:L85)</f>
        <v>44775</v>
      </c>
      <c r="M86" s="399">
        <f>SUBTOTAL(9,M84:M85)</f>
        <v>34980.46875</v>
      </c>
      <c r="N86" s="399" t="e">
        <f>SUBTOTAL(9,N84:N85)</f>
        <v>#NAME?</v>
      </c>
      <c r="O86" s="399" t="e">
        <f>SUBTOTAL(9,O84:O85)</f>
        <v>#NAME?</v>
      </c>
      <c r="P86" s="193"/>
      <c r="Q86" s="193"/>
      <c r="R86" s="225"/>
      <c r="S86" s="193"/>
      <c r="T86" s="193"/>
      <c r="U86" s="224"/>
      <c r="V86" s="224"/>
      <c r="W86" s="330">
        <f>SUBTOTAL(9,W84:W85)</f>
        <v>49750</v>
      </c>
      <c r="X86" s="193"/>
      <c r="Y86" s="301">
        <f>SUBTOTAL(9,Y84:Y85)</f>
        <v>49750</v>
      </c>
      <c r="Z86" s="193"/>
      <c r="AA86" s="223">
        <f>SUBTOTAL(9,AA84:AA85)</f>
        <v>38867.1875</v>
      </c>
      <c r="AB86" s="193"/>
      <c r="AC86" s="193"/>
      <c r="AD86" s="225"/>
      <c r="AE86" s="193"/>
      <c r="AF86" s="193"/>
      <c r="AG86" s="224"/>
      <c r="AH86" s="224"/>
      <c r="AI86" s="242">
        <f>SUBTOTAL(9,AI84:AI85)</f>
        <v>49750</v>
      </c>
      <c r="AJ86" s="193"/>
      <c r="AK86" s="301">
        <f>SUBTOTAL(9,AK84:AK85)</f>
        <v>49750</v>
      </c>
      <c r="AL86" s="193"/>
      <c r="AM86" s="223">
        <f>SUBTOTAL(9,AM84:AM85)</f>
        <v>38867.1875</v>
      </c>
      <c r="AN86" s="193"/>
      <c r="AO86" s="193"/>
      <c r="AP86" s="193"/>
      <c r="AQ86" s="193"/>
      <c r="AR86" s="224" t="e">
        <f aca="true" t="shared" si="56" ref="AR86:BF86">SUBTOTAL(9,AR84:AR85)</f>
        <v>#NAME?</v>
      </c>
      <c r="AS86" s="224" t="e">
        <f t="shared" si="56"/>
        <v>#NAME?</v>
      </c>
      <c r="AT86" s="224" t="e">
        <f t="shared" si="56"/>
        <v>#NAME?</v>
      </c>
      <c r="AU86" s="224" t="e">
        <f t="shared" si="56"/>
        <v>#NAME?</v>
      </c>
      <c r="AV86" s="224" t="e">
        <f t="shared" si="56"/>
        <v>#NAME?</v>
      </c>
      <c r="AW86" s="224" t="e">
        <f t="shared" si="56"/>
        <v>#NAME?</v>
      </c>
      <c r="AX86" s="224" t="e">
        <f t="shared" si="56"/>
        <v>#NAME?</v>
      </c>
      <c r="AY86" s="224" t="e">
        <f t="shared" si="56"/>
        <v>#NAME?</v>
      </c>
      <c r="AZ86" s="224" t="e">
        <f t="shared" si="56"/>
        <v>#NAME?</v>
      </c>
      <c r="BA86" s="224" t="e">
        <f t="shared" si="56"/>
        <v>#NAME?</v>
      </c>
      <c r="BB86" s="224" t="e">
        <f t="shared" si="56"/>
        <v>#NAME?</v>
      </c>
      <c r="BC86" s="224" t="e">
        <f t="shared" si="56"/>
        <v>#NAME?</v>
      </c>
      <c r="BD86" s="224" t="e">
        <f t="shared" si="56"/>
        <v>#NAME?</v>
      </c>
      <c r="BE86" s="224" t="e">
        <f t="shared" si="56"/>
        <v>#NAME?</v>
      </c>
      <c r="BF86" s="224" t="e">
        <f t="shared" si="56"/>
        <v>#NAME?</v>
      </c>
      <c r="BG86" s="224" t="e">
        <f aca="true" t="shared" si="57" ref="BG86:BY86">SUBTOTAL(9,BG84:BG85)</f>
        <v>#NAME?</v>
      </c>
      <c r="BH86" s="224" t="e">
        <f t="shared" si="57"/>
        <v>#NAME?</v>
      </c>
      <c r="BI86" s="224" t="e">
        <f t="shared" si="57"/>
        <v>#NAME?</v>
      </c>
      <c r="BJ86" s="224" t="e">
        <f t="shared" si="57"/>
        <v>#NAME?</v>
      </c>
      <c r="BK86" s="224" t="e">
        <f t="shared" si="57"/>
        <v>#NAME?</v>
      </c>
      <c r="BL86" s="224" t="e">
        <f t="shared" si="57"/>
        <v>#NAME?</v>
      </c>
      <c r="BM86" s="224" t="e">
        <f t="shared" si="57"/>
        <v>#NAME?</v>
      </c>
      <c r="BN86" s="224" t="e">
        <f t="shared" si="57"/>
        <v>#NAME?</v>
      </c>
      <c r="BO86" s="224" t="e">
        <f t="shared" si="57"/>
        <v>#NAME?</v>
      </c>
      <c r="BP86" s="224" t="e">
        <f t="shared" si="57"/>
        <v>#NAME?</v>
      </c>
      <c r="BQ86" s="224" t="e">
        <f t="shared" si="57"/>
        <v>#NAME?</v>
      </c>
      <c r="BR86" s="224" t="e">
        <f t="shared" si="57"/>
        <v>#NAME?</v>
      </c>
      <c r="BS86" s="224" t="e">
        <f t="shared" si="57"/>
        <v>#NAME?</v>
      </c>
      <c r="BT86" s="224" t="e">
        <f t="shared" si="57"/>
        <v>#NAME?</v>
      </c>
      <c r="BU86" s="224" t="e">
        <f t="shared" si="57"/>
        <v>#NAME?</v>
      </c>
      <c r="BV86" s="224" t="e">
        <f t="shared" si="57"/>
        <v>#NAME?</v>
      </c>
      <c r="BW86" s="224" t="e">
        <f t="shared" si="57"/>
        <v>#NAME?</v>
      </c>
      <c r="BX86" s="224" t="e">
        <f t="shared" si="57"/>
        <v>#NAME?</v>
      </c>
      <c r="BY86" s="224" t="e">
        <f t="shared" si="57"/>
        <v>#NAME?</v>
      </c>
    </row>
    <row r="87" spans="1:77" s="89" customFormat="1" ht="15.75">
      <c r="A87" s="171"/>
      <c r="B87" s="172"/>
      <c r="C87" s="172"/>
      <c r="D87" s="172"/>
      <c r="E87" s="172"/>
      <c r="F87" s="172"/>
      <c r="I87" s="173"/>
      <c r="J87" s="186"/>
      <c r="K87" s="363"/>
      <c r="L87" s="436"/>
      <c r="M87" s="399"/>
      <c r="N87" s="399"/>
      <c r="O87" s="399"/>
      <c r="P87" s="193"/>
      <c r="Q87" s="193"/>
      <c r="R87" s="225"/>
      <c r="S87" s="193"/>
      <c r="T87" s="193"/>
      <c r="U87" s="224"/>
      <c r="V87" s="224"/>
      <c r="W87" s="330"/>
      <c r="X87" s="193"/>
      <c r="Y87" s="301"/>
      <c r="Z87" s="193"/>
      <c r="AA87" s="223"/>
      <c r="AB87" s="193"/>
      <c r="AC87" s="193"/>
      <c r="AD87" s="225"/>
      <c r="AE87" s="193"/>
      <c r="AF87" s="193"/>
      <c r="AG87" s="224"/>
      <c r="AH87" s="224"/>
      <c r="AI87" s="242"/>
      <c r="AJ87" s="193"/>
      <c r="AK87" s="301"/>
      <c r="AL87" s="193"/>
      <c r="AM87" s="223"/>
      <c r="AN87" s="193"/>
      <c r="AO87" s="193"/>
      <c r="AP87" s="193"/>
      <c r="AQ87" s="193"/>
      <c r="AR87" s="224"/>
      <c r="AS87" s="224"/>
      <c r="AT87" s="224"/>
      <c r="AU87" s="224"/>
      <c r="AV87" s="224"/>
      <c r="AW87" s="224"/>
      <c r="AX87" s="224"/>
      <c r="AY87" s="224"/>
      <c r="AZ87" s="224"/>
      <c r="BA87" s="224"/>
      <c r="BB87" s="224"/>
      <c r="BC87" s="224"/>
      <c r="BD87" s="224"/>
      <c r="BE87" s="224"/>
      <c r="BF87" s="224"/>
      <c r="BG87" s="224"/>
      <c r="BH87" s="224"/>
      <c r="BI87" s="224"/>
      <c r="BJ87" s="224"/>
      <c r="BK87" s="224"/>
      <c r="BL87" s="224"/>
      <c r="BM87" s="224"/>
      <c r="BN87" s="224"/>
      <c r="BO87" s="224"/>
      <c r="BP87" s="224"/>
      <c r="BQ87" s="224"/>
      <c r="BR87" s="224"/>
      <c r="BS87" s="224"/>
      <c r="BT87" s="224"/>
      <c r="BU87" s="224"/>
      <c r="BV87" s="224"/>
      <c r="BW87" s="224"/>
      <c r="BX87" s="224"/>
      <c r="BY87" s="224"/>
    </row>
    <row r="88" spans="1:77" s="89" customFormat="1" ht="15.75">
      <c r="A88" s="171"/>
      <c r="B88" s="172"/>
      <c r="C88" s="172"/>
      <c r="D88" s="172"/>
      <c r="E88" s="172"/>
      <c r="F88" s="172"/>
      <c r="I88" s="173"/>
      <c r="J88" s="186" t="s">
        <v>188</v>
      </c>
      <c r="K88" s="363"/>
      <c r="L88" s="436"/>
      <c r="M88" s="399"/>
      <c r="N88" s="399"/>
      <c r="O88" s="399"/>
      <c r="P88" s="193"/>
      <c r="Q88" s="193"/>
      <c r="R88" s="225"/>
      <c r="S88" s="193"/>
      <c r="T88" s="193"/>
      <c r="U88" s="224"/>
      <c r="V88" s="224"/>
      <c r="W88" s="330"/>
      <c r="X88" s="193"/>
      <c r="Y88" s="301"/>
      <c r="Z88" s="193"/>
      <c r="AA88" s="223"/>
      <c r="AB88" s="193"/>
      <c r="AC88" s="193"/>
      <c r="AD88" s="225"/>
      <c r="AE88" s="193"/>
      <c r="AF88" s="193"/>
      <c r="AG88" s="224"/>
      <c r="AH88" s="224"/>
      <c r="AI88" s="242"/>
      <c r="AJ88" s="193"/>
      <c r="AK88" s="301"/>
      <c r="AL88" s="193"/>
      <c r="AM88" s="223"/>
      <c r="AN88" s="193"/>
      <c r="AO88" s="193"/>
      <c r="AP88" s="193"/>
      <c r="AQ88" s="193"/>
      <c r="AR88" s="224"/>
      <c r="AS88" s="224"/>
      <c r="AT88" s="224"/>
      <c r="AU88" s="224"/>
      <c r="AV88" s="224"/>
      <c r="AW88" s="224"/>
      <c r="AX88" s="224"/>
      <c r="AY88" s="224"/>
      <c r="AZ88" s="224"/>
      <c r="BA88" s="224"/>
      <c r="BB88" s="224"/>
      <c r="BC88" s="224"/>
      <c r="BD88" s="224"/>
      <c r="BE88" s="224"/>
      <c r="BF88" s="224"/>
      <c r="BG88" s="224"/>
      <c r="BH88" s="224"/>
      <c r="BI88" s="224"/>
      <c r="BJ88" s="224"/>
      <c r="BK88" s="224"/>
      <c r="BL88" s="224"/>
      <c r="BM88" s="224"/>
      <c r="BN88" s="224"/>
      <c r="BO88" s="224"/>
      <c r="BP88" s="224"/>
      <c r="BQ88" s="224"/>
      <c r="BR88" s="224"/>
      <c r="BS88" s="224"/>
      <c r="BT88" s="224"/>
      <c r="BU88" s="224"/>
      <c r="BV88" s="224"/>
      <c r="BW88" s="224"/>
      <c r="BX88" s="224"/>
      <c r="BY88" s="224"/>
    </row>
    <row r="89" spans="1:77" s="89" customFormat="1" ht="15.75">
      <c r="A89" s="124" t="s">
        <v>91</v>
      </c>
      <c r="B89" s="124"/>
      <c r="C89" s="124"/>
      <c r="D89" s="124"/>
      <c r="E89" s="124"/>
      <c r="F89" s="124"/>
      <c r="G89" s="124"/>
      <c r="H89" s="124"/>
      <c r="I89" s="166"/>
      <c r="J89" s="270" t="s">
        <v>192</v>
      </c>
      <c r="K89" s="329">
        <f>Y89</f>
        <v>5000</v>
      </c>
      <c r="L89" s="435">
        <f>K89*0.9</f>
        <v>4500</v>
      </c>
      <c r="M89" s="398">
        <f>L89/$M$4</f>
        <v>3515.625</v>
      </c>
      <c r="N89" s="398" t="e">
        <f aca="true" t="shared" si="58" ref="N89:O91">L89-AR89</f>
        <v>#NAME?</v>
      </c>
      <c r="O89" s="398" t="e">
        <f t="shared" si="58"/>
        <v>#NAME?</v>
      </c>
      <c r="P89" s="191"/>
      <c r="Q89" s="191"/>
      <c r="R89" s="192"/>
      <c r="S89" s="271" t="s">
        <v>202</v>
      </c>
      <c r="T89" s="272">
        <v>5</v>
      </c>
      <c r="U89" s="273">
        <v>1000</v>
      </c>
      <c r="V89" s="193"/>
      <c r="W89" s="329">
        <f>(T89*U89)</f>
        <v>5000</v>
      </c>
      <c r="X89" s="191"/>
      <c r="Y89" s="290">
        <f>W89</f>
        <v>5000</v>
      </c>
      <c r="Z89" s="191"/>
      <c r="AA89" s="190">
        <f>Y89/M$4</f>
        <v>3906.25</v>
      </c>
      <c r="AB89" s="191"/>
      <c r="AC89" s="191"/>
      <c r="AD89" s="192"/>
      <c r="AE89" s="271" t="s">
        <v>202</v>
      </c>
      <c r="AF89" s="272">
        <v>5</v>
      </c>
      <c r="AG89" s="273">
        <v>1000</v>
      </c>
      <c r="AH89" s="193"/>
      <c r="AI89" s="241">
        <f>(AF89*AG89)</f>
        <v>5000</v>
      </c>
      <c r="AJ89" s="191"/>
      <c r="AK89" s="290">
        <f>AI89</f>
        <v>5000</v>
      </c>
      <c r="AL89" s="191"/>
      <c r="AM89" s="190">
        <f>AK89/M$4</f>
        <v>3906.25</v>
      </c>
      <c r="AN89" s="191"/>
      <c r="AO89" s="191"/>
      <c r="AP89" s="191"/>
      <c r="AQ89" s="191"/>
      <c r="AR89" s="194" t="e">
        <f>AS89*$M$4</f>
        <v>#NAME?</v>
      </c>
      <c r="AS89" s="194" t="e">
        <f>AW89+BA89+BE89+BI89+BM89+BQ89+BU89+BY89</f>
        <v>#NAME?</v>
      </c>
      <c r="AT89" s="195" t="e">
        <v>#NAME?</v>
      </c>
      <c r="AU89" s="195" t="e">
        <v>#NAME?</v>
      </c>
      <c r="AV89" s="195" t="e">
        <v>#NAME?</v>
      </c>
      <c r="AW89" s="196" t="e">
        <f>SUM(AT89:AV89)</f>
        <v>#NAME?</v>
      </c>
      <c r="AX89" s="195" t="e">
        <v>#NAME?</v>
      </c>
      <c r="AY89" s="195" t="e">
        <v>#NAME?</v>
      </c>
      <c r="AZ89" s="195" t="e">
        <v>#NAME?</v>
      </c>
      <c r="BA89" s="196" t="e">
        <f>SUM(AX89:AZ89)</f>
        <v>#NAME?</v>
      </c>
      <c r="BB89" s="195" t="e">
        <v>#NAME?</v>
      </c>
      <c r="BC89" s="195" t="e">
        <v>#NAME?</v>
      </c>
      <c r="BD89" s="195" t="e">
        <v>#NAME?</v>
      </c>
      <c r="BE89" s="196" t="e">
        <f>SUM(BB89:BD89)</f>
        <v>#NAME?</v>
      </c>
      <c r="BF89" s="195" t="e">
        <v>#NAME?</v>
      </c>
      <c r="BG89" s="195" t="e">
        <v>#NAME?</v>
      </c>
      <c r="BH89" s="195" t="e">
        <v>#NAME?</v>
      </c>
      <c r="BI89" s="196" t="e">
        <f>SUM(BF89:BH89)</f>
        <v>#NAME?</v>
      </c>
      <c r="BJ89" s="195" t="e">
        <v>#NAME?</v>
      </c>
      <c r="BK89" s="195" t="e">
        <v>#NAME?</v>
      </c>
      <c r="BL89" s="195" t="e">
        <v>#NAME?</v>
      </c>
      <c r="BM89" s="196" t="e">
        <f>SUM(BJ89:BL89)</f>
        <v>#NAME?</v>
      </c>
      <c r="BN89" s="195" t="e">
        <v>#NAME?</v>
      </c>
      <c r="BO89" s="195" t="e">
        <v>#NAME?</v>
      </c>
      <c r="BP89" s="195" t="e">
        <v>#NAME?</v>
      </c>
      <c r="BQ89" s="196" t="e">
        <f>SUM(BM89:BP89)</f>
        <v>#NAME?</v>
      </c>
      <c r="BR89" s="195" t="e">
        <v>#NAME?</v>
      </c>
      <c r="BS89" s="195" t="e">
        <v>#NAME?</v>
      </c>
      <c r="BT89" s="195" t="e">
        <v>#NAME?</v>
      </c>
      <c r="BU89" s="196" t="e">
        <f>SUM(BQ89:BT89)</f>
        <v>#NAME?</v>
      </c>
      <c r="BV89" s="195" t="e">
        <v>#NAME?</v>
      </c>
      <c r="BW89" s="195" t="e">
        <v>#NAME?</v>
      </c>
      <c r="BX89" s="195" t="e">
        <v>#NAME?</v>
      </c>
      <c r="BY89" s="196" t="e">
        <f>SUM(BU89:BX89)</f>
        <v>#NAME?</v>
      </c>
    </row>
    <row r="90" spans="1:77" s="89" customFormat="1" ht="15.75">
      <c r="A90" s="124" t="s">
        <v>92</v>
      </c>
      <c r="B90" s="124"/>
      <c r="C90" s="124"/>
      <c r="D90" s="124"/>
      <c r="E90" s="124"/>
      <c r="F90" s="124"/>
      <c r="G90" s="124"/>
      <c r="H90" s="124"/>
      <c r="I90" s="166"/>
      <c r="J90" s="270" t="s">
        <v>193</v>
      </c>
      <c r="K90" s="329">
        <f>Y90</f>
        <v>250</v>
      </c>
      <c r="L90" s="435">
        <f>K90*0.9</f>
        <v>225</v>
      </c>
      <c r="M90" s="398">
        <f>L90/$M$4</f>
        <v>175.78125</v>
      </c>
      <c r="N90" s="398" t="e">
        <f t="shared" si="58"/>
        <v>#NAME?</v>
      </c>
      <c r="O90" s="398" t="e">
        <f t="shared" si="58"/>
        <v>#NAME?</v>
      </c>
      <c r="P90" s="191"/>
      <c r="Q90" s="191"/>
      <c r="R90" s="192"/>
      <c r="S90" s="271" t="s">
        <v>202</v>
      </c>
      <c r="T90" s="272">
        <v>1</v>
      </c>
      <c r="U90" s="273">
        <v>250</v>
      </c>
      <c r="V90" s="193"/>
      <c r="W90" s="329">
        <f>(T90*U90)</f>
        <v>250</v>
      </c>
      <c r="X90" s="191"/>
      <c r="Y90" s="290">
        <f>W90</f>
        <v>250</v>
      </c>
      <c r="Z90" s="191"/>
      <c r="AA90" s="190">
        <f>Y90/M$4</f>
        <v>195.3125</v>
      </c>
      <c r="AB90" s="191"/>
      <c r="AC90" s="191"/>
      <c r="AD90" s="192"/>
      <c r="AE90" s="271" t="s">
        <v>202</v>
      </c>
      <c r="AF90" s="272">
        <v>1</v>
      </c>
      <c r="AG90" s="273">
        <v>250</v>
      </c>
      <c r="AH90" s="193"/>
      <c r="AI90" s="241">
        <f>(AF90*AG90)</f>
        <v>250</v>
      </c>
      <c r="AJ90" s="191"/>
      <c r="AK90" s="290">
        <f>AI90</f>
        <v>250</v>
      </c>
      <c r="AL90" s="191"/>
      <c r="AM90" s="190">
        <f>AK90/M$4</f>
        <v>195.3125</v>
      </c>
      <c r="AN90" s="191"/>
      <c r="AO90" s="191"/>
      <c r="AP90" s="191"/>
      <c r="AQ90" s="191"/>
      <c r="AR90" s="194" t="e">
        <f>AS90*$M$4</f>
        <v>#NAME?</v>
      </c>
      <c r="AS90" s="194" t="e">
        <f>AW90+BA90+BE90+BI90+BM90+BQ90+BU90+BY90</f>
        <v>#NAME?</v>
      </c>
      <c r="AT90" s="195" t="e">
        <v>#NAME?</v>
      </c>
      <c r="AU90" s="195" t="e">
        <v>#NAME?</v>
      </c>
      <c r="AV90" s="195" t="e">
        <v>#NAME?</v>
      </c>
      <c r="AW90" s="196" t="e">
        <f>SUM(AT90:AV90)</f>
        <v>#NAME?</v>
      </c>
      <c r="AX90" s="195" t="e">
        <v>#NAME?</v>
      </c>
      <c r="AY90" s="195" t="e">
        <v>#NAME?</v>
      </c>
      <c r="AZ90" s="195" t="e">
        <v>#NAME?</v>
      </c>
      <c r="BA90" s="196" t="e">
        <f>SUM(AX90:AZ90)</f>
        <v>#NAME?</v>
      </c>
      <c r="BB90" s="195" t="e">
        <v>#NAME?</v>
      </c>
      <c r="BC90" s="195" t="e">
        <v>#NAME?</v>
      </c>
      <c r="BD90" s="195" t="e">
        <v>#NAME?</v>
      </c>
      <c r="BE90" s="196" t="e">
        <f>SUM(BB90:BD90)</f>
        <v>#NAME?</v>
      </c>
      <c r="BF90" s="195" t="e">
        <v>#NAME?</v>
      </c>
      <c r="BG90" s="195" t="e">
        <v>#NAME?</v>
      </c>
      <c r="BH90" s="195" t="e">
        <v>#NAME?</v>
      </c>
      <c r="BI90" s="196" t="e">
        <f>SUM(BF90:BH90)</f>
        <v>#NAME?</v>
      </c>
      <c r="BJ90" s="195" t="e">
        <v>#NAME?</v>
      </c>
      <c r="BK90" s="195" t="e">
        <v>#NAME?</v>
      </c>
      <c r="BL90" s="195" t="e">
        <v>#NAME?</v>
      </c>
      <c r="BM90" s="196" t="e">
        <f>SUM(BJ90:BL90)</f>
        <v>#NAME?</v>
      </c>
      <c r="BN90" s="195" t="e">
        <v>#NAME?</v>
      </c>
      <c r="BO90" s="195" t="e">
        <v>#NAME?</v>
      </c>
      <c r="BP90" s="195" t="e">
        <v>#NAME?</v>
      </c>
      <c r="BQ90" s="196" t="e">
        <f>SUM(BM90:BP90)</f>
        <v>#NAME?</v>
      </c>
      <c r="BR90" s="195" t="e">
        <v>#NAME?</v>
      </c>
      <c r="BS90" s="195" t="e">
        <v>#NAME?</v>
      </c>
      <c r="BT90" s="195" t="e">
        <v>#NAME?</v>
      </c>
      <c r="BU90" s="196" t="e">
        <f>SUM(BQ90:BT90)</f>
        <v>#NAME?</v>
      </c>
      <c r="BV90" s="195" t="e">
        <v>#NAME?</v>
      </c>
      <c r="BW90" s="195" t="e">
        <v>#NAME?</v>
      </c>
      <c r="BX90" s="195" t="e">
        <v>#NAME?</v>
      </c>
      <c r="BY90" s="196" t="e">
        <f>SUM(BU90:BX90)</f>
        <v>#NAME?</v>
      </c>
    </row>
    <row r="91" spans="1:77" s="89" customFormat="1" ht="15.75">
      <c r="A91" s="124" t="s">
        <v>93</v>
      </c>
      <c r="B91" s="124"/>
      <c r="C91" s="124"/>
      <c r="D91" s="124"/>
      <c r="E91" s="124"/>
      <c r="F91" s="124"/>
      <c r="G91" s="124"/>
      <c r="H91" s="124"/>
      <c r="I91" s="166"/>
      <c r="J91" s="256" t="s">
        <v>194</v>
      </c>
      <c r="K91" s="329">
        <f>Y91</f>
        <v>1600</v>
      </c>
      <c r="L91" s="435">
        <f>K91*0.9</f>
        <v>1440</v>
      </c>
      <c r="M91" s="398">
        <f>L91/$M$4</f>
        <v>1125</v>
      </c>
      <c r="N91" s="398" t="e">
        <f t="shared" si="58"/>
        <v>#NAME?</v>
      </c>
      <c r="O91" s="398" t="e">
        <f t="shared" si="58"/>
        <v>#NAME?</v>
      </c>
      <c r="P91" s="191"/>
      <c r="Q91" s="191"/>
      <c r="R91" s="192"/>
      <c r="S91" s="228" t="s">
        <v>121</v>
      </c>
      <c r="T91" s="274">
        <v>1</v>
      </c>
      <c r="U91" s="275">
        <v>1600</v>
      </c>
      <c r="V91" s="193"/>
      <c r="W91" s="329">
        <f>(T91*U91)</f>
        <v>1600</v>
      </c>
      <c r="X91" s="191"/>
      <c r="Y91" s="290">
        <f>W91</f>
        <v>1600</v>
      </c>
      <c r="Z91" s="191"/>
      <c r="AA91" s="190">
        <f>Y91/M$4</f>
        <v>1250</v>
      </c>
      <c r="AB91" s="191"/>
      <c r="AC91" s="191"/>
      <c r="AD91" s="192"/>
      <c r="AE91" s="228" t="s">
        <v>121</v>
      </c>
      <c r="AF91" s="274">
        <v>1</v>
      </c>
      <c r="AG91" s="275">
        <v>1600</v>
      </c>
      <c r="AH91" s="193"/>
      <c r="AI91" s="241">
        <f>(AF91*AG91)</f>
        <v>1600</v>
      </c>
      <c r="AJ91" s="191"/>
      <c r="AK91" s="290">
        <f>AI91</f>
        <v>1600</v>
      </c>
      <c r="AL91" s="191"/>
      <c r="AM91" s="190">
        <f>AK91/M$4</f>
        <v>1250</v>
      </c>
      <c r="AN91" s="191"/>
      <c r="AO91" s="191"/>
      <c r="AP91" s="191"/>
      <c r="AQ91" s="191"/>
      <c r="AR91" s="194" t="e">
        <f>AS91*$M$4</f>
        <v>#NAME?</v>
      </c>
      <c r="AS91" s="194" t="e">
        <f>AW91+BA91+BE91+BI91+BM91+BQ91+BU91+BY91</f>
        <v>#NAME?</v>
      </c>
      <c r="AT91" s="195" t="e">
        <v>#NAME?</v>
      </c>
      <c r="AU91" s="195" t="e">
        <v>#NAME?</v>
      </c>
      <c r="AV91" s="195" t="e">
        <v>#NAME?</v>
      </c>
      <c r="AW91" s="196" t="e">
        <f>SUM(AT91:AV91)</f>
        <v>#NAME?</v>
      </c>
      <c r="AX91" s="195" t="e">
        <v>#NAME?</v>
      </c>
      <c r="AY91" s="195" t="e">
        <v>#NAME?</v>
      </c>
      <c r="AZ91" s="195" t="e">
        <v>#NAME?</v>
      </c>
      <c r="BA91" s="196" t="e">
        <f>SUM(AX91:AZ91)</f>
        <v>#NAME?</v>
      </c>
      <c r="BB91" s="195" t="e">
        <v>#NAME?</v>
      </c>
      <c r="BC91" s="195" t="e">
        <v>#NAME?</v>
      </c>
      <c r="BD91" s="195" t="e">
        <v>#NAME?</v>
      </c>
      <c r="BE91" s="196" t="e">
        <f>SUM(BB91:BD91)</f>
        <v>#NAME?</v>
      </c>
      <c r="BF91" s="195" t="e">
        <v>#NAME?</v>
      </c>
      <c r="BG91" s="195" t="e">
        <v>#NAME?</v>
      </c>
      <c r="BH91" s="195" t="e">
        <v>#NAME?</v>
      </c>
      <c r="BI91" s="196" t="e">
        <f>SUM(BF91:BH91)</f>
        <v>#NAME?</v>
      </c>
      <c r="BJ91" s="195" t="e">
        <v>#NAME?</v>
      </c>
      <c r="BK91" s="195" t="e">
        <v>#NAME?</v>
      </c>
      <c r="BL91" s="195" t="e">
        <v>#NAME?</v>
      </c>
      <c r="BM91" s="196" t="e">
        <f>SUM(BJ91:BL91)</f>
        <v>#NAME?</v>
      </c>
      <c r="BN91" s="195" t="e">
        <v>#NAME?</v>
      </c>
      <c r="BO91" s="195" t="e">
        <v>#NAME?</v>
      </c>
      <c r="BP91" s="195" t="e">
        <v>#NAME?</v>
      </c>
      <c r="BQ91" s="196" t="e">
        <f>SUM(BM91:BP91)</f>
        <v>#NAME?</v>
      </c>
      <c r="BR91" s="195" t="e">
        <v>#NAME?</v>
      </c>
      <c r="BS91" s="195" t="e">
        <v>#NAME?</v>
      </c>
      <c r="BT91" s="195" t="e">
        <v>#NAME?</v>
      </c>
      <c r="BU91" s="196" t="e">
        <f>SUM(BQ91:BT91)</f>
        <v>#NAME?</v>
      </c>
      <c r="BV91" s="195" t="e">
        <v>#NAME?</v>
      </c>
      <c r="BW91" s="195" t="e">
        <v>#NAME?</v>
      </c>
      <c r="BX91" s="195" t="e">
        <v>#NAME?</v>
      </c>
      <c r="BY91" s="196" t="e">
        <f>SUM(BU91:BX91)</f>
        <v>#NAME?</v>
      </c>
    </row>
    <row r="92" spans="1:77" s="89" customFormat="1" ht="15.75">
      <c r="A92" s="171"/>
      <c r="B92" s="172"/>
      <c r="C92" s="172"/>
      <c r="D92" s="172"/>
      <c r="E92" s="172"/>
      <c r="F92" s="172"/>
      <c r="I92" s="173"/>
      <c r="J92" s="186" t="str">
        <f>CONCATENATE("Subtotal ",J88)</f>
        <v>Subtotal 3.3 Furniture, computer equipment</v>
      </c>
      <c r="K92" s="363">
        <f>SUBTOTAL(9,K89:K91)</f>
        <v>6850</v>
      </c>
      <c r="L92" s="436">
        <f>SUBTOTAL(9,L89:L91)</f>
        <v>6165</v>
      </c>
      <c r="M92" s="399">
        <f>SUBTOTAL(9,M89:M91)</f>
        <v>4816.40625</v>
      </c>
      <c r="N92" s="399" t="e">
        <f>SUBTOTAL(9,N89:N91)</f>
        <v>#NAME?</v>
      </c>
      <c r="O92" s="399" t="e">
        <f>SUBTOTAL(9,O89:O91)</f>
        <v>#NAME?</v>
      </c>
      <c r="P92" s="193"/>
      <c r="Q92" s="193"/>
      <c r="R92" s="225"/>
      <c r="S92" s="193"/>
      <c r="T92" s="193"/>
      <c r="U92" s="224"/>
      <c r="V92" s="224"/>
      <c r="W92" s="330">
        <f>SUBTOTAL(9,W89:W91)</f>
        <v>6850</v>
      </c>
      <c r="X92" s="193"/>
      <c r="Y92" s="301">
        <f>SUBTOTAL(9,Y89:Y91)</f>
        <v>6850</v>
      </c>
      <c r="Z92" s="193"/>
      <c r="AA92" s="223">
        <f>SUBTOTAL(9,AA89:AA91)</f>
        <v>5351.5625</v>
      </c>
      <c r="AB92" s="193"/>
      <c r="AC92" s="193"/>
      <c r="AD92" s="225"/>
      <c r="AE92" s="193"/>
      <c r="AF92" s="193"/>
      <c r="AG92" s="224"/>
      <c r="AH92" s="224"/>
      <c r="AI92" s="242">
        <f>SUBTOTAL(9,AI89:AI91)</f>
        <v>6850</v>
      </c>
      <c r="AJ92" s="193"/>
      <c r="AK92" s="301">
        <f>SUBTOTAL(9,AK89:AK91)</f>
        <v>6850</v>
      </c>
      <c r="AL92" s="193"/>
      <c r="AM92" s="223">
        <f>SUBTOTAL(9,AM89:AM91)</f>
        <v>5351.5625</v>
      </c>
      <c r="AN92" s="193"/>
      <c r="AO92" s="193"/>
      <c r="AP92" s="193"/>
      <c r="AQ92" s="193"/>
      <c r="AR92" s="224" t="e">
        <f aca="true" t="shared" si="59" ref="AR92:BF92">SUBTOTAL(9,AR89:AR91)</f>
        <v>#NAME?</v>
      </c>
      <c r="AS92" s="224" t="e">
        <f t="shared" si="59"/>
        <v>#NAME?</v>
      </c>
      <c r="AT92" s="224" t="e">
        <f t="shared" si="59"/>
        <v>#NAME?</v>
      </c>
      <c r="AU92" s="224" t="e">
        <f t="shared" si="59"/>
        <v>#NAME?</v>
      </c>
      <c r="AV92" s="224" t="e">
        <f t="shared" si="59"/>
        <v>#NAME?</v>
      </c>
      <c r="AW92" s="224" t="e">
        <f t="shared" si="59"/>
        <v>#NAME?</v>
      </c>
      <c r="AX92" s="224" t="e">
        <f t="shared" si="59"/>
        <v>#NAME?</v>
      </c>
      <c r="AY92" s="224" t="e">
        <f t="shared" si="59"/>
        <v>#NAME?</v>
      </c>
      <c r="AZ92" s="224" t="e">
        <f t="shared" si="59"/>
        <v>#NAME?</v>
      </c>
      <c r="BA92" s="224" t="e">
        <f t="shared" si="59"/>
        <v>#NAME?</v>
      </c>
      <c r="BB92" s="224" t="e">
        <f t="shared" si="59"/>
        <v>#NAME?</v>
      </c>
      <c r="BC92" s="224" t="e">
        <f t="shared" si="59"/>
        <v>#NAME?</v>
      </c>
      <c r="BD92" s="224" t="e">
        <f t="shared" si="59"/>
        <v>#NAME?</v>
      </c>
      <c r="BE92" s="224" t="e">
        <f t="shared" si="59"/>
        <v>#NAME?</v>
      </c>
      <c r="BF92" s="224" t="e">
        <f t="shared" si="59"/>
        <v>#NAME?</v>
      </c>
      <c r="BG92" s="224" t="e">
        <f aca="true" t="shared" si="60" ref="BG92:BY92">SUBTOTAL(9,BG89:BG91)</f>
        <v>#NAME?</v>
      </c>
      <c r="BH92" s="224" t="e">
        <f t="shared" si="60"/>
        <v>#NAME?</v>
      </c>
      <c r="BI92" s="224" t="e">
        <f t="shared" si="60"/>
        <v>#NAME?</v>
      </c>
      <c r="BJ92" s="224" t="e">
        <f t="shared" si="60"/>
        <v>#NAME?</v>
      </c>
      <c r="BK92" s="224" t="e">
        <f t="shared" si="60"/>
        <v>#NAME?</v>
      </c>
      <c r="BL92" s="224" t="e">
        <f t="shared" si="60"/>
        <v>#NAME?</v>
      </c>
      <c r="BM92" s="224" t="e">
        <f t="shared" si="60"/>
        <v>#NAME?</v>
      </c>
      <c r="BN92" s="224" t="e">
        <f t="shared" si="60"/>
        <v>#NAME?</v>
      </c>
      <c r="BO92" s="224" t="e">
        <f t="shared" si="60"/>
        <v>#NAME?</v>
      </c>
      <c r="BP92" s="224" t="e">
        <f t="shared" si="60"/>
        <v>#NAME?</v>
      </c>
      <c r="BQ92" s="224" t="e">
        <f t="shared" si="60"/>
        <v>#NAME?</v>
      </c>
      <c r="BR92" s="224" t="e">
        <f t="shared" si="60"/>
        <v>#NAME?</v>
      </c>
      <c r="BS92" s="224" t="e">
        <f t="shared" si="60"/>
        <v>#NAME?</v>
      </c>
      <c r="BT92" s="224" t="e">
        <f t="shared" si="60"/>
        <v>#NAME?</v>
      </c>
      <c r="BU92" s="224" t="e">
        <f t="shared" si="60"/>
        <v>#NAME?</v>
      </c>
      <c r="BV92" s="224" t="e">
        <f t="shared" si="60"/>
        <v>#NAME?</v>
      </c>
      <c r="BW92" s="224" t="e">
        <f t="shared" si="60"/>
        <v>#NAME?</v>
      </c>
      <c r="BX92" s="224" t="e">
        <f t="shared" si="60"/>
        <v>#NAME?</v>
      </c>
      <c r="BY92" s="224" t="e">
        <f t="shared" si="60"/>
        <v>#NAME?</v>
      </c>
    </row>
    <row r="93" spans="1:77" s="89" customFormat="1" ht="15.75">
      <c r="A93" s="171"/>
      <c r="B93" s="172"/>
      <c r="C93" s="172"/>
      <c r="D93" s="172"/>
      <c r="E93" s="172"/>
      <c r="F93" s="172"/>
      <c r="I93" s="173"/>
      <c r="J93" s="186"/>
      <c r="K93" s="363"/>
      <c r="L93" s="436"/>
      <c r="M93" s="399"/>
      <c r="N93" s="399"/>
      <c r="O93" s="399"/>
      <c r="P93" s="193"/>
      <c r="Q93" s="193"/>
      <c r="R93" s="225"/>
      <c r="S93" s="193"/>
      <c r="T93" s="193"/>
      <c r="U93" s="224"/>
      <c r="V93" s="224"/>
      <c r="W93" s="330"/>
      <c r="X93" s="193"/>
      <c r="Y93" s="301"/>
      <c r="Z93" s="193"/>
      <c r="AA93" s="223"/>
      <c r="AB93" s="193"/>
      <c r="AC93" s="193"/>
      <c r="AD93" s="225"/>
      <c r="AE93" s="193"/>
      <c r="AF93" s="193"/>
      <c r="AG93" s="224"/>
      <c r="AH93" s="224"/>
      <c r="AI93" s="242"/>
      <c r="AJ93" s="193"/>
      <c r="AK93" s="301"/>
      <c r="AL93" s="193"/>
      <c r="AM93" s="223"/>
      <c r="AN93" s="193"/>
      <c r="AO93" s="193"/>
      <c r="AP93" s="193"/>
      <c r="AQ93" s="193"/>
      <c r="AR93" s="224"/>
      <c r="AS93" s="224"/>
      <c r="AT93" s="224"/>
      <c r="AU93" s="224"/>
      <c r="AV93" s="224"/>
      <c r="AW93" s="224"/>
      <c r="AX93" s="224"/>
      <c r="AY93" s="224"/>
      <c r="AZ93" s="224"/>
      <c r="BA93" s="224"/>
      <c r="BB93" s="224"/>
      <c r="BC93" s="224"/>
      <c r="BD93" s="224"/>
      <c r="BE93" s="224"/>
      <c r="BF93" s="224"/>
      <c r="BG93" s="224"/>
      <c r="BH93" s="224"/>
      <c r="BI93" s="224"/>
      <c r="BJ93" s="224"/>
      <c r="BK93" s="224"/>
      <c r="BL93" s="224"/>
      <c r="BM93" s="224"/>
      <c r="BN93" s="224"/>
      <c r="BO93" s="224"/>
      <c r="BP93" s="224"/>
      <c r="BQ93" s="224"/>
      <c r="BR93" s="224"/>
      <c r="BS93" s="224"/>
      <c r="BT93" s="224"/>
      <c r="BU93" s="224"/>
      <c r="BV93" s="224"/>
      <c r="BW93" s="224"/>
      <c r="BX93" s="224"/>
      <c r="BY93" s="224"/>
    </row>
    <row r="94" spans="1:77" s="89" customFormat="1" ht="15.75">
      <c r="A94" s="171"/>
      <c r="B94" s="172"/>
      <c r="C94" s="172"/>
      <c r="D94" s="172"/>
      <c r="E94" s="172"/>
      <c r="F94" s="172"/>
      <c r="I94" s="173"/>
      <c r="J94" s="186" t="s">
        <v>189</v>
      </c>
      <c r="K94" s="363"/>
      <c r="L94" s="436"/>
      <c r="M94" s="399"/>
      <c r="N94" s="399"/>
      <c r="O94" s="399"/>
      <c r="P94" s="193"/>
      <c r="Q94" s="193"/>
      <c r="R94" s="225"/>
      <c r="S94" s="193"/>
      <c r="T94" s="193"/>
      <c r="U94" s="224"/>
      <c r="V94" s="224"/>
      <c r="W94" s="330"/>
      <c r="X94" s="193"/>
      <c r="Y94" s="301"/>
      <c r="Z94" s="193"/>
      <c r="AA94" s="223"/>
      <c r="AB94" s="193"/>
      <c r="AC94" s="193"/>
      <c r="AD94" s="225"/>
      <c r="AE94" s="193"/>
      <c r="AF94" s="193"/>
      <c r="AG94" s="224"/>
      <c r="AH94" s="224"/>
      <c r="AI94" s="242"/>
      <c r="AJ94" s="193"/>
      <c r="AK94" s="301"/>
      <c r="AL94" s="193"/>
      <c r="AM94" s="223"/>
      <c r="AN94" s="193"/>
      <c r="AO94" s="193"/>
      <c r="AP94" s="193"/>
      <c r="AQ94" s="193"/>
      <c r="AR94" s="224"/>
      <c r="AS94" s="224"/>
      <c r="AT94" s="224"/>
      <c r="AU94" s="224"/>
      <c r="AV94" s="224"/>
      <c r="AW94" s="224"/>
      <c r="AX94" s="224"/>
      <c r="AY94" s="224"/>
      <c r="AZ94" s="224"/>
      <c r="BA94" s="224"/>
      <c r="BB94" s="224"/>
      <c r="BC94" s="224"/>
      <c r="BD94" s="224"/>
      <c r="BE94" s="224"/>
      <c r="BF94" s="224"/>
      <c r="BG94" s="224"/>
      <c r="BH94" s="224"/>
      <c r="BI94" s="224"/>
      <c r="BJ94" s="224"/>
      <c r="BK94" s="224"/>
      <c r="BL94" s="224"/>
      <c r="BM94" s="224"/>
      <c r="BN94" s="224"/>
      <c r="BO94" s="224"/>
      <c r="BP94" s="224"/>
      <c r="BQ94" s="224"/>
      <c r="BR94" s="224"/>
      <c r="BS94" s="224"/>
      <c r="BT94" s="224"/>
      <c r="BU94" s="224"/>
      <c r="BV94" s="224"/>
      <c r="BW94" s="224"/>
      <c r="BX94" s="224"/>
      <c r="BY94" s="224"/>
    </row>
    <row r="95" spans="1:77" s="89" customFormat="1" ht="15.75">
      <c r="A95" s="124" t="s">
        <v>94</v>
      </c>
      <c r="B95" s="104"/>
      <c r="C95" s="104"/>
      <c r="D95" s="81"/>
      <c r="E95" s="105"/>
      <c r="F95" s="95"/>
      <c r="G95" s="82"/>
      <c r="H95" s="82"/>
      <c r="I95" s="166"/>
      <c r="J95" s="270" t="s">
        <v>195</v>
      </c>
      <c r="K95" s="329">
        <f>Y95</f>
        <v>7000</v>
      </c>
      <c r="L95" s="435">
        <f>K95*0.9</f>
        <v>6300</v>
      </c>
      <c r="M95" s="398">
        <f>L95/$M$4</f>
        <v>4921.875</v>
      </c>
      <c r="N95" s="398" t="e">
        <f aca="true" t="shared" si="61" ref="N95:O99">L95-AR95</f>
        <v>#NAME?</v>
      </c>
      <c r="O95" s="398" t="e">
        <f t="shared" si="61"/>
        <v>#NAME?</v>
      </c>
      <c r="P95" s="191"/>
      <c r="Q95" s="191"/>
      <c r="R95" s="192"/>
      <c r="S95" s="231" t="s">
        <v>203</v>
      </c>
      <c r="T95" s="274">
        <v>2</v>
      </c>
      <c r="U95" s="275">
        <v>3500</v>
      </c>
      <c r="V95" s="193"/>
      <c r="W95" s="329">
        <f>(T95*U95)</f>
        <v>7000</v>
      </c>
      <c r="X95" s="191"/>
      <c r="Y95" s="290">
        <f>W95</f>
        <v>7000</v>
      </c>
      <c r="Z95" s="191"/>
      <c r="AA95" s="190">
        <f>Y95/M$4</f>
        <v>5468.75</v>
      </c>
      <c r="AB95" s="191"/>
      <c r="AC95" s="191"/>
      <c r="AD95" s="192"/>
      <c r="AE95" s="231" t="s">
        <v>203</v>
      </c>
      <c r="AF95" s="274">
        <v>2</v>
      </c>
      <c r="AG95" s="275">
        <v>3500</v>
      </c>
      <c r="AH95" s="193"/>
      <c r="AI95" s="241">
        <f>(AF95*AG95)</f>
        <v>7000</v>
      </c>
      <c r="AJ95" s="191"/>
      <c r="AK95" s="290">
        <f>AI95</f>
        <v>7000</v>
      </c>
      <c r="AL95" s="191"/>
      <c r="AM95" s="190">
        <f>AK95/M$4</f>
        <v>5468.75</v>
      </c>
      <c r="AN95" s="191"/>
      <c r="AO95" s="191"/>
      <c r="AP95" s="191"/>
      <c r="AQ95" s="191"/>
      <c r="AR95" s="194" t="e">
        <f>AS95*$M$4</f>
        <v>#NAME?</v>
      </c>
      <c r="AS95" s="194" t="e">
        <f>AW95+BA95+BE95+BI95+BM95+BQ95+BU95+BY95</f>
        <v>#NAME?</v>
      </c>
      <c r="AT95" s="195" t="e">
        <v>#NAME?</v>
      </c>
      <c r="AU95" s="195" t="e">
        <v>#NAME?</v>
      </c>
      <c r="AV95" s="195" t="e">
        <v>#NAME?</v>
      </c>
      <c r="AW95" s="196" t="e">
        <f>SUM(AT95:AV95)</f>
        <v>#NAME?</v>
      </c>
      <c r="AX95" s="195" t="e">
        <v>#NAME?</v>
      </c>
      <c r="AY95" s="195" t="e">
        <v>#NAME?</v>
      </c>
      <c r="AZ95" s="195" t="e">
        <v>#NAME?</v>
      </c>
      <c r="BA95" s="196" t="e">
        <f>SUM(AX95:AZ95)</f>
        <v>#NAME?</v>
      </c>
      <c r="BB95" s="195" t="e">
        <v>#NAME?</v>
      </c>
      <c r="BC95" s="195" t="e">
        <v>#NAME?</v>
      </c>
      <c r="BD95" s="195" t="e">
        <v>#NAME?</v>
      </c>
      <c r="BE95" s="196" t="e">
        <f>SUM(BB95:BD95)</f>
        <v>#NAME?</v>
      </c>
      <c r="BF95" s="195" t="e">
        <v>#NAME?</v>
      </c>
      <c r="BG95" s="195" t="e">
        <v>#NAME?</v>
      </c>
      <c r="BH95" s="195" t="e">
        <v>#NAME?</v>
      </c>
      <c r="BI95" s="196" t="e">
        <f>SUM(BF95:BH95)</f>
        <v>#NAME?</v>
      </c>
      <c r="BJ95" s="195" t="e">
        <v>#NAME?</v>
      </c>
      <c r="BK95" s="195" t="e">
        <v>#NAME?</v>
      </c>
      <c r="BL95" s="195" t="e">
        <v>#NAME?</v>
      </c>
      <c r="BM95" s="196" t="e">
        <f>SUM(BJ95:BL95)</f>
        <v>#NAME?</v>
      </c>
      <c r="BN95" s="195" t="e">
        <v>#NAME?</v>
      </c>
      <c r="BO95" s="195" t="e">
        <v>#NAME?</v>
      </c>
      <c r="BP95" s="195" t="e">
        <v>#NAME?</v>
      </c>
      <c r="BQ95" s="196" t="e">
        <f>SUM(BM95:BP95)</f>
        <v>#NAME?</v>
      </c>
      <c r="BR95" s="195" t="e">
        <v>#NAME?</v>
      </c>
      <c r="BS95" s="195" t="e">
        <v>#NAME?</v>
      </c>
      <c r="BT95" s="195" t="e">
        <v>#NAME?</v>
      </c>
      <c r="BU95" s="196" t="e">
        <f>SUM(BQ95:BT95)</f>
        <v>#NAME?</v>
      </c>
      <c r="BV95" s="195" t="e">
        <v>#NAME?</v>
      </c>
      <c r="BW95" s="195" t="e">
        <v>#NAME?</v>
      </c>
      <c r="BX95" s="195" t="e">
        <v>#NAME?</v>
      </c>
      <c r="BY95" s="196" t="e">
        <f>SUM(BU95:BX95)</f>
        <v>#NAME?</v>
      </c>
    </row>
    <row r="96" spans="1:77" s="89" customFormat="1" ht="15.75">
      <c r="A96" s="124" t="s">
        <v>95</v>
      </c>
      <c r="B96" s="104"/>
      <c r="C96" s="104"/>
      <c r="D96" s="81"/>
      <c r="E96" s="105"/>
      <c r="F96" s="95"/>
      <c r="G96" s="82"/>
      <c r="H96" s="82"/>
      <c r="I96" s="166"/>
      <c r="J96" s="270" t="s">
        <v>196</v>
      </c>
      <c r="K96" s="329">
        <f>Y96</f>
        <v>7000</v>
      </c>
      <c r="L96" s="435">
        <f>K96*0.9</f>
        <v>6300</v>
      </c>
      <c r="M96" s="398">
        <f>L96/$M$4</f>
        <v>4921.875</v>
      </c>
      <c r="N96" s="398" t="e">
        <f t="shared" si="61"/>
        <v>#NAME?</v>
      </c>
      <c r="O96" s="398" t="e">
        <f t="shared" si="61"/>
        <v>#NAME?</v>
      </c>
      <c r="P96" s="191"/>
      <c r="Q96" s="191"/>
      <c r="R96" s="192"/>
      <c r="S96" s="231" t="s">
        <v>204</v>
      </c>
      <c r="T96" s="274">
        <v>2</v>
      </c>
      <c r="U96" s="275">
        <v>3500</v>
      </c>
      <c r="V96" s="193"/>
      <c r="W96" s="329">
        <f>(T96*U96)</f>
        <v>7000</v>
      </c>
      <c r="X96" s="191"/>
      <c r="Y96" s="290">
        <f>W96</f>
        <v>7000</v>
      </c>
      <c r="Z96" s="191"/>
      <c r="AA96" s="190">
        <f>Y96/M$4</f>
        <v>5468.75</v>
      </c>
      <c r="AB96" s="191"/>
      <c r="AC96" s="191"/>
      <c r="AD96" s="192"/>
      <c r="AE96" s="231" t="s">
        <v>204</v>
      </c>
      <c r="AF96" s="274">
        <v>2</v>
      </c>
      <c r="AG96" s="275">
        <v>3500</v>
      </c>
      <c r="AH96" s="193"/>
      <c r="AI96" s="241">
        <f>(AF96*AG96)</f>
        <v>7000</v>
      </c>
      <c r="AJ96" s="191"/>
      <c r="AK96" s="290">
        <f>AI96</f>
        <v>7000</v>
      </c>
      <c r="AL96" s="191"/>
      <c r="AM96" s="190">
        <f>AK96/M$4</f>
        <v>5468.75</v>
      </c>
      <c r="AN96" s="191"/>
      <c r="AO96" s="191"/>
      <c r="AP96" s="191"/>
      <c r="AQ96" s="191"/>
      <c r="AR96" s="194" t="e">
        <f>AS96*$M$4</f>
        <v>#NAME?</v>
      </c>
      <c r="AS96" s="194" t="e">
        <f>AW96+BA96+BE96+BI96+BM96+BQ96+BU96+BY96</f>
        <v>#NAME?</v>
      </c>
      <c r="AT96" s="195" t="e">
        <v>#NAME?</v>
      </c>
      <c r="AU96" s="195" t="e">
        <v>#NAME?</v>
      </c>
      <c r="AV96" s="195" t="e">
        <v>#NAME?</v>
      </c>
      <c r="AW96" s="196" t="e">
        <f>SUM(AT96:AV96)</f>
        <v>#NAME?</v>
      </c>
      <c r="AX96" s="195" t="e">
        <v>#NAME?</v>
      </c>
      <c r="AY96" s="195" t="e">
        <v>#NAME?</v>
      </c>
      <c r="AZ96" s="195" t="e">
        <v>#NAME?</v>
      </c>
      <c r="BA96" s="196" t="e">
        <f>SUM(AX96:AZ96)</f>
        <v>#NAME?</v>
      </c>
      <c r="BB96" s="195" t="e">
        <v>#NAME?</v>
      </c>
      <c r="BC96" s="195" t="e">
        <v>#NAME?</v>
      </c>
      <c r="BD96" s="195" t="e">
        <v>#NAME?</v>
      </c>
      <c r="BE96" s="196" t="e">
        <f>SUM(BB96:BD96)</f>
        <v>#NAME?</v>
      </c>
      <c r="BF96" s="195" t="e">
        <v>#NAME?</v>
      </c>
      <c r="BG96" s="195" t="e">
        <v>#NAME?</v>
      </c>
      <c r="BH96" s="195" t="e">
        <v>#NAME?</v>
      </c>
      <c r="BI96" s="196" t="e">
        <f>SUM(BF96:BH96)</f>
        <v>#NAME?</v>
      </c>
      <c r="BJ96" s="195" t="e">
        <v>#NAME?</v>
      </c>
      <c r="BK96" s="195" t="e">
        <v>#NAME?</v>
      </c>
      <c r="BL96" s="195" t="e">
        <v>#NAME?</v>
      </c>
      <c r="BM96" s="196" t="e">
        <f>SUM(BJ96:BL96)</f>
        <v>#NAME?</v>
      </c>
      <c r="BN96" s="195" t="e">
        <v>#NAME?</v>
      </c>
      <c r="BO96" s="195" t="e">
        <v>#NAME?</v>
      </c>
      <c r="BP96" s="195" t="e">
        <v>#NAME?</v>
      </c>
      <c r="BQ96" s="196" t="e">
        <f>SUM(BM96:BP96)</f>
        <v>#NAME?</v>
      </c>
      <c r="BR96" s="195" t="e">
        <v>#NAME?</v>
      </c>
      <c r="BS96" s="195" t="e">
        <v>#NAME?</v>
      </c>
      <c r="BT96" s="195" t="e">
        <v>#NAME?</v>
      </c>
      <c r="BU96" s="196" t="e">
        <f>SUM(BQ96:BT96)</f>
        <v>#NAME?</v>
      </c>
      <c r="BV96" s="195" t="e">
        <v>#NAME?</v>
      </c>
      <c r="BW96" s="195" t="e">
        <v>#NAME?</v>
      </c>
      <c r="BX96" s="195" t="e">
        <v>#NAME?</v>
      </c>
      <c r="BY96" s="196" t="e">
        <f>SUM(BU96:BX96)</f>
        <v>#NAME?</v>
      </c>
    </row>
    <row r="97" spans="1:77" s="89" customFormat="1" ht="15.75">
      <c r="A97" s="124" t="s">
        <v>96</v>
      </c>
      <c r="B97" s="104"/>
      <c r="C97" s="104"/>
      <c r="D97" s="81"/>
      <c r="E97" s="105"/>
      <c r="F97" s="95"/>
      <c r="G97" s="82"/>
      <c r="H97" s="82"/>
      <c r="I97" s="166"/>
      <c r="J97" s="270" t="s">
        <v>197</v>
      </c>
      <c r="K97" s="329">
        <f>Y97</f>
        <v>2400</v>
      </c>
      <c r="L97" s="435">
        <f>K97*0.9</f>
        <v>2160</v>
      </c>
      <c r="M97" s="398">
        <f>L97/$M$4</f>
        <v>1687.5</v>
      </c>
      <c r="N97" s="398" t="e">
        <f t="shared" si="61"/>
        <v>#NAME?</v>
      </c>
      <c r="O97" s="398" t="e">
        <f t="shared" si="61"/>
        <v>#NAME?</v>
      </c>
      <c r="P97" s="191"/>
      <c r="Q97" s="191"/>
      <c r="R97" s="192"/>
      <c r="S97" s="231" t="s">
        <v>205</v>
      </c>
      <c r="T97" s="274">
        <v>2</v>
      </c>
      <c r="U97" s="275">
        <v>1200</v>
      </c>
      <c r="V97" s="193"/>
      <c r="W97" s="329">
        <f>(T97*U97)</f>
        <v>2400</v>
      </c>
      <c r="X97" s="191"/>
      <c r="Y97" s="290">
        <f>W97</f>
        <v>2400</v>
      </c>
      <c r="Z97" s="191"/>
      <c r="AA97" s="190">
        <f>Y97/M$4</f>
        <v>1875</v>
      </c>
      <c r="AB97" s="191"/>
      <c r="AC97" s="191"/>
      <c r="AD97" s="192"/>
      <c r="AE97" s="231" t="s">
        <v>205</v>
      </c>
      <c r="AF97" s="274">
        <v>2</v>
      </c>
      <c r="AG97" s="275">
        <v>1200</v>
      </c>
      <c r="AH97" s="193"/>
      <c r="AI97" s="241">
        <f>(AF97*AG97)</f>
        <v>2400</v>
      </c>
      <c r="AJ97" s="191"/>
      <c r="AK97" s="290">
        <f>AI97</f>
        <v>2400</v>
      </c>
      <c r="AL97" s="191"/>
      <c r="AM97" s="190">
        <f>AK97/M$4</f>
        <v>1875</v>
      </c>
      <c r="AN97" s="191"/>
      <c r="AO97" s="191"/>
      <c r="AP97" s="191"/>
      <c r="AQ97" s="191"/>
      <c r="AR97" s="194" t="e">
        <f>AS97*$M$4</f>
        <v>#NAME?</v>
      </c>
      <c r="AS97" s="194" t="e">
        <f>AW97+BA97+BE97+BI97+BM97+BQ97+BU97+BY97</f>
        <v>#NAME?</v>
      </c>
      <c r="AT97" s="195" t="e">
        <v>#NAME?</v>
      </c>
      <c r="AU97" s="195" t="e">
        <v>#NAME?</v>
      </c>
      <c r="AV97" s="195" t="e">
        <v>#NAME?</v>
      </c>
      <c r="AW97" s="196" t="e">
        <f>SUM(AT97:AV97)</f>
        <v>#NAME?</v>
      </c>
      <c r="AX97" s="195" t="e">
        <v>#NAME?</v>
      </c>
      <c r="AY97" s="195" t="e">
        <v>#NAME?</v>
      </c>
      <c r="AZ97" s="195" t="e">
        <v>#NAME?</v>
      </c>
      <c r="BA97" s="196" t="e">
        <f>SUM(AX97:AZ97)</f>
        <v>#NAME?</v>
      </c>
      <c r="BB97" s="195" t="e">
        <v>#NAME?</v>
      </c>
      <c r="BC97" s="195" t="e">
        <v>#NAME?</v>
      </c>
      <c r="BD97" s="195" t="e">
        <v>#NAME?</v>
      </c>
      <c r="BE97" s="196" t="e">
        <f>SUM(BB97:BD97)</f>
        <v>#NAME?</v>
      </c>
      <c r="BF97" s="195" t="e">
        <v>#NAME?</v>
      </c>
      <c r="BG97" s="195" t="e">
        <v>#NAME?</v>
      </c>
      <c r="BH97" s="195" t="e">
        <v>#NAME?</v>
      </c>
      <c r="BI97" s="196" t="e">
        <f>SUM(BF97:BH97)</f>
        <v>#NAME?</v>
      </c>
      <c r="BJ97" s="195" t="e">
        <v>#NAME?</v>
      </c>
      <c r="BK97" s="195" t="e">
        <v>#NAME?</v>
      </c>
      <c r="BL97" s="195" t="e">
        <v>#NAME?</v>
      </c>
      <c r="BM97" s="196" t="e">
        <f>SUM(BJ97:BL97)</f>
        <v>#NAME?</v>
      </c>
      <c r="BN97" s="195" t="e">
        <v>#NAME?</v>
      </c>
      <c r="BO97" s="195" t="e">
        <v>#NAME?</v>
      </c>
      <c r="BP97" s="195" t="e">
        <v>#NAME?</v>
      </c>
      <c r="BQ97" s="196" t="e">
        <f>SUM(BM97:BP97)</f>
        <v>#NAME?</v>
      </c>
      <c r="BR97" s="195" t="e">
        <v>#NAME?</v>
      </c>
      <c r="BS97" s="195" t="e">
        <v>#NAME?</v>
      </c>
      <c r="BT97" s="195" t="e">
        <v>#NAME?</v>
      </c>
      <c r="BU97" s="196" t="e">
        <f>SUM(BQ97:BT97)</f>
        <v>#NAME?</v>
      </c>
      <c r="BV97" s="195" t="e">
        <v>#NAME?</v>
      </c>
      <c r="BW97" s="195" t="e">
        <v>#NAME?</v>
      </c>
      <c r="BX97" s="195" t="e">
        <v>#NAME?</v>
      </c>
      <c r="BY97" s="196" t="e">
        <f>SUM(BU97:BX97)</f>
        <v>#NAME?</v>
      </c>
    </row>
    <row r="98" spans="1:77" s="89" customFormat="1" ht="15.75">
      <c r="A98" s="124" t="s">
        <v>97</v>
      </c>
      <c r="B98" s="104"/>
      <c r="C98" s="104"/>
      <c r="D98" s="81"/>
      <c r="E98" s="105"/>
      <c r="F98" s="95"/>
      <c r="G98" s="82"/>
      <c r="H98" s="82"/>
      <c r="I98" s="166"/>
      <c r="J98" s="270" t="s">
        <v>198</v>
      </c>
      <c r="K98" s="329">
        <f>Y98</f>
        <v>6000</v>
      </c>
      <c r="L98" s="435">
        <f>K98*0.9</f>
        <v>5400</v>
      </c>
      <c r="M98" s="398">
        <f>L98/$M$4</f>
        <v>4218.75</v>
      </c>
      <c r="N98" s="398" t="e">
        <f t="shared" si="61"/>
        <v>#NAME?</v>
      </c>
      <c r="O98" s="398" t="e">
        <f t="shared" si="61"/>
        <v>#NAME?</v>
      </c>
      <c r="P98" s="191"/>
      <c r="Q98" s="191"/>
      <c r="R98" s="192"/>
      <c r="S98" s="231" t="s">
        <v>205</v>
      </c>
      <c r="T98" s="274">
        <v>2</v>
      </c>
      <c r="U98" s="275">
        <v>3000</v>
      </c>
      <c r="V98" s="193"/>
      <c r="W98" s="329">
        <f>(T98*U98)</f>
        <v>6000</v>
      </c>
      <c r="X98" s="191"/>
      <c r="Y98" s="290">
        <f>W98</f>
        <v>6000</v>
      </c>
      <c r="Z98" s="191"/>
      <c r="AA98" s="190">
        <f>Y98/M$4</f>
        <v>4687.5</v>
      </c>
      <c r="AB98" s="191"/>
      <c r="AC98" s="191"/>
      <c r="AD98" s="192"/>
      <c r="AE98" s="231" t="s">
        <v>205</v>
      </c>
      <c r="AF98" s="274">
        <v>2</v>
      </c>
      <c r="AG98" s="275">
        <v>3000</v>
      </c>
      <c r="AH98" s="193"/>
      <c r="AI98" s="241">
        <f>(AF98*AG98)</f>
        <v>6000</v>
      </c>
      <c r="AJ98" s="191"/>
      <c r="AK98" s="290">
        <f>AI98</f>
        <v>6000</v>
      </c>
      <c r="AL98" s="191"/>
      <c r="AM98" s="190">
        <f>AK98/M$4</f>
        <v>4687.5</v>
      </c>
      <c r="AN98" s="191"/>
      <c r="AO98" s="191"/>
      <c r="AP98" s="191"/>
      <c r="AQ98" s="191"/>
      <c r="AR98" s="194" t="e">
        <f>AS98*$M$4</f>
        <v>#NAME?</v>
      </c>
      <c r="AS98" s="194" t="e">
        <f>AW98+BA98+BE98+BI98+BM98+BQ98+BU98+BY98</f>
        <v>#NAME?</v>
      </c>
      <c r="AT98" s="195" t="e">
        <v>#NAME?</v>
      </c>
      <c r="AU98" s="195" t="e">
        <v>#NAME?</v>
      </c>
      <c r="AV98" s="195" t="e">
        <v>#NAME?</v>
      </c>
      <c r="AW98" s="196" t="e">
        <f>SUM(AT98:AV98)</f>
        <v>#NAME?</v>
      </c>
      <c r="AX98" s="195" t="e">
        <v>#NAME?</v>
      </c>
      <c r="AY98" s="195" t="e">
        <v>#NAME?</v>
      </c>
      <c r="AZ98" s="195" t="e">
        <v>#NAME?</v>
      </c>
      <c r="BA98" s="196" t="e">
        <f>SUM(AX98:AZ98)</f>
        <v>#NAME?</v>
      </c>
      <c r="BB98" s="195" t="e">
        <v>#NAME?</v>
      </c>
      <c r="BC98" s="195" t="e">
        <v>#NAME?</v>
      </c>
      <c r="BD98" s="195" t="e">
        <v>#NAME?</v>
      </c>
      <c r="BE98" s="196" t="e">
        <f>SUM(BB98:BD98)</f>
        <v>#NAME?</v>
      </c>
      <c r="BF98" s="195" t="e">
        <v>#NAME?</v>
      </c>
      <c r="BG98" s="195" t="e">
        <v>#NAME?</v>
      </c>
      <c r="BH98" s="195" t="e">
        <v>#NAME?</v>
      </c>
      <c r="BI98" s="196" t="e">
        <f>SUM(BF98:BH98)</f>
        <v>#NAME?</v>
      </c>
      <c r="BJ98" s="195" t="e">
        <v>#NAME?</v>
      </c>
      <c r="BK98" s="195" t="e">
        <v>#NAME?</v>
      </c>
      <c r="BL98" s="195" t="e">
        <v>#NAME?</v>
      </c>
      <c r="BM98" s="196" t="e">
        <f>SUM(BJ98:BL98)</f>
        <v>#NAME?</v>
      </c>
      <c r="BN98" s="195" t="e">
        <v>#NAME?</v>
      </c>
      <c r="BO98" s="195" t="e">
        <v>#NAME?</v>
      </c>
      <c r="BP98" s="195" t="e">
        <v>#NAME?</v>
      </c>
      <c r="BQ98" s="196" t="e">
        <f>SUM(BM98:BP98)</f>
        <v>#NAME?</v>
      </c>
      <c r="BR98" s="195" t="e">
        <v>#NAME?</v>
      </c>
      <c r="BS98" s="195" t="e">
        <v>#NAME?</v>
      </c>
      <c r="BT98" s="195" t="e">
        <v>#NAME?</v>
      </c>
      <c r="BU98" s="196" t="e">
        <f>SUM(BQ98:BT98)</f>
        <v>#NAME?</v>
      </c>
      <c r="BV98" s="195" t="e">
        <v>#NAME?</v>
      </c>
      <c r="BW98" s="195" t="e">
        <v>#NAME?</v>
      </c>
      <c r="BX98" s="195" t="e">
        <v>#NAME?</v>
      </c>
      <c r="BY98" s="196" t="e">
        <f>SUM(BU98:BX98)</f>
        <v>#NAME?</v>
      </c>
    </row>
    <row r="99" spans="1:77" s="89" customFormat="1" ht="15.75">
      <c r="A99" s="124" t="s">
        <v>98</v>
      </c>
      <c r="B99" s="104"/>
      <c r="C99" s="104"/>
      <c r="D99" s="81"/>
      <c r="E99" s="105"/>
      <c r="F99" s="95"/>
      <c r="G99" s="82"/>
      <c r="H99" s="82"/>
      <c r="I99" s="166"/>
      <c r="J99" s="270" t="s">
        <v>199</v>
      </c>
      <c r="K99" s="329">
        <f>Y99</f>
        <v>1050</v>
      </c>
      <c r="L99" s="435">
        <f>K99*0.9</f>
        <v>945</v>
      </c>
      <c r="M99" s="398">
        <f>L99/$M$4</f>
        <v>738.28125</v>
      </c>
      <c r="N99" s="398" t="e">
        <f t="shared" si="61"/>
        <v>#NAME?</v>
      </c>
      <c r="O99" s="398" t="e">
        <f t="shared" si="61"/>
        <v>#NAME?</v>
      </c>
      <c r="P99" s="191"/>
      <c r="Q99" s="191"/>
      <c r="R99" s="192"/>
      <c r="S99" s="231" t="s">
        <v>206</v>
      </c>
      <c r="T99" s="274">
        <v>3</v>
      </c>
      <c r="U99" s="275">
        <v>350</v>
      </c>
      <c r="V99" s="193"/>
      <c r="W99" s="329">
        <f>(T99*U99)</f>
        <v>1050</v>
      </c>
      <c r="X99" s="191"/>
      <c r="Y99" s="290">
        <f>W99</f>
        <v>1050</v>
      </c>
      <c r="Z99" s="191"/>
      <c r="AA99" s="190">
        <f>Y99/M$4</f>
        <v>820.3125</v>
      </c>
      <c r="AB99" s="191"/>
      <c r="AC99" s="191"/>
      <c r="AD99" s="192"/>
      <c r="AE99" s="231" t="s">
        <v>206</v>
      </c>
      <c r="AF99" s="274">
        <v>3</v>
      </c>
      <c r="AG99" s="275">
        <v>350</v>
      </c>
      <c r="AH99" s="193"/>
      <c r="AI99" s="241">
        <f>(AF99*AG99)</f>
        <v>1050</v>
      </c>
      <c r="AJ99" s="191"/>
      <c r="AK99" s="290">
        <f>AI99</f>
        <v>1050</v>
      </c>
      <c r="AL99" s="191"/>
      <c r="AM99" s="190">
        <f>AK99/M$4</f>
        <v>820.3125</v>
      </c>
      <c r="AN99" s="191"/>
      <c r="AO99" s="191"/>
      <c r="AP99" s="191"/>
      <c r="AQ99" s="191"/>
      <c r="AR99" s="194" t="e">
        <f>AS99*$M$4</f>
        <v>#NAME?</v>
      </c>
      <c r="AS99" s="194" t="e">
        <f>AW99+BA99+BE99+BI99+BM99+BQ99+BU99+BY99</f>
        <v>#NAME?</v>
      </c>
      <c r="AT99" s="195" t="e">
        <v>#NAME?</v>
      </c>
      <c r="AU99" s="195" t="e">
        <v>#NAME?</v>
      </c>
      <c r="AV99" s="195" t="e">
        <v>#NAME?</v>
      </c>
      <c r="AW99" s="196" t="e">
        <f>SUM(AT99:AV99)</f>
        <v>#NAME?</v>
      </c>
      <c r="AX99" s="195" t="e">
        <v>#NAME?</v>
      </c>
      <c r="AY99" s="195" t="e">
        <v>#NAME?</v>
      </c>
      <c r="AZ99" s="195" t="e">
        <v>#NAME?</v>
      </c>
      <c r="BA99" s="196" t="e">
        <f>SUM(AX99:AZ99)</f>
        <v>#NAME?</v>
      </c>
      <c r="BB99" s="195" t="e">
        <v>#NAME?</v>
      </c>
      <c r="BC99" s="195" t="e">
        <v>#NAME?</v>
      </c>
      <c r="BD99" s="195" t="e">
        <v>#NAME?</v>
      </c>
      <c r="BE99" s="196" t="e">
        <f>SUM(BB99:BD99)</f>
        <v>#NAME?</v>
      </c>
      <c r="BF99" s="195" t="e">
        <v>#NAME?</v>
      </c>
      <c r="BG99" s="195" t="e">
        <v>#NAME?</v>
      </c>
      <c r="BH99" s="195" t="e">
        <v>#NAME?</v>
      </c>
      <c r="BI99" s="196" t="e">
        <f>SUM(BF99:BH99)</f>
        <v>#NAME?</v>
      </c>
      <c r="BJ99" s="195" t="e">
        <v>#NAME?</v>
      </c>
      <c r="BK99" s="195" t="e">
        <v>#NAME?</v>
      </c>
      <c r="BL99" s="195" t="e">
        <v>#NAME?</v>
      </c>
      <c r="BM99" s="196" t="e">
        <f>SUM(BJ99:BL99)</f>
        <v>#NAME?</v>
      </c>
      <c r="BN99" s="195" t="e">
        <v>#NAME?</v>
      </c>
      <c r="BO99" s="195" t="e">
        <v>#NAME?</v>
      </c>
      <c r="BP99" s="195" t="e">
        <v>#NAME?</v>
      </c>
      <c r="BQ99" s="196" t="e">
        <f>SUM(BM99:BP99)</f>
        <v>#NAME?</v>
      </c>
      <c r="BR99" s="195" t="e">
        <v>#NAME?</v>
      </c>
      <c r="BS99" s="195" t="e">
        <v>#NAME?</v>
      </c>
      <c r="BT99" s="195" t="e">
        <v>#NAME?</v>
      </c>
      <c r="BU99" s="196" t="e">
        <f>SUM(BQ99:BT99)</f>
        <v>#NAME?</v>
      </c>
      <c r="BV99" s="195" t="e">
        <v>#NAME?</v>
      </c>
      <c r="BW99" s="195" t="e">
        <v>#NAME?</v>
      </c>
      <c r="BX99" s="195" t="e">
        <v>#NAME?</v>
      </c>
      <c r="BY99" s="196" t="e">
        <f>SUM(BU99:BX99)</f>
        <v>#NAME?</v>
      </c>
    </row>
    <row r="100" spans="1:77" s="89" customFormat="1" ht="15.75">
      <c r="A100" s="171"/>
      <c r="B100" s="172"/>
      <c r="C100" s="172"/>
      <c r="D100" s="172"/>
      <c r="E100" s="172"/>
      <c r="F100" s="172"/>
      <c r="I100" s="173"/>
      <c r="J100" s="186" t="str">
        <f>CONCATENATE("Subtotal ",J94)</f>
        <v>Subtotal 3.4 Security equipment</v>
      </c>
      <c r="K100" s="363">
        <f>SUBTOTAL(9,K94:K99)</f>
        <v>23450</v>
      </c>
      <c r="L100" s="436">
        <f>SUBTOTAL(9,L94:L99)</f>
        <v>21105</v>
      </c>
      <c r="M100" s="399">
        <f>SUBTOTAL(9,M94:M99)</f>
        <v>16488.28125</v>
      </c>
      <c r="N100" s="399" t="e">
        <f>SUBTOTAL(9,N94:N99)</f>
        <v>#NAME?</v>
      </c>
      <c r="O100" s="399" t="e">
        <f>SUBTOTAL(9,O94:O99)</f>
        <v>#NAME?</v>
      </c>
      <c r="P100" s="193"/>
      <c r="Q100" s="193"/>
      <c r="R100" s="225"/>
      <c r="S100" s="193"/>
      <c r="T100" s="193"/>
      <c r="U100" s="224"/>
      <c r="V100" s="224"/>
      <c r="W100" s="330">
        <f>SUBTOTAL(9,W94:W99)</f>
        <v>23450</v>
      </c>
      <c r="X100" s="193"/>
      <c r="Y100" s="301">
        <f>SUBTOTAL(9,Y94:Y99)</f>
        <v>23450</v>
      </c>
      <c r="Z100" s="193"/>
      <c r="AA100" s="223">
        <f>SUBTOTAL(9,AA94:AA99)</f>
        <v>18320.3125</v>
      </c>
      <c r="AB100" s="193"/>
      <c r="AC100" s="193"/>
      <c r="AD100" s="225"/>
      <c r="AE100" s="193"/>
      <c r="AF100" s="193"/>
      <c r="AG100" s="224"/>
      <c r="AH100" s="224"/>
      <c r="AI100" s="242">
        <f>SUBTOTAL(9,AI94:AI99)</f>
        <v>23450</v>
      </c>
      <c r="AJ100" s="193"/>
      <c r="AK100" s="301">
        <f>SUBTOTAL(9,AK94:AK99)</f>
        <v>23450</v>
      </c>
      <c r="AL100" s="193"/>
      <c r="AM100" s="223">
        <f>SUBTOTAL(9,AM94:AM99)</f>
        <v>18320.3125</v>
      </c>
      <c r="AN100" s="193"/>
      <c r="AO100" s="193"/>
      <c r="AP100" s="193"/>
      <c r="AQ100" s="193"/>
      <c r="AR100" s="224" t="e">
        <f aca="true" t="shared" si="62" ref="AR100:BF100">SUBTOTAL(9,AR94:AR99)</f>
        <v>#NAME?</v>
      </c>
      <c r="AS100" s="224" t="e">
        <f t="shared" si="62"/>
        <v>#NAME?</v>
      </c>
      <c r="AT100" s="224" t="e">
        <f t="shared" si="62"/>
        <v>#NAME?</v>
      </c>
      <c r="AU100" s="224" t="e">
        <f t="shared" si="62"/>
        <v>#NAME?</v>
      </c>
      <c r="AV100" s="224" t="e">
        <f t="shared" si="62"/>
        <v>#NAME?</v>
      </c>
      <c r="AW100" s="224" t="e">
        <f t="shared" si="62"/>
        <v>#NAME?</v>
      </c>
      <c r="AX100" s="224" t="e">
        <f t="shared" si="62"/>
        <v>#NAME?</v>
      </c>
      <c r="AY100" s="224" t="e">
        <f t="shared" si="62"/>
        <v>#NAME?</v>
      </c>
      <c r="AZ100" s="224" t="e">
        <f t="shared" si="62"/>
        <v>#NAME?</v>
      </c>
      <c r="BA100" s="224" t="e">
        <f t="shared" si="62"/>
        <v>#NAME?</v>
      </c>
      <c r="BB100" s="224" t="e">
        <f t="shared" si="62"/>
        <v>#NAME?</v>
      </c>
      <c r="BC100" s="224" t="e">
        <f t="shared" si="62"/>
        <v>#NAME?</v>
      </c>
      <c r="BD100" s="224" t="e">
        <f t="shared" si="62"/>
        <v>#NAME?</v>
      </c>
      <c r="BE100" s="224" t="e">
        <f t="shared" si="62"/>
        <v>#NAME?</v>
      </c>
      <c r="BF100" s="224" t="e">
        <f t="shared" si="62"/>
        <v>#NAME?</v>
      </c>
      <c r="BG100" s="224" t="e">
        <f aca="true" t="shared" si="63" ref="BG100:BY100">SUBTOTAL(9,BG94:BG99)</f>
        <v>#NAME?</v>
      </c>
      <c r="BH100" s="224" t="e">
        <f t="shared" si="63"/>
        <v>#NAME?</v>
      </c>
      <c r="BI100" s="224" t="e">
        <f t="shared" si="63"/>
        <v>#NAME?</v>
      </c>
      <c r="BJ100" s="224" t="e">
        <f t="shared" si="63"/>
        <v>#NAME?</v>
      </c>
      <c r="BK100" s="224" t="e">
        <f t="shared" si="63"/>
        <v>#NAME?</v>
      </c>
      <c r="BL100" s="224" t="e">
        <f t="shared" si="63"/>
        <v>#NAME?</v>
      </c>
      <c r="BM100" s="224" t="e">
        <f t="shared" si="63"/>
        <v>#NAME?</v>
      </c>
      <c r="BN100" s="224" t="e">
        <f t="shared" si="63"/>
        <v>#NAME?</v>
      </c>
      <c r="BO100" s="224" t="e">
        <f t="shared" si="63"/>
        <v>#NAME?</v>
      </c>
      <c r="BP100" s="224" t="e">
        <f t="shared" si="63"/>
        <v>#NAME?</v>
      </c>
      <c r="BQ100" s="224" t="e">
        <f t="shared" si="63"/>
        <v>#NAME?</v>
      </c>
      <c r="BR100" s="224" t="e">
        <f t="shared" si="63"/>
        <v>#NAME?</v>
      </c>
      <c r="BS100" s="224" t="e">
        <f t="shared" si="63"/>
        <v>#NAME?</v>
      </c>
      <c r="BT100" s="224" t="e">
        <f t="shared" si="63"/>
        <v>#NAME?</v>
      </c>
      <c r="BU100" s="224" t="e">
        <f t="shared" si="63"/>
        <v>#NAME?</v>
      </c>
      <c r="BV100" s="224" t="e">
        <f t="shared" si="63"/>
        <v>#NAME?</v>
      </c>
      <c r="BW100" s="224" t="e">
        <f t="shared" si="63"/>
        <v>#NAME?</v>
      </c>
      <c r="BX100" s="224" t="e">
        <f t="shared" si="63"/>
        <v>#NAME?</v>
      </c>
      <c r="BY100" s="224" t="e">
        <f t="shared" si="63"/>
        <v>#NAME?</v>
      </c>
    </row>
    <row r="101" spans="1:77" s="86" customFormat="1" ht="26.25" customHeight="1">
      <c r="A101" s="79"/>
      <c r="B101" s="106"/>
      <c r="C101" s="106"/>
      <c r="D101" s="95"/>
      <c r="E101" s="106"/>
      <c r="F101" s="95"/>
      <c r="G101" s="82"/>
      <c r="H101" s="82"/>
      <c r="I101" s="168"/>
      <c r="J101" s="187" t="str">
        <f>CONCATENATE("Total ",J82)</f>
        <v>Total 3. Equipment and Supplies</v>
      </c>
      <c r="K101" s="365">
        <f>SUBTOTAL(9,K84:K100)</f>
        <v>80050</v>
      </c>
      <c r="L101" s="439">
        <f>SUBTOTAL(9,L84:L100)</f>
        <v>72045</v>
      </c>
      <c r="M101" s="403">
        <f>SUBTOTAL(9,M84:M100)</f>
        <v>56285.15625</v>
      </c>
      <c r="N101" s="404" t="e">
        <f>SUBTOTAL(9,N84:N85)</f>
        <v>#NAME?</v>
      </c>
      <c r="O101" s="404" t="e">
        <f>SUBTOTAL(9,O84:O85)</f>
        <v>#NAME?</v>
      </c>
      <c r="P101" s="191"/>
      <c r="Q101" s="191"/>
      <c r="R101" s="198"/>
      <c r="S101" s="198"/>
      <c r="T101" s="199"/>
      <c r="U101" s="200"/>
      <c r="V101" s="200"/>
      <c r="W101" s="333">
        <f>SUBTOTAL(9,W84:W100)</f>
        <v>80050</v>
      </c>
      <c r="X101" s="191"/>
      <c r="Y101" s="310">
        <f>SUBTOTAL(9,Y84:Y85)</f>
        <v>49750</v>
      </c>
      <c r="Z101" s="191"/>
      <c r="AA101" s="197">
        <f>SUBTOTAL(9,AA84:AA85)</f>
        <v>38867.1875</v>
      </c>
      <c r="AB101" s="191"/>
      <c r="AC101" s="191"/>
      <c r="AD101" s="198"/>
      <c r="AE101" s="198"/>
      <c r="AF101" s="199"/>
      <c r="AG101" s="200"/>
      <c r="AH101" s="200"/>
      <c r="AI101" s="243">
        <f>SUBTOTAL(9,AI84:AI100)</f>
        <v>80050</v>
      </c>
      <c r="AJ101" s="191"/>
      <c r="AK101" s="310">
        <f>SUBTOTAL(9,AK84:AK85)</f>
        <v>49750</v>
      </c>
      <c r="AL101" s="191"/>
      <c r="AM101" s="197">
        <f>SUBTOTAL(9,AM84:AM85)</f>
        <v>38867.1875</v>
      </c>
      <c r="AN101" s="191"/>
      <c r="AO101" s="191"/>
      <c r="AP101" s="191"/>
      <c r="AQ101" s="191"/>
      <c r="AR101" s="201" t="e">
        <f>SUBTOTAL(9,AR84:AR85)</f>
        <v>#NAME?</v>
      </c>
      <c r="AS101" s="201" t="e">
        <f>SUBTOTAL(9,AS84:AS85)</f>
        <v>#NAME?</v>
      </c>
      <c r="AT101" s="201">
        <v>0</v>
      </c>
      <c r="AU101" s="201">
        <v>0</v>
      </c>
      <c r="AV101" s="201">
        <v>0</v>
      </c>
      <c r="AW101" s="201">
        <v>0</v>
      </c>
      <c r="AX101" s="201">
        <v>0</v>
      </c>
      <c r="AY101" s="201">
        <v>0</v>
      </c>
      <c r="AZ101" s="201">
        <v>0</v>
      </c>
      <c r="BA101" s="201">
        <v>0</v>
      </c>
      <c r="BB101" s="201">
        <v>0</v>
      </c>
      <c r="BC101" s="201">
        <v>0</v>
      </c>
      <c r="BD101" s="201">
        <v>1033.19</v>
      </c>
      <c r="BE101" s="201">
        <v>0</v>
      </c>
      <c r="BF101" s="201">
        <v>0</v>
      </c>
      <c r="BG101" s="201">
        <v>0</v>
      </c>
      <c r="BH101" s="201">
        <v>0</v>
      </c>
      <c r="BI101" s="201">
        <v>0</v>
      </c>
      <c r="BJ101" s="201">
        <v>0</v>
      </c>
      <c r="BK101" s="201">
        <v>0</v>
      </c>
      <c r="BL101" s="201">
        <v>0</v>
      </c>
      <c r="BM101" s="201">
        <v>0</v>
      </c>
      <c r="BN101" s="201">
        <v>0</v>
      </c>
      <c r="BO101" s="201">
        <v>0</v>
      </c>
      <c r="BP101" s="201">
        <v>0</v>
      </c>
      <c r="BQ101" s="201">
        <v>0</v>
      </c>
      <c r="BR101" s="201">
        <v>0</v>
      </c>
      <c r="BS101" s="201">
        <v>0</v>
      </c>
      <c r="BT101" s="201">
        <v>0</v>
      </c>
      <c r="BU101" s="201">
        <v>0</v>
      </c>
      <c r="BV101" s="201">
        <v>0</v>
      </c>
      <c r="BW101" s="201">
        <v>0</v>
      </c>
      <c r="BX101" s="201">
        <v>0</v>
      </c>
      <c r="BY101" s="201">
        <v>0</v>
      </c>
    </row>
    <row r="102" spans="1:77" s="89" customFormat="1" ht="15.75">
      <c r="A102" s="79"/>
      <c r="B102" s="106"/>
      <c r="C102" s="106"/>
      <c r="D102" s="95"/>
      <c r="E102" s="106"/>
      <c r="F102" s="95"/>
      <c r="G102" s="82"/>
      <c r="H102" s="82"/>
      <c r="I102" s="150"/>
      <c r="J102" s="131"/>
      <c r="K102" s="331"/>
      <c r="L102" s="437"/>
      <c r="M102" s="400"/>
      <c r="N102" s="400"/>
      <c r="O102" s="400"/>
      <c r="P102" s="191"/>
      <c r="Q102" s="191"/>
      <c r="R102" s="211"/>
      <c r="S102" s="191"/>
      <c r="T102" s="191"/>
      <c r="U102" s="191"/>
      <c r="V102" s="191"/>
      <c r="W102" s="331"/>
      <c r="X102" s="191"/>
      <c r="Y102" s="302"/>
      <c r="Z102" s="191"/>
      <c r="AA102" s="202"/>
      <c r="AB102" s="191"/>
      <c r="AC102" s="191"/>
      <c r="AD102" s="211"/>
      <c r="AE102" s="191"/>
      <c r="AF102" s="191"/>
      <c r="AG102" s="191"/>
      <c r="AH102" s="191"/>
      <c r="AI102" s="244"/>
      <c r="AJ102" s="191"/>
      <c r="AK102" s="302"/>
      <c r="AL102" s="191"/>
      <c r="AM102" s="202"/>
      <c r="AN102" s="191"/>
      <c r="AO102" s="191"/>
      <c r="AP102" s="191"/>
      <c r="AQ102" s="191"/>
      <c r="AR102" s="220"/>
      <c r="AS102" s="220"/>
      <c r="AT102" s="191"/>
      <c r="AU102" s="191"/>
      <c r="AV102" s="191"/>
      <c r="AW102" s="191"/>
      <c r="AX102" s="191"/>
      <c r="AY102" s="191"/>
      <c r="AZ102" s="191"/>
      <c r="BA102" s="191"/>
      <c r="BB102" s="191"/>
      <c r="BC102" s="191"/>
      <c r="BD102" s="191"/>
      <c r="BE102" s="191"/>
      <c r="BF102" s="191"/>
      <c r="BG102" s="191"/>
      <c r="BH102" s="191"/>
      <c r="BI102" s="191"/>
      <c r="BJ102" s="191"/>
      <c r="BK102" s="191"/>
      <c r="BL102" s="191"/>
      <c r="BM102" s="191"/>
      <c r="BN102" s="191"/>
      <c r="BO102" s="191"/>
      <c r="BP102" s="191"/>
      <c r="BQ102" s="191"/>
      <c r="BR102" s="191"/>
      <c r="BS102" s="191"/>
      <c r="BT102" s="191"/>
      <c r="BU102" s="191"/>
      <c r="BV102" s="191"/>
      <c r="BW102" s="191"/>
      <c r="BX102" s="191"/>
      <c r="BY102" s="191"/>
    </row>
    <row r="103" spans="1:77" s="86" customFormat="1" ht="15.75">
      <c r="A103" s="79"/>
      <c r="B103" s="102" t="s">
        <v>42</v>
      </c>
      <c r="C103" s="102"/>
      <c r="D103" s="95"/>
      <c r="E103" s="80" t="s">
        <v>46</v>
      </c>
      <c r="F103" s="95"/>
      <c r="G103" s="82"/>
      <c r="H103" s="82"/>
      <c r="I103" s="149"/>
      <c r="J103" s="184" t="str">
        <f>CONCATENATE("Subtotal ",J81)</f>
        <v>Subtotal EQUIPMENT AND SUPPLIES</v>
      </c>
      <c r="K103" s="337">
        <f>SUBTOTAL(9,K84:K102)</f>
        <v>80050</v>
      </c>
      <c r="L103" s="440">
        <f>SUBTOTAL(9,L84:L102)</f>
        <v>72045</v>
      </c>
      <c r="M103" s="405">
        <f>SUBTOTAL(9,M84:M102)</f>
        <v>56285.15625</v>
      </c>
      <c r="N103" s="405" t="e">
        <f>SUBTOTAL(9,N84:N102)</f>
        <v>#NAME?</v>
      </c>
      <c r="O103" s="405" t="e">
        <f>SUBTOTAL(9,O84:O102)</f>
        <v>#NAME?</v>
      </c>
      <c r="P103" s="191"/>
      <c r="Q103" s="191"/>
      <c r="R103" s="207"/>
      <c r="S103" s="207"/>
      <c r="T103" s="221"/>
      <c r="U103" s="221"/>
      <c r="V103" s="221"/>
      <c r="W103" s="334">
        <f>SUBTOTAL(9,W84:W102)</f>
        <v>80050</v>
      </c>
      <c r="X103" s="191"/>
      <c r="Y103" s="305">
        <f>SUBTOTAL(9,Y84:Y102)</f>
        <v>80050</v>
      </c>
      <c r="Z103" s="191"/>
      <c r="AA103" s="205">
        <f>SUBTOTAL(9,AA84:AA102)</f>
        <v>62539.0625</v>
      </c>
      <c r="AB103" s="191"/>
      <c r="AC103" s="191"/>
      <c r="AD103" s="207"/>
      <c r="AE103" s="207"/>
      <c r="AF103" s="221"/>
      <c r="AG103" s="221"/>
      <c r="AH103" s="221"/>
      <c r="AI103" s="246">
        <f>SUBTOTAL(9,AI84:AI102)</f>
        <v>80050</v>
      </c>
      <c r="AJ103" s="191"/>
      <c r="AK103" s="305">
        <f>SUBTOTAL(9,AK84:AK102)</f>
        <v>80050</v>
      </c>
      <c r="AL103" s="191"/>
      <c r="AM103" s="205">
        <f>SUBTOTAL(9,AM84:AM102)</f>
        <v>62539.0625</v>
      </c>
      <c r="AN103" s="191"/>
      <c r="AO103" s="191"/>
      <c r="AP103" s="191"/>
      <c r="AQ103" s="191"/>
      <c r="AR103" s="209" t="e">
        <f>SUBTOTAL(9,AR84:AR102)</f>
        <v>#NAME?</v>
      </c>
      <c r="AS103" s="209" t="e">
        <f>SUBTOTAL(9,AS84:AS102)</f>
        <v>#NAME?</v>
      </c>
      <c r="AT103" s="209">
        <v>0</v>
      </c>
      <c r="AU103" s="209">
        <v>0</v>
      </c>
      <c r="AV103" s="209">
        <v>0</v>
      </c>
      <c r="AW103" s="209">
        <v>0</v>
      </c>
      <c r="AX103" s="209">
        <v>0</v>
      </c>
      <c r="AY103" s="209">
        <v>0</v>
      </c>
      <c r="AZ103" s="209">
        <v>0</v>
      </c>
      <c r="BA103" s="209">
        <v>0</v>
      </c>
      <c r="BB103" s="209">
        <v>0</v>
      </c>
      <c r="BC103" s="209">
        <v>0</v>
      </c>
      <c r="BD103" s="209">
        <v>1040.3300000000002</v>
      </c>
      <c r="BE103" s="209">
        <v>0</v>
      </c>
      <c r="BF103" s="209">
        <v>24.64</v>
      </c>
      <c r="BG103" s="209">
        <v>0</v>
      </c>
      <c r="BH103" s="209">
        <v>24.64</v>
      </c>
      <c r="BI103" s="209">
        <v>0</v>
      </c>
      <c r="BJ103" s="209">
        <v>24.64</v>
      </c>
      <c r="BK103" s="209">
        <v>24.64</v>
      </c>
      <c r="BL103" s="209">
        <v>24.64</v>
      </c>
      <c r="BM103" s="209">
        <v>0</v>
      </c>
      <c r="BN103" s="209">
        <v>24.64</v>
      </c>
      <c r="BO103" s="209">
        <v>24.64</v>
      </c>
      <c r="BP103" s="209">
        <v>24.64</v>
      </c>
      <c r="BQ103" s="209">
        <v>0</v>
      </c>
      <c r="BR103" s="209">
        <v>24.64</v>
      </c>
      <c r="BS103" s="209">
        <v>24.64</v>
      </c>
      <c r="BT103" s="209">
        <v>24.64</v>
      </c>
      <c r="BU103" s="209">
        <v>0</v>
      </c>
      <c r="BV103" s="209">
        <v>24.64</v>
      </c>
      <c r="BW103" s="209">
        <v>24.64</v>
      </c>
      <c r="BX103" s="209">
        <v>24.64</v>
      </c>
      <c r="BY103" s="209">
        <v>0</v>
      </c>
    </row>
    <row r="104" spans="1:77" s="86" customFormat="1" ht="15">
      <c r="A104" s="79"/>
      <c r="B104" s="98"/>
      <c r="C104" s="98"/>
      <c r="D104" s="95"/>
      <c r="E104" s="98"/>
      <c r="F104" s="95"/>
      <c r="G104" s="82"/>
      <c r="H104" s="82"/>
      <c r="I104" s="150"/>
      <c r="J104" s="131"/>
      <c r="K104" s="331"/>
      <c r="L104" s="437"/>
      <c r="M104" s="400"/>
      <c r="N104" s="400"/>
      <c r="O104" s="400"/>
      <c r="P104" s="191"/>
      <c r="Q104" s="191"/>
      <c r="R104" s="191"/>
      <c r="S104" s="191"/>
      <c r="T104" s="191"/>
      <c r="U104" s="191"/>
      <c r="V104" s="191"/>
      <c r="W104" s="331"/>
      <c r="X104" s="191"/>
      <c r="Y104" s="302"/>
      <c r="Z104" s="191"/>
      <c r="AA104" s="202"/>
      <c r="AB104" s="191"/>
      <c r="AC104" s="191"/>
      <c r="AD104" s="191"/>
      <c r="AE104" s="191"/>
      <c r="AF104" s="191"/>
      <c r="AG104" s="191"/>
      <c r="AH104" s="191"/>
      <c r="AI104" s="244"/>
      <c r="AJ104" s="191"/>
      <c r="AK104" s="302"/>
      <c r="AL104" s="191"/>
      <c r="AM104" s="202"/>
      <c r="AN104" s="191"/>
      <c r="AO104" s="191"/>
      <c r="AP104" s="191"/>
      <c r="AQ104" s="191"/>
      <c r="AR104" s="191"/>
      <c r="AS104" s="191"/>
      <c r="AT104" s="191"/>
      <c r="AU104" s="191"/>
      <c r="AV104" s="191"/>
      <c r="AW104" s="191"/>
      <c r="AX104" s="191"/>
      <c r="AY104" s="191"/>
      <c r="AZ104" s="191"/>
      <c r="BA104" s="191"/>
      <c r="BB104" s="191"/>
      <c r="BC104" s="191"/>
      <c r="BD104" s="191"/>
      <c r="BE104" s="191"/>
      <c r="BF104" s="191"/>
      <c r="BG104" s="191"/>
      <c r="BH104" s="191"/>
      <c r="BI104" s="191"/>
      <c r="BJ104" s="191"/>
      <c r="BK104" s="191"/>
      <c r="BL104" s="191"/>
      <c r="BM104" s="191"/>
      <c r="BN104" s="191"/>
      <c r="BO104" s="191"/>
      <c r="BP104" s="191"/>
      <c r="BQ104" s="191"/>
      <c r="BR104" s="191"/>
      <c r="BS104" s="191"/>
      <c r="BT104" s="191"/>
      <c r="BU104" s="191"/>
      <c r="BV104" s="191"/>
      <c r="BW104" s="191"/>
      <c r="BX104" s="191"/>
      <c r="BY104" s="191"/>
    </row>
    <row r="105" spans="1:77" s="86" customFormat="1" ht="18" customHeight="1">
      <c r="A105" s="79"/>
      <c r="B105" s="80" t="s">
        <v>43</v>
      </c>
      <c r="C105" s="80" t="s">
        <v>44</v>
      </c>
      <c r="D105" s="95"/>
      <c r="E105" s="80" t="s">
        <v>44</v>
      </c>
      <c r="F105" s="95"/>
      <c r="G105" s="82"/>
      <c r="H105" s="82"/>
      <c r="I105" s="149" t="s">
        <v>4</v>
      </c>
      <c r="J105" s="184" t="s">
        <v>208</v>
      </c>
      <c r="K105" s="369"/>
      <c r="L105" s="444"/>
      <c r="M105" s="410"/>
      <c r="N105" s="410"/>
      <c r="O105" s="410"/>
      <c r="P105" s="191"/>
      <c r="Q105" s="191"/>
      <c r="R105" s="206"/>
      <c r="S105" s="208"/>
      <c r="T105" s="208"/>
      <c r="U105" s="208"/>
      <c r="V105" s="208"/>
      <c r="W105" s="338"/>
      <c r="X105" s="191"/>
      <c r="Y105" s="309"/>
      <c r="Z105" s="191"/>
      <c r="AA105" s="218"/>
      <c r="AB105" s="191"/>
      <c r="AC105" s="191"/>
      <c r="AD105" s="206"/>
      <c r="AE105" s="208"/>
      <c r="AF105" s="208"/>
      <c r="AG105" s="208"/>
      <c r="AH105" s="208"/>
      <c r="AI105" s="250"/>
      <c r="AJ105" s="191"/>
      <c r="AK105" s="309"/>
      <c r="AL105" s="191"/>
      <c r="AM105" s="218"/>
      <c r="AN105" s="191"/>
      <c r="AO105" s="191"/>
      <c r="AP105" s="191"/>
      <c r="AQ105" s="191"/>
      <c r="AR105" s="219"/>
      <c r="AS105" s="219"/>
      <c r="AT105" s="219"/>
      <c r="AU105" s="219"/>
      <c r="AV105" s="219"/>
      <c r="AW105" s="219"/>
      <c r="AX105" s="219"/>
      <c r="AY105" s="219"/>
      <c r="AZ105" s="219"/>
      <c r="BA105" s="219"/>
      <c r="BB105" s="219"/>
      <c r="BC105" s="219"/>
      <c r="BD105" s="219"/>
      <c r="BE105" s="219"/>
      <c r="BF105" s="219"/>
      <c r="BG105" s="219"/>
      <c r="BH105" s="219"/>
      <c r="BI105" s="219"/>
      <c r="BJ105" s="219"/>
      <c r="BK105" s="219"/>
      <c r="BL105" s="219"/>
      <c r="BM105" s="219"/>
      <c r="BN105" s="219"/>
      <c r="BO105" s="219"/>
      <c r="BP105" s="219"/>
      <c r="BQ105" s="219"/>
      <c r="BR105" s="219"/>
      <c r="BS105" s="219"/>
      <c r="BT105" s="219"/>
      <c r="BU105" s="219"/>
      <c r="BV105" s="219"/>
      <c r="BW105" s="219"/>
      <c r="BX105" s="219"/>
      <c r="BY105" s="219"/>
    </row>
    <row r="106" spans="1:77" s="86" customFormat="1" ht="22.5" customHeight="1">
      <c r="A106" s="79"/>
      <c r="B106" s="103"/>
      <c r="C106" s="103"/>
      <c r="D106" s="95"/>
      <c r="E106" s="103"/>
      <c r="F106" s="95"/>
      <c r="G106" s="82"/>
      <c r="H106" s="82"/>
      <c r="I106" s="123" t="s">
        <v>17</v>
      </c>
      <c r="J106" s="183" t="s">
        <v>209</v>
      </c>
      <c r="K106" s="368"/>
      <c r="L106" s="443"/>
      <c r="M106" s="408" t="str">
        <f>$M$28</f>
        <v>GBP</v>
      </c>
      <c r="N106" s="409" t="str">
        <f>$M$28</f>
        <v>GBP</v>
      </c>
      <c r="O106" s="409" t="str">
        <f>$M$28</f>
        <v>GBP</v>
      </c>
      <c r="P106" s="191"/>
      <c r="Q106" s="191"/>
      <c r="R106" s="216"/>
      <c r="S106" s="199"/>
      <c r="T106" s="199"/>
      <c r="U106" s="199"/>
      <c r="V106" s="199"/>
      <c r="W106" s="332"/>
      <c r="X106" s="191"/>
      <c r="Y106" s="308"/>
      <c r="Z106" s="191"/>
      <c r="AA106" s="215" t="str">
        <f>$M$28</f>
        <v>GBP</v>
      </c>
      <c r="AB106" s="191"/>
      <c r="AC106" s="191"/>
      <c r="AD106" s="216"/>
      <c r="AE106" s="199"/>
      <c r="AF106" s="199"/>
      <c r="AG106" s="199"/>
      <c r="AH106" s="199"/>
      <c r="AI106" s="245"/>
      <c r="AJ106" s="191"/>
      <c r="AK106" s="308" t="e">
        <f>#REF!</f>
        <v>#REF!</v>
      </c>
      <c r="AL106" s="191"/>
      <c r="AM106" s="215" t="str">
        <f>$M$28</f>
        <v>GBP</v>
      </c>
      <c r="AN106" s="191"/>
      <c r="AO106" s="191"/>
      <c r="AP106" s="191"/>
      <c r="AQ106" s="191"/>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204"/>
      <c r="BW106" s="204"/>
      <c r="BX106" s="204"/>
      <c r="BY106" s="204"/>
    </row>
    <row r="107" spans="1:77" s="89" customFormat="1" ht="15.75">
      <c r="A107" s="171"/>
      <c r="B107" s="172"/>
      <c r="C107" s="172"/>
      <c r="D107" s="172"/>
      <c r="E107" s="172"/>
      <c r="F107" s="172"/>
      <c r="I107" s="173"/>
      <c r="J107" s="276" t="s">
        <v>210</v>
      </c>
      <c r="K107" s="363"/>
      <c r="L107" s="436"/>
      <c r="M107" s="399"/>
      <c r="N107" s="399"/>
      <c r="O107" s="399"/>
      <c r="P107" s="193"/>
      <c r="Q107" s="193"/>
      <c r="R107" s="225"/>
      <c r="S107" s="193"/>
      <c r="T107" s="193"/>
      <c r="U107" s="224"/>
      <c r="V107" s="224"/>
      <c r="W107" s="330"/>
      <c r="X107" s="193"/>
      <c r="Y107" s="301"/>
      <c r="Z107" s="193"/>
      <c r="AA107" s="223"/>
      <c r="AB107" s="193"/>
      <c r="AC107" s="193"/>
      <c r="AD107" s="225"/>
      <c r="AE107" s="193"/>
      <c r="AF107" s="193"/>
      <c r="AG107" s="224"/>
      <c r="AH107" s="224"/>
      <c r="AI107" s="242"/>
      <c r="AJ107" s="193"/>
      <c r="AK107" s="301"/>
      <c r="AL107" s="193"/>
      <c r="AM107" s="223"/>
      <c r="AN107" s="193"/>
      <c r="AO107" s="193"/>
      <c r="AP107" s="193"/>
      <c r="AQ107" s="193"/>
      <c r="AR107" s="224"/>
      <c r="AS107" s="224"/>
      <c r="AT107" s="224"/>
      <c r="AU107" s="224"/>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row>
    <row r="108" spans="1:77" s="89" customFormat="1" ht="15.75">
      <c r="A108" s="124" t="s">
        <v>99</v>
      </c>
      <c r="B108" s="124"/>
      <c r="C108" s="124"/>
      <c r="D108" s="124"/>
      <c r="E108" s="124"/>
      <c r="F108" s="124"/>
      <c r="G108" s="124"/>
      <c r="H108" s="124"/>
      <c r="I108" s="166"/>
      <c r="J108" s="277" t="s">
        <v>211</v>
      </c>
      <c r="K108" s="329">
        <f>Y108</f>
        <v>10800</v>
      </c>
      <c r="L108" s="435">
        <f>K108*0.9</f>
        <v>9720</v>
      </c>
      <c r="M108" s="398">
        <f>L108/$M$4</f>
        <v>7593.75</v>
      </c>
      <c r="N108" s="398" t="e">
        <f>L108-AR108</f>
        <v>#NAME?</v>
      </c>
      <c r="O108" s="398" t="e">
        <f>M108-AS108</f>
        <v>#NAME?</v>
      </c>
      <c r="P108" s="191"/>
      <c r="Q108" s="191"/>
      <c r="R108" s="192"/>
      <c r="S108" s="271" t="s">
        <v>155</v>
      </c>
      <c r="T108" s="262">
        <v>12</v>
      </c>
      <c r="U108" s="230">
        <v>900</v>
      </c>
      <c r="V108" s="193"/>
      <c r="W108" s="329">
        <f>(T108*U108)</f>
        <v>10800</v>
      </c>
      <c r="X108" s="191"/>
      <c r="Y108" s="290">
        <f>W108</f>
        <v>10800</v>
      </c>
      <c r="Z108" s="191"/>
      <c r="AA108" s="190">
        <f>Y108/M$4</f>
        <v>8437.5</v>
      </c>
      <c r="AB108" s="191"/>
      <c r="AC108" s="191"/>
      <c r="AD108" s="192"/>
      <c r="AE108" s="271" t="s">
        <v>155</v>
      </c>
      <c r="AF108" s="229">
        <v>36</v>
      </c>
      <c r="AG108" s="230">
        <v>900</v>
      </c>
      <c r="AH108" s="193"/>
      <c r="AI108" s="241">
        <f>(AF108*AG108)</f>
        <v>32400</v>
      </c>
      <c r="AJ108" s="191"/>
      <c r="AK108" s="290">
        <f>AI108</f>
        <v>32400</v>
      </c>
      <c r="AL108" s="191"/>
      <c r="AM108" s="190">
        <f>AK108/M$4</f>
        <v>25312.5</v>
      </c>
      <c r="AN108" s="191"/>
      <c r="AO108" s="191"/>
      <c r="AP108" s="191"/>
      <c r="AQ108" s="191"/>
      <c r="AR108" s="194" t="e">
        <f>AS108*$M$4</f>
        <v>#NAME?</v>
      </c>
      <c r="AS108" s="194" t="e">
        <f>AW108+BA108+BE108+BI108+BM108+BQ108+BU108+BY108</f>
        <v>#NAME?</v>
      </c>
      <c r="AT108" s="195" t="e">
        <v>#NAME?</v>
      </c>
      <c r="AU108" s="195" t="e">
        <v>#NAME?</v>
      </c>
      <c r="AV108" s="195" t="e">
        <v>#NAME?</v>
      </c>
      <c r="AW108" s="196" t="e">
        <f>SUM(AT108:AV108)</f>
        <v>#NAME?</v>
      </c>
      <c r="AX108" s="195" t="e">
        <v>#NAME?</v>
      </c>
      <c r="AY108" s="195" t="e">
        <v>#NAME?</v>
      </c>
      <c r="AZ108" s="195" t="e">
        <v>#NAME?</v>
      </c>
      <c r="BA108" s="196" t="e">
        <f>SUM(AX108:AZ108)</f>
        <v>#NAME?</v>
      </c>
      <c r="BB108" s="195" t="e">
        <v>#NAME?</v>
      </c>
      <c r="BC108" s="195" t="e">
        <v>#NAME?</v>
      </c>
      <c r="BD108" s="195" t="e">
        <v>#NAME?</v>
      </c>
      <c r="BE108" s="196" t="e">
        <f>SUM(BB108:BD108)</f>
        <v>#NAME?</v>
      </c>
      <c r="BF108" s="195" t="e">
        <v>#NAME?</v>
      </c>
      <c r="BG108" s="195" t="e">
        <v>#NAME?</v>
      </c>
      <c r="BH108" s="195" t="e">
        <v>#NAME?</v>
      </c>
      <c r="BI108" s="196" t="e">
        <f>SUM(BF108:BH108)</f>
        <v>#NAME?</v>
      </c>
      <c r="BJ108" s="195" t="e">
        <v>#NAME?</v>
      </c>
      <c r="BK108" s="195" t="e">
        <v>#NAME?</v>
      </c>
      <c r="BL108" s="195" t="e">
        <v>#NAME?</v>
      </c>
      <c r="BM108" s="196" t="e">
        <f>SUM(BJ108:BL108)</f>
        <v>#NAME?</v>
      </c>
      <c r="BN108" s="195" t="e">
        <v>#NAME?</v>
      </c>
      <c r="BO108" s="195" t="e">
        <v>#NAME?</v>
      </c>
      <c r="BP108" s="195" t="e">
        <v>#NAME?</v>
      </c>
      <c r="BQ108" s="196" t="e">
        <f>SUM(BM108:BP108)</f>
        <v>#NAME?</v>
      </c>
      <c r="BR108" s="195" t="e">
        <v>#NAME?</v>
      </c>
      <c r="BS108" s="195" t="e">
        <v>#NAME?</v>
      </c>
      <c r="BT108" s="195" t="e">
        <v>#NAME?</v>
      </c>
      <c r="BU108" s="196" t="e">
        <f>SUM(BQ108:BT108)</f>
        <v>#NAME?</v>
      </c>
      <c r="BV108" s="195" t="e">
        <v>#NAME?</v>
      </c>
      <c r="BW108" s="195" t="e">
        <v>#NAME?</v>
      </c>
      <c r="BX108" s="195" t="e">
        <v>#NAME?</v>
      </c>
      <c r="BY108" s="196" t="e">
        <f>SUM(BU108:BX108)</f>
        <v>#NAME?</v>
      </c>
    </row>
    <row r="109" spans="1:77" s="89" customFormat="1" ht="15.75">
      <c r="A109" s="124" t="s">
        <v>100</v>
      </c>
      <c r="B109" s="124"/>
      <c r="C109" s="124"/>
      <c r="D109" s="124"/>
      <c r="E109" s="124"/>
      <c r="F109" s="124"/>
      <c r="G109" s="124"/>
      <c r="H109" s="124"/>
      <c r="I109" s="166"/>
      <c r="J109" s="277" t="s">
        <v>212</v>
      </c>
      <c r="K109" s="329">
        <f>Y109</f>
        <v>2000</v>
      </c>
      <c r="L109" s="435">
        <f>K109*0.9</f>
        <v>1800</v>
      </c>
      <c r="M109" s="398">
        <f>L109/$M$4</f>
        <v>1406.25</v>
      </c>
      <c r="N109" s="398" t="e">
        <f>L109-AR109</f>
        <v>#NAME?</v>
      </c>
      <c r="O109" s="398" t="e">
        <f>M109-AS109</f>
        <v>#NAME?</v>
      </c>
      <c r="P109" s="191"/>
      <c r="Q109" s="191"/>
      <c r="R109" s="192"/>
      <c r="S109" s="271" t="s">
        <v>224</v>
      </c>
      <c r="T109" s="262">
        <v>1</v>
      </c>
      <c r="U109" s="230">
        <v>2000</v>
      </c>
      <c r="V109" s="193"/>
      <c r="W109" s="329">
        <f>(T109*U109)</f>
        <v>2000</v>
      </c>
      <c r="X109" s="191"/>
      <c r="Y109" s="290">
        <f>W109</f>
        <v>2000</v>
      </c>
      <c r="Z109" s="191"/>
      <c r="AA109" s="190">
        <f>Y109/M$4</f>
        <v>1562.5</v>
      </c>
      <c r="AB109" s="191"/>
      <c r="AC109" s="191"/>
      <c r="AD109" s="192"/>
      <c r="AE109" s="271" t="s">
        <v>224</v>
      </c>
      <c r="AF109" s="229">
        <v>3</v>
      </c>
      <c r="AG109" s="230">
        <v>2000</v>
      </c>
      <c r="AH109" s="193"/>
      <c r="AI109" s="241">
        <f>(AF109*AG109)</f>
        <v>6000</v>
      </c>
      <c r="AJ109" s="191"/>
      <c r="AK109" s="290">
        <f>AI109</f>
        <v>6000</v>
      </c>
      <c r="AL109" s="191"/>
      <c r="AM109" s="190">
        <f>AK109/M$4</f>
        <v>4687.5</v>
      </c>
      <c r="AN109" s="191"/>
      <c r="AO109" s="191"/>
      <c r="AP109" s="191"/>
      <c r="AQ109" s="191"/>
      <c r="AR109" s="194" t="e">
        <f>AS109*$M$4</f>
        <v>#NAME?</v>
      </c>
      <c r="AS109" s="194" t="e">
        <f>AW109+BA109+BE109+BI109+BM109+BQ109+BU109+BY109</f>
        <v>#NAME?</v>
      </c>
      <c r="AT109" s="195" t="e">
        <v>#NAME?</v>
      </c>
      <c r="AU109" s="195" t="e">
        <v>#NAME?</v>
      </c>
      <c r="AV109" s="195" t="e">
        <v>#NAME?</v>
      </c>
      <c r="AW109" s="196" t="e">
        <f>SUM(AT109:AV109)</f>
        <v>#NAME?</v>
      </c>
      <c r="AX109" s="195" t="e">
        <v>#NAME?</v>
      </c>
      <c r="AY109" s="195" t="e">
        <v>#NAME?</v>
      </c>
      <c r="AZ109" s="195" t="e">
        <v>#NAME?</v>
      </c>
      <c r="BA109" s="196" t="e">
        <f>SUM(AX109:AZ109)</f>
        <v>#NAME?</v>
      </c>
      <c r="BB109" s="195" t="e">
        <v>#NAME?</v>
      </c>
      <c r="BC109" s="195" t="e">
        <v>#NAME?</v>
      </c>
      <c r="BD109" s="195" t="e">
        <v>#NAME?</v>
      </c>
      <c r="BE109" s="196" t="e">
        <f>SUM(BB109:BD109)</f>
        <v>#NAME?</v>
      </c>
      <c r="BF109" s="195" t="e">
        <v>#NAME?</v>
      </c>
      <c r="BG109" s="195" t="e">
        <v>#NAME?</v>
      </c>
      <c r="BH109" s="195" t="e">
        <v>#NAME?</v>
      </c>
      <c r="BI109" s="196" t="e">
        <f>SUM(BF109:BH109)</f>
        <v>#NAME?</v>
      </c>
      <c r="BJ109" s="195" t="e">
        <v>#NAME?</v>
      </c>
      <c r="BK109" s="195" t="e">
        <v>#NAME?</v>
      </c>
      <c r="BL109" s="195" t="e">
        <v>#NAME?</v>
      </c>
      <c r="BM109" s="196" t="e">
        <f>SUM(BJ109:BL109)</f>
        <v>#NAME?</v>
      </c>
      <c r="BN109" s="195" t="e">
        <v>#NAME?</v>
      </c>
      <c r="BO109" s="195" t="e">
        <v>#NAME?</v>
      </c>
      <c r="BP109" s="195" t="e">
        <v>#NAME?</v>
      </c>
      <c r="BQ109" s="196" t="e">
        <f>SUM(BM109:BP109)</f>
        <v>#NAME?</v>
      </c>
      <c r="BR109" s="195" t="e">
        <v>#NAME?</v>
      </c>
      <c r="BS109" s="195" t="e">
        <v>#NAME?</v>
      </c>
      <c r="BT109" s="195" t="e">
        <v>#NAME?</v>
      </c>
      <c r="BU109" s="196" t="e">
        <f>SUM(BQ109:BT109)</f>
        <v>#NAME?</v>
      </c>
      <c r="BV109" s="195" t="e">
        <v>#NAME?</v>
      </c>
      <c r="BW109" s="195" t="e">
        <v>#NAME?</v>
      </c>
      <c r="BX109" s="195" t="e">
        <v>#NAME?</v>
      </c>
      <c r="BY109" s="196" t="e">
        <f>SUM(BU109:BX109)</f>
        <v>#NAME?</v>
      </c>
    </row>
    <row r="110" spans="1:77" s="89" customFormat="1" ht="15.75">
      <c r="A110" s="171"/>
      <c r="B110" s="172"/>
      <c r="C110" s="172"/>
      <c r="D110" s="172"/>
      <c r="E110" s="172"/>
      <c r="F110" s="172"/>
      <c r="I110" s="173"/>
      <c r="J110" s="186" t="str">
        <f>CONCATENATE("Subtotal ",J107)</f>
        <v>Subtotal 4.1 Vehicle and generator costs</v>
      </c>
      <c r="K110" s="363">
        <f>SUBTOTAL(9,K108:K109)</f>
        <v>12800</v>
      </c>
      <c r="L110" s="436">
        <f>SUBTOTAL(9,L108:L109)</f>
        <v>11520</v>
      </c>
      <c r="M110" s="399">
        <f>SUBTOTAL(9,M108:M109)</f>
        <v>9000</v>
      </c>
      <c r="N110" s="399" t="e">
        <f>SUBTOTAL(9,N108:N109)</f>
        <v>#NAME?</v>
      </c>
      <c r="O110" s="399" t="e">
        <f>SUBTOTAL(9,O108:O109)</f>
        <v>#NAME?</v>
      </c>
      <c r="P110" s="193"/>
      <c r="Q110" s="193"/>
      <c r="R110" s="225"/>
      <c r="S110" s="193"/>
      <c r="T110" s="193"/>
      <c r="U110" s="224"/>
      <c r="V110" s="224"/>
      <c r="W110" s="330">
        <f>SUBTOTAL(9,W108:W109)</f>
        <v>12800</v>
      </c>
      <c r="X110" s="193"/>
      <c r="Y110" s="301">
        <f>SUBTOTAL(9,Y108:Y109)</f>
        <v>12800</v>
      </c>
      <c r="Z110" s="193"/>
      <c r="AA110" s="223">
        <f>SUBTOTAL(9,AA108:AA109)</f>
        <v>10000</v>
      </c>
      <c r="AB110" s="193"/>
      <c r="AC110" s="193"/>
      <c r="AD110" s="225"/>
      <c r="AE110" s="193"/>
      <c r="AF110" s="193"/>
      <c r="AG110" s="224"/>
      <c r="AH110" s="224"/>
      <c r="AI110" s="242">
        <f>SUBTOTAL(9,AI108:AI109)</f>
        <v>38400</v>
      </c>
      <c r="AJ110" s="193"/>
      <c r="AK110" s="301">
        <f>SUBTOTAL(9,AK108:AK109)</f>
        <v>38400</v>
      </c>
      <c r="AL110" s="193"/>
      <c r="AM110" s="223">
        <f>SUBTOTAL(9,AM108:AM109)</f>
        <v>30000</v>
      </c>
      <c r="AN110" s="193"/>
      <c r="AO110" s="193"/>
      <c r="AP110" s="193"/>
      <c r="AQ110" s="193"/>
      <c r="AR110" s="224" t="e">
        <f aca="true" t="shared" si="64" ref="AR110:BF110">SUBTOTAL(9,AR108:AR109)</f>
        <v>#NAME?</v>
      </c>
      <c r="AS110" s="224" t="e">
        <f t="shared" si="64"/>
        <v>#NAME?</v>
      </c>
      <c r="AT110" s="224" t="e">
        <f t="shared" si="64"/>
        <v>#NAME?</v>
      </c>
      <c r="AU110" s="224" t="e">
        <f t="shared" si="64"/>
        <v>#NAME?</v>
      </c>
      <c r="AV110" s="224" t="e">
        <f t="shared" si="64"/>
        <v>#NAME?</v>
      </c>
      <c r="AW110" s="224" t="e">
        <f t="shared" si="64"/>
        <v>#NAME?</v>
      </c>
      <c r="AX110" s="224" t="e">
        <f t="shared" si="64"/>
        <v>#NAME?</v>
      </c>
      <c r="AY110" s="224" t="e">
        <f t="shared" si="64"/>
        <v>#NAME?</v>
      </c>
      <c r="AZ110" s="224" t="e">
        <f t="shared" si="64"/>
        <v>#NAME?</v>
      </c>
      <c r="BA110" s="224" t="e">
        <f t="shared" si="64"/>
        <v>#NAME?</v>
      </c>
      <c r="BB110" s="224" t="e">
        <f t="shared" si="64"/>
        <v>#NAME?</v>
      </c>
      <c r="BC110" s="224" t="e">
        <f t="shared" si="64"/>
        <v>#NAME?</v>
      </c>
      <c r="BD110" s="224" t="e">
        <f t="shared" si="64"/>
        <v>#NAME?</v>
      </c>
      <c r="BE110" s="224" t="e">
        <f t="shared" si="64"/>
        <v>#NAME?</v>
      </c>
      <c r="BF110" s="224" t="e">
        <f t="shared" si="64"/>
        <v>#NAME?</v>
      </c>
      <c r="BG110" s="224" t="e">
        <f aca="true" t="shared" si="65" ref="BG110:BY110">SUBTOTAL(9,BG108:BG109)</f>
        <v>#NAME?</v>
      </c>
      <c r="BH110" s="224" t="e">
        <f t="shared" si="65"/>
        <v>#NAME?</v>
      </c>
      <c r="BI110" s="224" t="e">
        <f t="shared" si="65"/>
        <v>#NAME?</v>
      </c>
      <c r="BJ110" s="224" t="e">
        <f t="shared" si="65"/>
        <v>#NAME?</v>
      </c>
      <c r="BK110" s="224" t="e">
        <f t="shared" si="65"/>
        <v>#NAME?</v>
      </c>
      <c r="BL110" s="224" t="e">
        <f t="shared" si="65"/>
        <v>#NAME?</v>
      </c>
      <c r="BM110" s="224" t="e">
        <f t="shared" si="65"/>
        <v>#NAME?</v>
      </c>
      <c r="BN110" s="224" t="e">
        <f t="shared" si="65"/>
        <v>#NAME?</v>
      </c>
      <c r="BO110" s="224" t="e">
        <f t="shared" si="65"/>
        <v>#NAME?</v>
      </c>
      <c r="BP110" s="224" t="e">
        <f t="shared" si="65"/>
        <v>#NAME?</v>
      </c>
      <c r="BQ110" s="224" t="e">
        <f t="shared" si="65"/>
        <v>#NAME?</v>
      </c>
      <c r="BR110" s="224" t="e">
        <f t="shared" si="65"/>
        <v>#NAME?</v>
      </c>
      <c r="BS110" s="224" t="e">
        <f t="shared" si="65"/>
        <v>#NAME?</v>
      </c>
      <c r="BT110" s="224" t="e">
        <f t="shared" si="65"/>
        <v>#NAME?</v>
      </c>
      <c r="BU110" s="224" t="e">
        <f t="shared" si="65"/>
        <v>#NAME?</v>
      </c>
      <c r="BV110" s="224" t="e">
        <f t="shared" si="65"/>
        <v>#NAME?</v>
      </c>
      <c r="BW110" s="224" t="e">
        <f t="shared" si="65"/>
        <v>#NAME?</v>
      </c>
      <c r="BX110" s="224" t="e">
        <f t="shared" si="65"/>
        <v>#NAME?</v>
      </c>
      <c r="BY110" s="224" t="e">
        <f t="shared" si="65"/>
        <v>#NAME?</v>
      </c>
    </row>
    <row r="111" spans="1:77" s="89" customFormat="1" ht="15.75">
      <c r="A111" s="171"/>
      <c r="B111" s="172"/>
      <c r="C111" s="172"/>
      <c r="D111" s="172"/>
      <c r="E111" s="172"/>
      <c r="F111" s="172"/>
      <c r="I111" s="173"/>
      <c r="J111" s="186"/>
      <c r="K111" s="363"/>
      <c r="L111" s="436"/>
      <c r="M111" s="399"/>
      <c r="N111" s="399"/>
      <c r="O111" s="399"/>
      <c r="P111" s="193"/>
      <c r="Q111" s="193"/>
      <c r="R111" s="225"/>
      <c r="S111" s="193"/>
      <c r="T111" s="193"/>
      <c r="U111" s="224"/>
      <c r="V111" s="224"/>
      <c r="W111" s="330"/>
      <c r="X111" s="193"/>
      <c r="Y111" s="301"/>
      <c r="Z111" s="193"/>
      <c r="AA111" s="223"/>
      <c r="AB111" s="193"/>
      <c r="AC111" s="193"/>
      <c r="AD111" s="225"/>
      <c r="AE111" s="193"/>
      <c r="AF111" s="193"/>
      <c r="AG111" s="224"/>
      <c r="AH111" s="224"/>
      <c r="AI111" s="242"/>
      <c r="AJ111" s="193"/>
      <c r="AK111" s="301"/>
      <c r="AL111" s="193"/>
      <c r="AM111" s="223"/>
      <c r="AN111" s="193"/>
      <c r="AO111" s="193"/>
      <c r="AP111" s="193"/>
      <c r="AQ111" s="193"/>
      <c r="AR111" s="224"/>
      <c r="AS111" s="224"/>
      <c r="AT111" s="224"/>
      <c r="AU111" s="224"/>
      <c r="AV111" s="224"/>
      <c r="AW111" s="224"/>
      <c r="AX111" s="224"/>
      <c r="AY111" s="224"/>
      <c r="AZ111" s="224"/>
      <c r="BA111" s="224"/>
      <c r="BB111" s="224"/>
      <c r="BC111" s="224"/>
      <c r="BD111" s="224"/>
      <c r="BE111" s="224"/>
      <c r="BF111" s="224"/>
      <c r="BG111" s="224"/>
      <c r="BH111" s="224"/>
      <c r="BI111" s="224"/>
      <c r="BJ111" s="224"/>
      <c r="BK111" s="224"/>
      <c r="BL111" s="224"/>
      <c r="BM111" s="224"/>
      <c r="BN111" s="224"/>
      <c r="BO111" s="224"/>
      <c r="BP111" s="224"/>
      <c r="BQ111" s="224"/>
      <c r="BR111" s="224"/>
      <c r="BS111" s="224"/>
      <c r="BT111" s="224"/>
      <c r="BU111" s="224"/>
      <c r="BV111" s="224"/>
      <c r="BW111" s="224"/>
      <c r="BX111" s="224"/>
      <c r="BY111" s="224"/>
    </row>
    <row r="112" spans="1:77" s="89" customFormat="1" ht="15.75">
      <c r="A112" s="171"/>
      <c r="B112" s="172"/>
      <c r="C112" s="172"/>
      <c r="D112" s="172"/>
      <c r="E112" s="172"/>
      <c r="F112" s="172"/>
      <c r="I112" s="173"/>
      <c r="J112" s="276" t="s">
        <v>213</v>
      </c>
      <c r="K112" s="363"/>
      <c r="L112" s="436"/>
      <c r="M112" s="399"/>
      <c r="N112" s="399"/>
      <c r="O112" s="399"/>
      <c r="P112" s="193"/>
      <c r="Q112" s="193"/>
      <c r="R112" s="225"/>
      <c r="S112" s="193"/>
      <c r="T112" s="193"/>
      <c r="U112" s="224"/>
      <c r="V112" s="224"/>
      <c r="W112" s="330"/>
      <c r="X112" s="193"/>
      <c r="Y112" s="301"/>
      <c r="Z112" s="193"/>
      <c r="AA112" s="223"/>
      <c r="AB112" s="193"/>
      <c r="AC112" s="193"/>
      <c r="AD112" s="225"/>
      <c r="AE112" s="193"/>
      <c r="AF112" s="193"/>
      <c r="AG112" s="224"/>
      <c r="AH112" s="224"/>
      <c r="AI112" s="242"/>
      <c r="AJ112" s="193"/>
      <c r="AK112" s="301"/>
      <c r="AL112" s="193"/>
      <c r="AM112" s="223"/>
      <c r="AN112" s="193"/>
      <c r="AO112" s="193"/>
      <c r="AP112" s="193"/>
      <c r="AQ112" s="193"/>
      <c r="AR112" s="224"/>
      <c r="AS112" s="224"/>
      <c r="AT112" s="224"/>
      <c r="AU112" s="224"/>
      <c r="AV112" s="224"/>
      <c r="AW112" s="224"/>
      <c r="AX112" s="224"/>
      <c r="AY112" s="224"/>
      <c r="AZ112" s="224"/>
      <c r="BA112" s="224"/>
      <c r="BB112" s="224"/>
      <c r="BC112" s="224"/>
      <c r="BD112" s="224"/>
      <c r="BE112" s="224"/>
      <c r="BF112" s="224"/>
      <c r="BG112" s="224"/>
      <c r="BH112" s="224"/>
      <c r="BI112" s="224"/>
      <c r="BJ112" s="224"/>
      <c r="BK112" s="224"/>
      <c r="BL112" s="224"/>
      <c r="BM112" s="224"/>
      <c r="BN112" s="224"/>
      <c r="BO112" s="224"/>
      <c r="BP112" s="224"/>
      <c r="BQ112" s="224"/>
      <c r="BR112" s="224"/>
      <c r="BS112" s="224"/>
      <c r="BT112" s="224"/>
      <c r="BU112" s="224"/>
      <c r="BV112" s="224"/>
      <c r="BW112" s="224"/>
      <c r="BX112" s="224"/>
      <c r="BY112" s="224"/>
    </row>
    <row r="113" spans="1:77" s="89" customFormat="1" ht="15.75">
      <c r="A113" s="124" t="s">
        <v>101</v>
      </c>
      <c r="B113" s="124"/>
      <c r="C113" s="124"/>
      <c r="D113" s="124"/>
      <c r="E113" s="124"/>
      <c r="F113" s="124"/>
      <c r="G113" s="124"/>
      <c r="H113" s="124"/>
      <c r="I113" s="166"/>
      <c r="J113" s="256" t="s">
        <v>214</v>
      </c>
      <c r="K113" s="329">
        <f>Y113</f>
        <v>10200</v>
      </c>
      <c r="L113" s="435">
        <f>K113*0.9</f>
        <v>9180</v>
      </c>
      <c r="M113" s="398">
        <f>L113/$M$4</f>
        <v>7171.875</v>
      </c>
      <c r="N113" s="398" t="e">
        <f aca="true" t="shared" si="66" ref="N113:O116">L113-AR113</f>
        <v>#NAME?</v>
      </c>
      <c r="O113" s="398" t="e">
        <f t="shared" si="66"/>
        <v>#NAME?</v>
      </c>
      <c r="P113" s="191"/>
      <c r="Q113" s="191"/>
      <c r="R113" s="192"/>
      <c r="S113" s="228" t="s">
        <v>155</v>
      </c>
      <c r="T113" s="262">
        <v>12</v>
      </c>
      <c r="U113" s="258">
        <v>850</v>
      </c>
      <c r="V113" s="193"/>
      <c r="W113" s="329">
        <f>(T113*U113)</f>
        <v>10200</v>
      </c>
      <c r="X113" s="191"/>
      <c r="Y113" s="290">
        <f>W113</f>
        <v>10200</v>
      </c>
      <c r="Z113" s="191"/>
      <c r="AA113" s="190">
        <f>Y113/M$4</f>
        <v>7968.75</v>
      </c>
      <c r="AB113" s="191"/>
      <c r="AC113" s="191"/>
      <c r="AD113" s="192"/>
      <c r="AE113" s="228" t="s">
        <v>155</v>
      </c>
      <c r="AF113" s="229">
        <v>36</v>
      </c>
      <c r="AG113" s="258">
        <v>850</v>
      </c>
      <c r="AH113" s="193"/>
      <c r="AI113" s="241">
        <f>(AF113*AG113)</f>
        <v>30600</v>
      </c>
      <c r="AJ113" s="191"/>
      <c r="AK113" s="290">
        <f>AI113</f>
        <v>30600</v>
      </c>
      <c r="AL113" s="191"/>
      <c r="AM113" s="190">
        <f>AK113/M$4</f>
        <v>23906.25</v>
      </c>
      <c r="AN113" s="191"/>
      <c r="AO113" s="191"/>
      <c r="AP113" s="191"/>
      <c r="AQ113" s="191"/>
      <c r="AR113" s="194" t="e">
        <f>AS113*$M$4</f>
        <v>#NAME?</v>
      </c>
      <c r="AS113" s="194" t="e">
        <f>AW113+BA113+BE113+BI113+BM113+BQ113+BU113+BY113</f>
        <v>#NAME?</v>
      </c>
      <c r="AT113" s="195" t="e">
        <v>#NAME?</v>
      </c>
      <c r="AU113" s="195" t="e">
        <v>#NAME?</v>
      </c>
      <c r="AV113" s="195" t="e">
        <v>#NAME?</v>
      </c>
      <c r="AW113" s="196" t="e">
        <f>SUM(AT113:AV113)</f>
        <v>#NAME?</v>
      </c>
      <c r="AX113" s="195" t="e">
        <v>#NAME?</v>
      </c>
      <c r="AY113" s="195" t="e">
        <v>#NAME?</v>
      </c>
      <c r="AZ113" s="195" t="e">
        <v>#NAME?</v>
      </c>
      <c r="BA113" s="196" t="e">
        <f>SUM(AX113:AZ113)</f>
        <v>#NAME?</v>
      </c>
      <c r="BB113" s="195" t="e">
        <v>#NAME?</v>
      </c>
      <c r="BC113" s="195" t="e">
        <v>#NAME?</v>
      </c>
      <c r="BD113" s="195" t="e">
        <v>#NAME?</v>
      </c>
      <c r="BE113" s="196" t="e">
        <f>SUM(BB113:BD113)</f>
        <v>#NAME?</v>
      </c>
      <c r="BF113" s="195" t="e">
        <v>#NAME?</v>
      </c>
      <c r="BG113" s="195" t="e">
        <v>#NAME?</v>
      </c>
      <c r="BH113" s="195" t="e">
        <v>#NAME?</v>
      </c>
      <c r="BI113" s="196" t="e">
        <f>SUM(BF113:BH113)</f>
        <v>#NAME?</v>
      </c>
      <c r="BJ113" s="195" t="e">
        <v>#NAME?</v>
      </c>
      <c r="BK113" s="195" t="e">
        <v>#NAME?</v>
      </c>
      <c r="BL113" s="195" t="e">
        <v>#NAME?</v>
      </c>
      <c r="BM113" s="196" t="e">
        <f>SUM(BJ113:BL113)</f>
        <v>#NAME?</v>
      </c>
      <c r="BN113" s="195" t="e">
        <v>#NAME?</v>
      </c>
      <c r="BO113" s="195" t="e">
        <v>#NAME?</v>
      </c>
      <c r="BP113" s="195" t="e">
        <v>#NAME?</v>
      </c>
      <c r="BQ113" s="196" t="e">
        <f>SUM(BM113:BP113)</f>
        <v>#NAME?</v>
      </c>
      <c r="BR113" s="195" t="e">
        <v>#NAME?</v>
      </c>
      <c r="BS113" s="195" t="e">
        <v>#NAME?</v>
      </c>
      <c r="BT113" s="195" t="e">
        <v>#NAME?</v>
      </c>
      <c r="BU113" s="196" t="e">
        <f>SUM(BQ113:BT113)</f>
        <v>#NAME?</v>
      </c>
      <c r="BV113" s="195" t="e">
        <v>#NAME?</v>
      </c>
      <c r="BW113" s="195" t="e">
        <v>#NAME?</v>
      </c>
      <c r="BX113" s="195" t="e">
        <v>#NAME?</v>
      </c>
      <c r="BY113" s="196" t="e">
        <f>SUM(BU113:BX113)</f>
        <v>#NAME?</v>
      </c>
    </row>
    <row r="114" spans="1:77" s="89" customFormat="1" ht="15.75">
      <c r="A114" s="124" t="s">
        <v>102</v>
      </c>
      <c r="B114" s="124"/>
      <c r="C114" s="124"/>
      <c r="D114" s="124"/>
      <c r="E114" s="124"/>
      <c r="F114" s="124"/>
      <c r="G114" s="124"/>
      <c r="H114" s="124"/>
      <c r="I114" s="166"/>
      <c r="J114" s="256" t="s">
        <v>215</v>
      </c>
      <c r="K114" s="329">
        <f>Y114</f>
        <v>4200</v>
      </c>
      <c r="L114" s="435">
        <f>K114*0.9</f>
        <v>3780</v>
      </c>
      <c r="M114" s="398">
        <f>L114/$M$4</f>
        <v>2953.125</v>
      </c>
      <c r="N114" s="398" t="e">
        <f t="shared" si="66"/>
        <v>#NAME?</v>
      </c>
      <c r="O114" s="398" t="e">
        <f t="shared" si="66"/>
        <v>#NAME?</v>
      </c>
      <c r="P114" s="191"/>
      <c r="Q114" s="191"/>
      <c r="R114" s="192"/>
      <c r="S114" s="228" t="s">
        <v>155</v>
      </c>
      <c r="T114" s="262">
        <v>12</v>
      </c>
      <c r="U114" s="257">
        <v>350</v>
      </c>
      <c r="V114" s="193"/>
      <c r="W114" s="329">
        <f>(T114*U114)</f>
        <v>4200</v>
      </c>
      <c r="X114" s="191"/>
      <c r="Y114" s="290">
        <f>W114</f>
        <v>4200</v>
      </c>
      <c r="Z114" s="191"/>
      <c r="AA114" s="190">
        <f>Y114/M$4</f>
        <v>3281.25</v>
      </c>
      <c r="AB114" s="191"/>
      <c r="AC114" s="191"/>
      <c r="AD114" s="192"/>
      <c r="AE114" s="228" t="s">
        <v>155</v>
      </c>
      <c r="AF114" s="229">
        <v>36</v>
      </c>
      <c r="AG114" s="257">
        <v>350</v>
      </c>
      <c r="AH114" s="193"/>
      <c r="AI114" s="241">
        <f>(AF114*AG114)</f>
        <v>12600</v>
      </c>
      <c r="AJ114" s="191"/>
      <c r="AK114" s="290">
        <f>AI114</f>
        <v>12600</v>
      </c>
      <c r="AL114" s="191"/>
      <c r="AM114" s="190">
        <f>AK114/M$4</f>
        <v>9843.75</v>
      </c>
      <c r="AN114" s="191"/>
      <c r="AO114" s="191"/>
      <c r="AP114" s="191"/>
      <c r="AQ114" s="191"/>
      <c r="AR114" s="194" t="e">
        <f>AS114*$M$4</f>
        <v>#NAME?</v>
      </c>
      <c r="AS114" s="194" t="e">
        <f>AW114+BA114+BE114+BI114+BM114+BQ114+BU114+BY114</f>
        <v>#NAME?</v>
      </c>
      <c r="AT114" s="195" t="e">
        <v>#NAME?</v>
      </c>
      <c r="AU114" s="195" t="e">
        <v>#NAME?</v>
      </c>
      <c r="AV114" s="195" t="e">
        <v>#NAME?</v>
      </c>
      <c r="AW114" s="196" t="e">
        <f>SUM(AT114:AV114)</f>
        <v>#NAME?</v>
      </c>
      <c r="AX114" s="195" t="e">
        <v>#NAME?</v>
      </c>
      <c r="AY114" s="195" t="e">
        <v>#NAME?</v>
      </c>
      <c r="AZ114" s="195" t="e">
        <v>#NAME?</v>
      </c>
      <c r="BA114" s="196" t="e">
        <f>SUM(AX114:AZ114)</f>
        <v>#NAME?</v>
      </c>
      <c r="BB114" s="195" t="e">
        <v>#NAME?</v>
      </c>
      <c r="BC114" s="195" t="e">
        <v>#NAME?</v>
      </c>
      <c r="BD114" s="195" t="e">
        <v>#NAME?</v>
      </c>
      <c r="BE114" s="196" t="e">
        <f>SUM(BB114:BD114)</f>
        <v>#NAME?</v>
      </c>
      <c r="BF114" s="195" t="e">
        <v>#NAME?</v>
      </c>
      <c r="BG114" s="195" t="e">
        <v>#NAME?</v>
      </c>
      <c r="BH114" s="195" t="e">
        <v>#NAME?</v>
      </c>
      <c r="BI114" s="196" t="e">
        <f>SUM(BF114:BH114)</f>
        <v>#NAME?</v>
      </c>
      <c r="BJ114" s="195" t="e">
        <v>#NAME?</v>
      </c>
      <c r="BK114" s="195" t="e">
        <v>#NAME?</v>
      </c>
      <c r="BL114" s="195" t="e">
        <v>#NAME?</v>
      </c>
      <c r="BM114" s="196" t="e">
        <f>SUM(BJ114:BL114)</f>
        <v>#NAME?</v>
      </c>
      <c r="BN114" s="195" t="e">
        <v>#NAME?</v>
      </c>
      <c r="BO114" s="195" t="e">
        <v>#NAME?</v>
      </c>
      <c r="BP114" s="195" t="e">
        <v>#NAME?</v>
      </c>
      <c r="BQ114" s="196" t="e">
        <f>SUM(BM114:BP114)</f>
        <v>#NAME?</v>
      </c>
      <c r="BR114" s="195" t="e">
        <v>#NAME?</v>
      </c>
      <c r="BS114" s="195" t="e">
        <v>#NAME?</v>
      </c>
      <c r="BT114" s="195" t="e">
        <v>#NAME?</v>
      </c>
      <c r="BU114" s="196" t="e">
        <f>SUM(BQ114:BT114)</f>
        <v>#NAME?</v>
      </c>
      <c r="BV114" s="195" t="e">
        <v>#NAME?</v>
      </c>
      <c r="BW114" s="195" t="e">
        <v>#NAME?</v>
      </c>
      <c r="BX114" s="195" t="e">
        <v>#NAME?</v>
      </c>
      <c r="BY114" s="196" t="e">
        <f>SUM(BU114:BX114)</f>
        <v>#NAME?</v>
      </c>
    </row>
    <row r="115" spans="1:77" s="89" customFormat="1" ht="15.75">
      <c r="A115" s="124" t="s">
        <v>103</v>
      </c>
      <c r="B115" s="124"/>
      <c r="C115" s="124"/>
      <c r="D115" s="124"/>
      <c r="E115" s="124"/>
      <c r="F115" s="124"/>
      <c r="G115" s="124"/>
      <c r="H115" s="124"/>
      <c r="I115" s="166"/>
      <c r="J115" s="256" t="s">
        <v>216</v>
      </c>
      <c r="K115" s="329">
        <f>Y115</f>
        <v>12000</v>
      </c>
      <c r="L115" s="435">
        <f>K115*0.9</f>
        <v>10800</v>
      </c>
      <c r="M115" s="398">
        <f>L115/$M$4</f>
        <v>8437.5</v>
      </c>
      <c r="N115" s="398" t="e">
        <f t="shared" si="66"/>
        <v>#NAME?</v>
      </c>
      <c r="O115" s="398" t="e">
        <f t="shared" si="66"/>
        <v>#NAME?</v>
      </c>
      <c r="P115" s="191"/>
      <c r="Q115" s="191"/>
      <c r="R115" s="192"/>
      <c r="S115" s="231" t="s">
        <v>155</v>
      </c>
      <c r="T115" s="262">
        <v>12</v>
      </c>
      <c r="U115" s="257">
        <v>1000</v>
      </c>
      <c r="V115" s="193"/>
      <c r="W115" s="329">
        <f>(T115*U115)</f>
        <v>12000</v>
      </c>
      <c r="X115" s="191"/>
      <c r="Y115" s="290">
        <f>W115</f>
        <v>12000</v>
      </c>
      <c r="Z115" s="191"/>
      <c r="AA115" s="190">
        <f>Y115/M$4</f>
        <v>9375</v>
      </c>
      <c r="AB115" s="191"/>
      <c r="AC115" s="191"/>
      <c r="AD115" s="192"/>
      <c r="AE115" s="231" t="s">
        <v>155</v>
      </c>
      <c r="AF115" s="229">
        <v>36</v>
      </c>
      <c r="AG115" s="257">
        <v>1000</v>
      </c>
      <c r="AH115" s="193"/>
      <c r="AI115" s="241">
        <f>(AF115*AG115)</f>
        <v>36000</v>
      </c>
      <c r="AJ115" s="191"/>
      <c r="AK115" s="290">
        <f>AI115</f>
        <v>36000</v>
      </c>
      <c r="AL115" s="191"/>
      <c r="AM115" s="190">
        <f>AK115/M$4</f>
        <v>28125</v>
      </c>
      <c r="AN115" s="191"/>
      <c r="AO115" s="191"/>
      <c r="AP115" s="191"/>
      <c r="AQ115" s="191"/>
      <c r="AR115" s="194" t="e">
        <f>AS115*$M$4</f>
        <v>#NAME?</v>
      </c>
      <c r="AS115" s="194" t="e">
        <f>AW115+BA115+BE115+BI115+BM115+BQ115+BU115+BY115</f>
        <v>#NAME?</v>
      </c>
      <c r="AT115" s="195" t="e">
        <v>#NAME?</v>
      </c>
      <c r="AU115" s="195" t="e">
        <v>#NAME?</v>
      </c>
      <c r="AV115" s="195" t="e">
        <v>#NAME?</v>
      </c>
      <c r="AW115" s="196" t="e">
        <f>SUM(AT115:AV115)</f>
        <v>#NAME?</v>
      </c>
      <c r="AX115" s="195" t="e">
        <v>#NAME?</v>
      </c>
      <c r="AY115" s="195" t="e">
        <v>#NAME?</v>
      </c>
      <c r="AZ115" s="195" t="e">
        <v>#NAME?</v>
      </c>
      <c r="BA115" s="196" t="e">
        <f>SUM(AX115:AZ115)</f>
        <v>#NAME?</v>
      </c>
      <c r="BB115" s="195" t="e">
        <v>#NAME?</v>
      </c>
      <c r="BC115" s="195" t="e">
        <v>#NAME?</v>
      </c>
      <c r="BD115" s="195" t="e">
        <v>#NAME?</v>
      </c>
      <c r="BE115" s="196" t="e">
        <f>SUM(BB115:BD115)</f>
        <v>#NAME?</v>
      </c>
      <c r="BF115" s="195" t="e">
        <v>#NAME?</v>
      </c>
      <c r="BG115" s="195" t="e">
        <v>#NAME?</v>
      </c>
      <c r="BH115" s="195" t="e">
        <v>#NAME?</v>
      </c>
      <c r="BI115" s="196" t="e">
        <f>SUM(BF115:BH115)</f>
        <v>#NAME?</v>
      </c>
      <c r="BJ115" s="195" t="e">
        <v>#NAME?</v>
      </c>
      <c r="BK115" s="195" t="e">
        <v>#NAME?</v>
      </c>
      <c r="BL115" s="195" t="e">
        <v>#NAME?</v>
      </c>
      <c r="BM115" s="196" t="e">
        <f>SUM(BJ115:BL115)</f>
        <v>#NAME?</v>
      </c>
      <c r="BN115" s="195" t="e">
        <v>#NAME?</v>
      </c>
      <c r="BO115" s="195" t="e">
        <v>#NAME?</v>
      </c>
      <c r="BP115" s="195" t="e">
        <v>#NAME?</v>
      </c>
      <c r="BQ115" s="196" t="e">
        <f>SUM(BM115:BP115)</f>
        <v>#NAME?</v>
      </c>
      <c r="BR115" s="195" t="e">
        <v>#NAME?</v>
      </c>
      <c r="BS115" s="195" t="e">
        <v>#NAME?</v>
      </c>
      <c r="BT115" s="195" t="e">
        <v>#NAME?</v>
      </c>
      <c r="BU115" s="196" t="e">
        <f>SUM(BQ115:BT115)</f>
        <v>#NAME?</v>
      </c>
      <c r="BV115" s="195" t="e">
        <v>#NAME?</v>
      </c>
      <c r="BW115" s="195" t="e">
        <v>#NAME?</v>
      </c>
      <c r="BX115" s="195" t="e">
        <v>#NAME?</v>
      </c>
      <c r="BY115" s="196" t="e">
        <f>SUM(BU115:BX115)</f>
        <v>#NAME?</v>
      </c>
    </row>
    <row r="116" spans="1:77" s="89" customFormat="1" ht="15.75">
      <c r="A116" s="124" t="s">
        <v>104</v>
      </c>
      <c r="B116" s="124"/>
      <c r="C116" s="124"/>
      <c r="D116" s="124"/>
      <c r="E116" s="124"/>
      <c r="F116" s="124"/>
      <c r="G116" s="124"/>
      <c r="H116" s="124"/>
      <c r="I116" s="166"/>
      <c r="J116" s="256" t="s">
        <v>217</v>
      </c>
      <c r="K116" s="329">
        <f>Y116</f>
        <v>2400</v>
      </c>
      <c r="L116" s="435">
        <f>K116*0.9</f>
        <v>2160</v>
      </c>
      <c r="M116" s="398">
        <f>L116/$M$4</f>
        <v>1687.5</v>
      </c>
      <c r="N116" s="398" t="e">
        <f t="shared" si="66"/>
        <v>#NAME?</v>
      </c>
      <c r="O116" s="398" t="e">
        <f t="shared" si="66"/>
        <v>#NAME?</v>
      </c>
      <c r="P116" s="191"/>
      <c r="Q116" s="191"/>
      <c r="R116" s="192"/>
      <c r="S116" s="231" t="s">
        <v>155</v>
      </c>
      <c r="T116" s="262">
        <v>12</v>
      </c>
      <c r="U116" s="257">
        <v>200</v>
      </c>
      <c r="V116" s="193"/>
      <c r="W116" s="329">
        <f>(T116*U116)</f>
        <v>2400</v>
      </c>
      <c r="X116" s="191"/>
      <c r="Y116" s="290">
        <f>W116</f>
        <v>2400</v>
      </c>
      <c r="Z116" s="191"/>
      <c r="AA116" s="190">
        <f>Y116/M$4</f>
        <v>1875</v>
      </c>
      <c r="AB116" s="191"/>
      <c r="AC116" s="191"/>
      <c r="AD116" s="192"/>
      <c r="AE116" s="231" t="s">
        <v>155</v>
      </c>
      <c r="AF116" s="229">
        <v>36</v>
      </c>
      <c r="AG116" s="257">
        <v>200</v>
      </c>
      <c r="AH116" s="193"/>
      <c r="AI116" s="241">
        <f>(AF116*AG116)</f>
        <v>7200</v>
      </c>
      <c r="AJ116" s="191"/>
      <c r="AK116" s="290">
        <f>AI116</f>
        <v>7200</v>
      </c>
      <c r="AL116" s="191"/>
      <c r="AM116" s="190">
        <f>AK116/M$4</f>
        <v>5625</v>
      </c>
      <c r="AN116" s="191"/>
      <c r="AO116" s="191"/>
      <c r="AP116" s="191"/>
      <c r="AQ116" s="191"/>
      <c r="AR116" s="194" t="e">
        <f>AS116*$M$4</f>
        <v>#NAME?</v>
      </c>
      <c r="AS116" s="194" t="e">
        <f>AW116+BA116+BE116+BI116+BM116+BQ116+BU116+BY116</f>
        <v>#NAME?</v>
      </c>
      <c r="AT116" s="195" t="e">
        <v>#NAME?</v>
      </c>
      <c r="AU116" s="195" t="e">
        <v>#NAME?</v>
      </c>
      <c r="AV116" s="195" t="e">
        <v>#NAME?</v>
      </c>
      <c r="AW116" s="196" t="e">
        <f>SUM(AT116:AV116)</f>
        <v>#NAME?</v>
      </c>
      <c r="AX116" s="195" t="e">
        <v>#NAME?</v>
      </c>
      <c r="AY116" s="195" t="e">
        <v>#NAME?</v>
      </c>
      <c r="AZ116" s="195" t="e">
        <v>#NAME?</v>
      </c>
      <c r="BA116" s="196" t="e">
        <f>SUM(AX116:AZ116)</f>
        <v>#NAME?</v>
      </c>
      <c r="BB116" s="195" t="e">
        <v>#NAME?</v>
      </c>
      <c r="BC116" s="195" t="e">
        <v>#NAME?</v>
      </c>
      <c r="BD116" s="195" t="e">
        <v>#NAME?</v>
      </c>
      <c r="BE116" s="196" t="e">
        <f>SUM(BB116:BD116)</f>
        <v>#NAME?</v>
      </c>
      <c r="BF116" s="195" t="e">
        <v>#NAME?</v>
      </c>
      <c r="BG116" s="195" t="e">
        <v>#NAME?</v>
      </c>
      <c r="BH116" s="195" t="e">
        <v>#NAME?</v>
      </c>
      <c r="BI116" s="196" t="e">
        <f>SUM(BF116:BH116)</f>
        <v>#NAME?</v>
      </c>
      <c r="BJ116" s="195" t="e">
        <v>#NAME?</v>
      </c>
      <c r="BK116" s="195" t="e">
        <v>#NAME?</v>
      </c>
      <c r="BL116" s="195" t="e">
        <v>#NAME?</v>
      </c>
      <c r="BM116" s="196" t="e">
        <f>SUM(BJ116:BL116)</f>
        <v>#NAME?</v>
      </c>
      <c r="BN116" s="195" t="e">
        <v>#NAME?</v>
      </c>
      <c r="BO116" s="195" t="e">
        <v>#NAME?</v>
      </c>
      <c r="BP116" s="195" t="e">
        <v>#NAME?</v>
      </c>
      <c r="BQ116" s="196" t="e">
        <f>SUM(BM116:BP116)</f>
        <v>#NAME?</v>
      </c>
      <c r="BR116" s="195" t="e">
        <v>#NAME?</v>
      </c>
      <c r="BS116" s="195" t="e">
        <v>#NAME?</v>
      </c>
      <c r="BT116" s="195" t="e">
        <v>#NAME?</v>
      </c>
      <c r="BU116" s="196" t="e">
        <f>SUM(BQ116:BT116)</f>
        <v>#NAME?</v>
      </c>
      <c r="BV116" s="195" t="e">
        <v>#NAME?</v>
      </c>
      <c r="BW116" s="195" t="e">
        <v>#NAME?</v>
      </c>
      <c r="BX116" s="195" t="e">
        <v>#NAME?</v>
      </c>
      <c r="BY116" s="196" t="e">
        <f>SUM(BU116:BX116)</f>
        <v>#NAME?</v>
      </c>
    </row>
    <row r="117" spans="1:77" s="89" customFormat="1" ht="15.75">
      <c r="A117" s="171"/>
      <c r="B117" s="172"/>
      <c r="C117" s="172"/>
      <c r="D117" s="172"/>
      <c r="E117" s="172"/>
      <c r="F117" s="172"/>
      <c r="I117" s="173"/>
      <c r="J117" s="186" t="str">
        <f>CONCATENATE("Subtotal ",J112)</f>
        <v>Subtotal 4.2 Office rent and security</v>
      </c>
      <c r="K117" s="363">
        <f>SUBTOTAL(9,K113:K116)</f>
        <v>28800</v>
      </c>
      <c r="L117" s="436">
        <f>SUBTOTAL(9,L113:L116)</f>
        <v>25920</v>
      </c>
      <c r="M117" s="399">
        <f>SUBTOTAL(9,M113:M116)</f>
        <v>20250</v>
      </c>
      <c r="N117" s="399" t="e">
        <f>SUBTOTAL(9,N113:N116)</f>
        <v>#NAME?</v>
      </c>
      <c r="O117" s="399" t="e">
        <f>SUBTOTAL(9,O113:O116)</f>
        <v>#NAME?</v>
      </c>
      <c r="P117" s="193"/>
      <c r="Q117" s="193"/>
      <c r="R117" s="225"/>
      <c r="S117" s="193"/>
      <c r="T117" s="193"/>
      <c r="U117" s="224"/>
      <c r="V117" s="224"/>
      <c r="W117" s="330">
        <f>SUBTOTAL(9,W113:W116)</f>
        <v>28800</v>
      </c>
      <c r="X117" s="193"/>
      <c r="Y117" s="301">
        <f>SUBTOTAL(9,Y113:Y116)</f>
        <v>28800</v>
      </c>
      <c r="Z117" s="193"/>
      <c r="AA117" s="223">
        <f>SUBTOTAL(9,AA113:AA116)</f>
        <v>22500</v>
      </c>
      <c r="AB117" s="193"/>
      <c r="AC117" s="193"/>
      <c r="AD117" s="225"/>
      <c r="AE117" s="193"/>
      <c r="AF117" s="193"/>
      <c r="AG117" s="224"/>
      <c r="AH117" s="224"/>
      <c r="AI117" s="242">
        <f>SUBTOTAL(9,AI113:AI116)</f>
        <v>86400</v>
      </c>
      <c r="AJ117" s="193"/>
      <c r="AK117" s="301">
        <f>SUBTOTAL(9,AK113:AK116)</f>
        <v>86400</v>
      </c>
      <c r="AL117" s="193"/>
      <c r="AM117" s="223">
        <f>SUBTOTAL(9,AM113:AM116)</f>
        <v>67500</v>
      </c>
      <c r="AN117" s="193"/>
      <c r="AO117" s="193"/>
      <c r="AP117" s="193"/>
      <c r="AQ117" s="193"/>
      <c r="AR117" s="224" t="e">
        <f aca="true" t="shared" si="67" ref="AR117:BF117">SUBTOTAL(9,AR113:AR116)</f>
        <v>#NAME?</v>
      </c>
      <c r="AS117" s="224" t="e">
        <f t="shared" si="67"/>
        <v>#NAME?</v>
      </c>
      <c r="AT117" s="224" t="e">
        <f t="shared" si="67"/>
        <v>#NAME?</v>
      </c>
      <c r="AU117" s="224" t="e">
        <f t="shared" si="67"/>
        <v>#NAME?</v>
      </c>
      <c r="AV117" s="224" t="e">
        <f t="shared" si="67"/>
        <v>#NAME?</v>
      </c>
      <c r="AW117" s="224" t="e">
        <f t="shared" si="67"/>
        <v>#NAME?</v>
      </c>
      <c r="AX117" s="224" t="e">
        <f t="shared" si="67"/>
        <v>#NAME?</v>
      </c>
      <c r="AY117" s="224" t="e">
        <f t="shared" si="67"/>
        <v>#NAME?</v>
      </c>
      <c r="AZ117" s="224" t="e">
        <f t="shared" si="67"/>
        <v>#NAME?</v>
      </c>
      <c r="BA117" s="224" t="e">
        <f t="shared" si="67"/>
        <v>#NAME?</v>
      </c>
      <c r="BB117" s="224" t="e">
        <f t="shared" si="67"/>
        <v>#NAME?</v>
      </c>
      <c r="BC117" s="224" t="e">
        <f t="shared" si="67"/>
        <v>#NAME?</v>
      </c>
      <c r="BD117" s="224" t="e">
        <f t="shared" si="67"/>
        <v>#NAME?</v>
      </c>
      <c r="BE117" s="224" t="e">
        <f t="shared" si="67"/>
        <v>#NAME?</v>
      </c>
      <c r="BF117" s="224" t="e">
        <f t="shared" si="67"/>
        <v>#NAME?</v>
      </c>
      <c r="BG117" s="224" t="e">
        <f aca="true" t="shared" si="68" ref="BG117:BY117">SUBTOTAL(9,BG113:BG116)</f>
        <v>#NAME?</v>
      </c>
      <c r="BH117" s="224" t="e">
        <f t="shared" si="68"/>
        <v>#NAME?</v>
      </c>
      <c r="BI117" s="224" t="e">
        <f t="shared" si="68"/>
        <v>#NAME?</v>
      </c>
      <c r="BJ117" s="224" t="e">
        <f t="shared" si="68"/>
        <v>#NAME?</v>
      </c>
      <c r="BK117" s="224" t="e">
        <f t="shared" si="68"/>
        <v>#NAME?</v>
      </c>
      <c r="BL117" s="224" t="e">
        <f t="shared" si="68"/>
        <v>#NAME?</v>
      </c>
      <c r="BM117" s="224" t="e">
        <f t="shared" si="68"/>
        <v>#NAME?</v>
      </c>
      <c r="BN117" s="224" t="e">
        <f t="shared" si="68"/>
        <v>#NAME?</v>
      </c>
      <c r="BO117" s="224" t="e">
        <f t="shared" si="68"/>
        <v>#NAME?</v>
      </c>
      <c r="BP117" s="224" t="e">
        <f t="shared" si="68"/>
        <v>#NAME?</v>
      </c>
      <c r="BQ117" s="224" t="e">
        <f t="shared" si="68"/>
        <v>#NAME?</v>
      </c>
      <c r="BR117" s="224" t="e">
        <f t="shared" si="68"/>
        <v>#NAME?</v>
      </c>
      <c r="BS117" s="224" t="e">
        <f t="shared" si="68"/>
        <v>#NAME?</v>
      </c>
      <c r="BT117" s="224" t="e">
        <f t="shared" si="68"/>
        <v>#NAME?</v>
      </c>
      <c r="BU117" s="224" t="e">
        <f t="shared" si="68"/>
        <v>#NAME?</v>
      </c>
      <c r="BV117" s="224" t="e">
        <f t="shared" si="68"/>
        <v>#NAME?</v>
      </c>
      <c r="BW117" s="224" t="e">
        <f t="shared" si="68"/>
        <v>#NAME?</v>
      </c>
      <c r="BX117" s="224" t="e">
        <f t="shared" si="68"/>
        <v>#NAME?</v>
      </c>
      <c r="BY117" s="224" t="e">
        <f t="shared" si="68"/>
        <v>#NAME?</v>
      </c>
    </row>
    <row r="118" spans="1:77" s="89" customFormat="1" ht="15.75">
      <c r="A118" s="171"/>
      <c r="B118" s="172"/>
      <c r="C118" s="172"/>
      <c r="D118" s="172"/>
      <c r="E118" s="172"/>
      <c r="F118" s="172"/>
      <c r="I118" s="173"/>
      <c r="J118" s="186"/>
      <c r="K118" s="363"/>
      <c r="L118" s="436"/>
      <c r="M118" s="399"/>
      <c r="N118" s="399"/>
      <c r="O118" s="399"/>
      <c r="P118" s="193"/>
      <c r="Q118" s="193"/>
      <c r="R118" s="225"/>
      <c r="S118" s="193"/>
      <c r="T118" s="193"/>
      <c r="U118" s="224"/>
      <c r="V118" s="224"/>
      <c r="W118" s="330"/>
      <c r="X118" s="193"/>
      <c r="Y118" s="301"/>
      <c r="Z118" s="193"/>
      <c r="AA118" s="223"/>
      <c r="AB118" s="193"/>
      <c r="AC118" s="193"/>
      <c r="AD118" s="225"/>
      <c r="AE118" s="193"/>
      <c r="AF118" s="193"/>
      <c r="AG118" s="224"/>
      <c r="AH118" s="224"/>
      <c r="AI118" s="242"/>
      <c r="AJ118" s="193"/>
      <c r="AK118" s="301"/>
      <c r="AL118" s="193"/>
      <c r="AM118" s="223"/>
      <c r="AN118" s="193"/>
      <c r="AO118" s="193"/>
      <c r="AP118" s="193"/>
      <c r="AQ118" s="193"/>
      <c r="AR118" s="224"/>
      <c r="AS118" s="224"/>
      <c r="AT118" s="224"/>
      <c r="AU118" s="224"/>
      <c r="AV118" s="224"/>
      <c r="AW118" s="224"/>
      <c r="AX118" s="224"/>
      <c r="AY118" s="224"/>
      <c r="AZ118" s="224"/>
      <c r="BA118" s="224"/>
      <c r="BB118" s="224"/>
      <c r="BC118" s="224"/>
      <c r="BD118" s="224"/>
      <c r="BE118" s="224"/>
      <c r="BF118" s="224"/>
      <c r="BG118" s="224"/>
      <c r="BH118" s="224"/>
      <c r="BI118" s="224"/>
      <c r="BJ118" s="224"/>
      <c r="BK118" s="224"/>
      <c r="BL118" s="224"/>
      <c r="BM118" s="224"/>
      <c r="BN118" s="224"/>
      <c r="BO118" s="224"/>
      <c r="BP118" s="224"/>
      <c r="BQ118" s="224"/>
      <c r="BR118" s="224"/>
      <c r="BS118" s="224"/>
      <c r="BT118" s="224"/>
      <c r="BU118" s="224"/>
      <c r="BV118" s="224"/>
      <c r="BW118" s="224"/>
      <c r="BX118" s="224"/>
      <c r="BY118" s="224"/>
    </row>
    <row r="119" spans="1:77" s="89" customFormat="1" ht="15.75">
      <c r="A119" s="171"/>
      <c r="B119" s="172"/>
      <c r="C119" s="172"/>
      <c r="D119" s="172"/>
      <c r="E119" s="172"/>
      <c r="F119" s="172"/>
      <c r="I119" s="173"/>
      <c r="J119" s="263" t="s">
        <v>218</v>
      </c>
      <c r="K119" s="363"/>
      <c r="L119" s="436"/>
      <c r="M119" s="399"/>
      <c r="N119" s="399"/>
      <c r="O119" s="399"/>
      <c r="P119" s="193"/>
      <c r="Q119" s="193"/>
      <c r="R119" s="225"/>
      <c r="S119" s="193"/>
      <c r="T119" s="193"/>
      <c r="U119" s="224"/>
      <c r="V119" s="224"/>
      <c r="W119" s="330"/>
      <c r="X119" s="193"/>
      <c r="Y119" s="301"/>
      <c r="Z119" s="193"/>
      <c r="AA119" s="223"/>
      <c r="AB119" s="193"/>
      <c r="AC119" s="193"/>
      <c r="AD119" s="225"/>
      <c r="AE119" s="193"/>
      <c r="AF119" s="193"/>
      <c r="AG119" s="224"/>
      <c r="AH119" s="224"/>
      <c r="AI119" s="242"/>
      <c r="AJ119" s="193"/>
      <c r="AK119" s="301"/>
      <c r="AL119" s="193"/>
      <c r="AM119" s="223"/>
      <c r="AN119" s="193"/>
      <c r="AO119" s="193"/>
      <c r="AP119" s="193"/>
      <c r="AQ119" s="193"/>
      <c r="AR119" s="224"/>
      <c r="AS119" s="224"/>
      <c r="AT119" s="224"/>
      <c r="AU119" s="224"/>
      <c r="AV119" s="224"/>
      <c r="AW119" s="224"/>
      <c r="AX119" s="224"/>
      <c r="AY119" s="224"/>
      <c r="AZ119" s="224"/>
      <c r="BA119" s="224"/>
      <c r="BB119" s="224"/>
      <c r="BC119" s="224"/>
      <c r="BD119" s="224"/>
      <c r="BE119" s="224"/>
      <c r="BF119" s="224"/>
      <c r="BG119" s="224"/>
      <c r="BH119" s="224"/>
      <c r="BI119" s="224"/>
      <c r="BJ119" s="224"/>
      <c r="BK119" s="224"/>
      <c r="BL119" s="224"/>
      <c r="BM119" s="224"/>
      <c r="BN119" s="224"/>
      <c r="BO119" s="224"/>
      <c r="BP119" s="224"/>
      <c r="BQ119" s="224"/>
      <c r="BR119" s="224"/>
      <c r="BS119" s="224"/>
      <c r="BT119" s="224"/>
      <c r="BU119" s="224"/>
      <c r="BV119" s="224"/>
      <c r="BW119" s="224"/>
      <c r="BX119" s="224"/>
      <c r="BY119" s="224"/>
    </row>
    <row r="120" spans="1:77" s="89" customFormat="1" ht="15.75">
      <c r="A120" s="124" t="s">
        <v>105</v>
      </c>
      <c r="B120" s="124"/>
      <c r="C120" s="124"/>
      <c r="D120" s="124"/>
      <c r="E120" s="124"/>
      <c r="F120" s="124"/>
      <c r="G120" s="124"/>
      <c r="H120" s="124"/>
      <c r="I120" s="166"/>
      <c r="J120" s="256" t="s">
        <v>219</v>
      </c>
      <c r="K120" s="329">
        <f>Y120</f>
        <v>5280</v>
      </c>
      <c r="L120" s="435">
        <f>K120*0.9</f>
        <v>4752</v>
      </c>
      <c r="M120" s="398">
        <f>L120/$M$4</f>
        <v>3712.5</v>
      </c>
      <c r="N120" s="398" t="e">
        <f>L120-AR120</f>
        <v>#NAME?</v>
      </c>
      <c r="O120" s="398" t="e">
        <f>M120-AS120</f>
        <v>#NAME?</v>
      </c>
      <c r="P120" s="191"/>
      <c r="Q120" s="191"/>
      <c r="R120" s="192"/>
      <c r="S120" s="228" t="s">
        <v>155</v>
      </c>
      <c r="T120" s="262">
        <v>12</v>
      </c>
      <c r="U120" s="275">
        <v>440</v>
      </c>
      <c r="V120" s="193"/>
      <c r="W120" s="329">
        <f>(T120*U120)</f>
        <v>5280</v>
      </c>
      <c r="X120" s="191"/>
      <c r="Y120" s="290">
        <f>W120</f>
        <v>5280</v>
      </c>
      <c r="Z120" s="191"/>
      <c r="AA120" s="190">
        <f>Y120/M$4</f>
        <v>4125</v>
      </c>
      <c r="AB120" s="191"/>
      <c r="AC120" s="191"/>
      <c r="AD120" s="192"/>
      <c r="AE120" s="228" t="s">
        <v>155</v>
      </c>
      <c r="AF120" s="274">
        <v>12</v>
      </c>
      <c r="AG120" s="275">
        <v>440</v>
      </c>
      <c r="AH120" s="193"/>
      <c r="AI120" s="241">
        <f>(AF120*AG120)</f>
        <v>5280</v>
      </c>
      <c r="AJ120" s="191"/>
      <c r="AK120" s="290">
        <f>AI120</f>
        <v>5280</v>
      </c>
      <c r="AL120" s="191"/>
      <c r="AM120" s="190">
        <f>AK120/M$4</f>
        <v>4125</v>
      </c>
      <c r="AN120" s="191"/>
      <c r="AO120" s="191"/>
      <c r="AP120" s="191"/>
      <c r="AQ120" s="191"/>
      <c r="AR120" s="194" t="e">
        <f>AS120*$M$4</f>
        <v>#NAME?</v>
      </c>
      <c r="AS120" s="194" t="e">
        <f>AW120+BA120+BE120+BI120+BM120+BQ120+BU120+BY120</f>
        <v>#NAME?</v>
      </c>
      <c r="AT120" s="195" t="e">
        <v>#NAME?</v>
      </c>
      <c r="AU120" s="195" t="e">
        <v>#NAME?</v>
      </c>
      <c r="AV120" s="195" t="e">
        <v>#NAME?</v>
      </c>
      <c r="AW120" s="196" t="e">
        <f>SUM(AT120:AV120)</f>
        <v>#NAME?</v>
      </c>
      <c r="AX120" s="195" t="e">
        <v>#NAME?</v>
      </c>
      <c r="AY120" s="195" t="e">
        <v>#NAME?</v>
      </c>
      <c r="AZ120" s="195" t="e">
        <v>#NAME?</v>
      </c>
      <c r="BA120" s="196" t="e">
        <f>SUM(AX120:AZ120)</f>
        <v>#NAME?</v>
      </c>
      <c r="BB120" s="195" t="e">
        <v>#NAME?</v>
      </c>
      <c r="BC120" s="195" t="e">
        <v>#NAME?</v>
      </c>
      <c r="BD120" s="195" t="e">
        <v>#NAME?</v>
      </c>
      <c r="BE120" s="196" t="e">
        <f>SUM(BB120:BD120)</f>
        <v>#NAME?</v>
      </c>
      <c r="BF120" s="195" t="e">
        <v>#NAME?</v>
      </c>
      <c r="BG120" s="195" t="e">
        <v>#NAME?</v>
      </c>
      <c r="BH120" s="195" t="e">
        <v>#NAME?</v>
      </c>
      <c r="BI120" s="196" t="e">
        <f>SUM(BF120:BH120)</f>
        <v>#NAME?</v>
      </c>
      <c r="BJ120" s="195" t="e">
        <v>#NAME?</v>
      </c>
      <c r="BK120" s="195" t="e">
        <v>#NAME?</v>
      </c>
      <c r="BL120" s="195" t="e">
        <v>#NAME?</v>
      </c>
      <c r="BM120" s="196" t="e">
        <f>SUM(BJ120:BL120)</f>
        <v>#NAME?</v>
      </c>
      <c r="BN120" s="195" t="e">
        <v>#NAME?</v>
      </c>
      <c r="BO120" s="195" t="e">
        <v>#NAME?</v>
      </c>
      <c r="BP120" s="195" t="e">
        <v>#NAME?</v>
      </c>
      <c r="BQ120" s="196" t="e">
        <f>SUM(BM120:BP120)</f>
        <v>#NAME?</v>
      </c>
      <c r="BR120" s="195" t="e">
        <v>#NAME?</v>
      </c>
      <c r="BS120" s="195" t="e">
        <v>#NAME?</v>
      </c>
      <c r="BT120" s="195" t="e">
        <v>#NAME?</v>
      </c>
      <c r="BU120" s="196" t="e">
        <f>SUM(BQ120:BT120)</f>
        <v>#NAME?</v>
      </c>
      <c r="BV120" s="195" t="e">
        <v>#NAME?</v>
      </c>
      <c r="BW120" s="195" t="e">
        <v>#NAME?</v>
      </c>
      <c r="BX120" s="195" t="e">
        <v>#NAME?</v>
      </c>
      <c r="BY120" s="196" t="e">
        <f>SUM(BU120:BX120)</f>
        <v>#NAME?</v>
      </c>
    </row>
    <row r="121" spans="1:77" s="89" customFormat="1" ht="15.75">
      <c r="A121" s="124" t="s">
        <v>106</v>
      </c>
      <c r="B121" s="124"/>
      <c r="C121" s="124"/>
      <c r="D121" s="124"/>
      <c r="E121" s="124"/>
      <c r="F121" s="124"/>
      <c r="G121" s="124"/>
      <c r="H121" s="124"/>
      <c r="I121" s="166"/>
      <c r="J121" s="256" t="s">
        <v>220</v>
      </c>
      <c r="K121" s="329">
        <f>Y121</f>
        <v>5280</v>
      </c>
      <c r="L121" s="435">
        <f>K121*0.9</f>
        <v>4752</v>
      </c>
      <c r="M121" s="398">
        <f>L121/$M$4</f>
        <v>3712.5</v>
      </c>
      <c r="N121" s="398" t="e">
        <f>L121-AR121</f>
        <v>#NAME?</v>
      </c>
      <c r="O121" s="398" t="e">
        <f>M121-AS121</f>
        <v>#NAME?</v>
      </c>
      <c r="P121" s="191"/>
      <c r="Q121" s="191"/>
      <c r="R121" s="192"/>
      <c r="S121" s="228" t="s">
        <v>155</v>
      </c>
      <c r="T121" s="262">
        <v>12</v>
      </c>
      <c r="U121" s="275">
        <v>440</v>
      </c>
      <c r="V121" s="193"/>
      <c r="W121" s="329">
        <f>(T121*U121)</f>
        <v>5280</v>
      </c>
      <c r="X121" s="191"/>
      <c r="Y121" s="290">
        <f>W121</f>
        <v>5280</v>
      </c>
      <c r="Z121" s="191"/>
      <c r="AA121" s="190">
        <f>Y121/M$4</f>
        <v>4125</v>
      </c>
      <c r="AB121" s="191"/>
      <c r="AC121" s="191"/>
      <c r="AD121" s="192"/>
      <c r="AE121" s="228" t="s">
        <v>155</v>
      </c>
      <c r="AF121" s="274">
        <v>8</v>
      </c>
      <c r="AG121" s="275">
        <v>440</v>
      </c>
      <c r="AH121" s="193"/>
      <c r="AI121" s="241">
        <f>(AF121*AG121)</f>
        <v>3520</v>
      </c>
      <c r="AJ121" s="191"/>
      <c r="AK121" s="290">
        <f>AI121</f>
        <v>3520</v>
      </c>
      <c r="AL121" s="191"/>
      <c r="AM121" s="190">
        <f>AK121/M$4</f>
        <v>2750</v>
      </c>
      <c r="AN121" s="191"/>
      <c r="AO121" s="191"/>
      <c r="AP121" s="191"/>
      <c r="AQ121" s="191"/>
      <c r="AR121" s="194" t="e">
        <f>AS121*$M$4</f>
        <v>#NAME?</v>
      </c>
      <c r="AS121" s="194" t="e">
        <f>AW121+BA121+BE121+BI121+BM121+BQ121+BU121+BY121</f>
        <v>#NAME?</v>
      </c>
      <c r="AT121" s="195" t="e">
        <v>#NAME?</v>
      </c>
      <c r="AU121" s="195" t="e">
        <v>#NAME?</v>
      </c>
      <c r="AV121" s="195" t="e">
        <v>#NAME?</v>
      </c>
      <c r="AW121" s="196" t="e">
        <f>SUM(AT121:AV121)</f>
        <v>#NAME?</v>
      </c>
      <c r="AX121" s="195" t="e">
        <v>#NAME?</v>
      </c>
      <c r="AY121" s="195" t="e">
        <v>#NAME?</v>
      </c>
      <c r="AZ121" s="195" t="e">
        <v>#NAME?</v>
      </c>
      <c r="BA121" s="196" t="e">
        <f>SUM(AX121:AZ121)</f>
        <v>#NAME?</v>
      </c>
      <c r="BB121" s="195" t="e">
        <v>#NAME?</v>
      </c>
      <c r="BC121" s="195" t="e">
        <v>#NAME?</v>
      </c>
      <c r="BD121" s="195" t="e">
        <v>#NAME?</v>
      </c>
      <c r="BE121" s="196" t="e">
        <f>SUM(BB121:BD121)</f>
        <v>#NAME?</v>
      </c>
      <c r="BF121" s="195" t="e">
        <v>#NAME?</v>
      </c>
      <c r="BG121" s="195" t="e">
        <v>#NAME?</v>
      </c>
      <c r="BH121" s="195" t="e">
        <v>#NAME?</v>
      </c>
      <c r="BI121" s="196" t="e">
        <f>SUM(BF121:BH121)</f>
        <v>#NAME?</v>
      </c>
      <c r="BJ121" s="195" t="e">
        <v>#NAME?</v>
      </c>
      <c r="BK121" s="195" t="e">
        <v>#NAME?</v>
      </c>
      <c r="BL121" s="195" t="e">
        <v>#NAME?</v>
      </c>
      <c r="BM121" s="196" t="e">
        <f>SUM(BJ121:BL121)</f>
        <v>#NAME?</v>
      </c>
      <c r="BN121" s="195" t="e">
        <v>#NAME?</v>
      </c>
      <c r="BO121" s="195" t="e">
        <v>#NAME?</v>
      </c>
      <c r="BP121" s="195" t="e">
        <v>#NAME?</v>
      </c>
      <c r="BQ121" s="196" t="e">
        <f>SUM(BM121:BP121)</f>
        <v>#NAME?</v>
      </c>
      <c r="BR121" s="195" t="e">
        <v>#NAME?</v>
      </c>
      <c r="BS121" s="195" t="e">
        <v>#NAME?</v>
      </c>
      <c r="BT121" s="195" t="e">
        <v>#NAME?</v>
      </c>
      <c r="BU121" s="196" t="e">
        <f>SUM(BQ121:BT121)</f>
        <v>#NAME?</v>
      </c>
      <c r="BV121" s="195" t="e">
        <v>#NAME?</v>
      </c>
      <c r="BW121" s="195" t="e">
        <v>#NAME?</v>
      </c>
      <c r="BX121" s="195" t="e">
        <v>#NAME?</v>
      </c>
      <c r="BY121" s="196" t="e">
        <f>SUM(BU121:BX121)</f>
        <v>#NAME?</v>
      </c>
    </row>
    <row r="122" spans="1:77" s="89" customFormat="1" ht="15.75">
      <c r="A122" s="171"/>
      <c r="B122" s="172"/>
      <c r="C122" s="172"/>
      <c r="D122" s="172"/>
      <c r="E122" s="172"/>
      <c r="F122" s="172"/>
      <c r="I122" s="173"/>
      <c r="J122" s="186" t="str">
        <f>CONCATENATE("Subtotal ",J119)</f>
        <v>Subtotal 4.3 Consumables - office supplies and equipment</v>
      </c>
      <c r="K122" s="363">
        <f>SUBTOTAL(9,K120:K121)</f>
        <v>10560</v>
      </c>
      <c r="L122" s="436">
        <f>SUBTOTAL(9,L120:L121)</f>
        <v>9504</v>
      </c>
      <c r="M122" s="399">
        <f>SUBTOTAL(9,M120:M121)</f>
        <v>7425</v>
      </c>
      <c r="N122" s="399" t="e">
        <f>SUBTOTAL(9,N120:N121)</f>
        <v>#NAME?</v>
      </c>
      <c r="O122" s="399" t="e">
        <f>SUBTOTAL(9,O120:O121)</f>
        <v>#NAME?</v>
      </c>
      <c r="P122" s="193"/>
      <c r="Q122" s="193"/>
      <c r="R122" s="225"/>
      <c r="S122" s="193"/>
      <c r="T122" s="193"/>
      <c r="U122" s="224"/>
      <c r="V122" s="224"/>
      <c r="W122" s="330">
        <f>SUBTOTAL(9,W120:W121)</f>
        <v>10560</v>
      </c>
      <c r="X122" s="193"/>
      <c r="Y122" s="301">
        <f>SUBTOTAL(9,Y120:Y121)</f>
        <v>10560</v>
      </c>
      <c r="Z122" s="193"/>
      <c r="AA122" s="223">
        <f>SUBTOTAL(9,AA120:AA121)</f>
        <v>8250</v>
      </c>
      <c r="AB122" s="193"/>
      <c r="AC122" s="193"/>
      <c r="AD122" s="225"/>
      <c r="AE122" s="193"/>
      <c r="AF122" s="193"/>
      <c r="AG122" s="224"/>
      <c r="AH122" s="224"/>
      <c r="AI122" s="242">
        <f>SUBTOTAL(9,AI120:AI121)</f>
        <v>8800</v>
      </c>
      <c r="AJ122" s="193"/>
      <c r="AK122" s="301">
        <f>SUBTOTAL(9,AK120:AK121)</f>
        <v>8800</v>
      </c>
      <c r="AL122" s="193"/>
      <c r="AM122" s="223">
        <f>SUBTOTAL(9,AM120:AM121)</f>
        <v>6875</v>
      </c>
      <c r="AN122" s="193"/>
      <c r="AO122" s="193"/>
      <c r="AP122" s="193"/>
      <c r="AQ122" s="193"/>
      <c r="AR122" s="224" t="e">
        <f aca="true" t="shared" si="69" ref="AR122:BF122">SUBTOTAL(9,AR120:AR121)</f>
        <v>#NAME?</v>
      </c>
      <c r="AS122" s="224" t="e">
        <f t="shared" si="69"/>
        <v>#NAME?</v>
      </c>
      <c r="AT122" s="224" t="e">
        <f t="shared" si="69"/>
        <v>#NAME?</v>
      </c>
      <c r="AU122" s="224" t="e">
        <f t="shared" si="69"/>
        <v>#NAME?</v>
      </c>
      <c r="AV122" s="224" t="e">
        <f t="shared" si="69"/>
        <v>#NAME?</v>
      </c>
      <c r="AW122" s="224" t="e">
        <f t="shared" si="69"/>
        <v>#NAME?</v>
      </c>
      <c r="AX122" s="224" t="e">
        <f t="shared" si="69"/>
        <v>#NAME?</v>
      </c>
      <c r="AY122" s="224" t="e">
        <f t="shared" si="69"/>
        <v>#NAME?</v>
      </c>
      <c r="AZ122" s="224" t="e">
        <f t="shared" si="69"/>
        <v>#NAME?</v>
      </c>
      <c r="BA122" s="224" t="e">
        <f t="shared" si="69"/>
        <v>#NAME?</v>
      </c>
      <c r="BB122" s="224" t="e">
        <f t="shared" si="69"/>
        <v>#NAME?</v>
      </c>
      <c r="BC122" s="224" t="e">
        <f t="shared" si="69"/>
        <v>#NAME?</v>
      </c>
      <c r="BD122" s="224" t="e">
        <f t="shared" si="69"/>
        <v>#NAME?</v>
      </c>
      <c r="BE122" s="224" t="e">
        <f t="shared" si="69"/>
        <v>#NAME?</v>
      </c>
      <c r="BF122" s="224" t="e">
        <f t="shared" si="69"/>
        <v>#NAME?</v>
      </c>
      <c r="BG122" s="224" t="e">
        <f aca="true" t="shared" si="70" ref="BG122:BY122">SUBTOTAL(9,BG120:BG121)</f>
        <v>#NAME?</v>
      </c>
      <c r="BH122" s="224" t="e">
        <f t="shared" si="70"/>
        <v>#NAME?</v>
      </c>
      <c r="BI122" s="224" t="e">
        <f t="shared" si="70"/>
        <v>#NAME?</v>
      </c>
      <c r="BJ122" s="224" t="e">
        <f t="shared" si="70"/>
        <v>#NAME?</v>
      </c>
      <c r="BK122" s="224" t="e">
        <f t="shared" si="70"/>
        <v>#NAME?</v>
      </c>
      <c r="BL122" s="224" t="e">
        <f t="shared" si="70"/>
        <v>#NAME?</v>
      </c>
      <c r="BM122" s="224" t="e">
        <f t="shared" si="70"/>
        <v>#NAME?</v>
      </c>
      <c r="BN122" s="224" t="e">
        <f t="shared" si="70"/>
        <v>#NAME?</v>
      </c>
      <c r="BO122" s="224" t="e">
        <f t="shared" si="70"/>
        <v>#NAME?</v>
      </c>
      <c r="BP122" s="224" t="e">
        <f t="shared" si="70"/>
        <v>#NAME?</v>
      </c>
      <c r="BQ122" s="224" t="e">
        <f t="shared" si="70"/>
        <v>#NAME?</v>
      </c>
      <c r="BR122" s="224" t="e">
        <f t="shared" si="70"/>
        <v>#NAME?</v>
      </c>
      <c r="BS122" s="224" t="e">
        <f t="shared" si="70"/>
        <v>#NAME?</v>
      </c>
      <c r="BT122" s="224" t="e">
        <f t="shared" si="70"/>
        <v>#NAME?</v>
      </c>
      <c r="BU122" s="224" t="e">
        <f t="shared" si="70"/>
        <v>#NAME?</v>
      </c>
      <c r="BV122" s="224" t="e">
        <f t="shared" si="70"/>
        <v>#NAME?</v>
      </c>
      <c r="BW122" s="224" t="e">
        <f t="shared" si="70"/>
        <v>#NAME?</v>
      </c>
      <c r="BX122" s="224" t="e">
        <f t="shared" si="70"/>
        <v>#NAME?</v>
      </c>
      <c r="BY122" s="224" t="e">
        <f t="shared" si="70"/>
        <v>#NAME?</v>
      </c>
    </row>
    <row r="123" spans="1:77" s="89" customFormat="1" ht="15.75">
      <c r="A123" s="171"/>
      <c r="B123" s="172"/>
      <c r="C123" s="172"/>
      <c r="D123" s="172"/>
      <c r="E123" s="172"/>
      <c r="F123" s="172"/>
      <c r="I123" s="173"/>
      <c r="J123" s="186"/>
      <c r="K123" s="363"/>
      <c r="L123" s="436"/>
      <c r="M123" s="399"/>
      <c r="N123" s="399"/>
      <c r="O123" s="399"/>
      <c r="P123" s="193"/>
      <c r="Q123" s="193"/>
      <c r="R123" s="225"/>
      <c r="S123" s="193"/>
      <c r="T123" s="193"/>
      <c r="U123" s="224"/>
      <c r="V123" s="224"/>
      <c r="W123" s="330"/>
      <c r="X123" s="193"/>
      <c r="Y123" s="301"/>
      <c r="Z123" s="193"/>
      <c r="AA123" s="223"/>
      <c r="AB123" s="193"/>
      <c r="AC123" s="193"/>
      <c r="AD123" s="225"/>
      <c r="AE123" s="193"/>
      <c r="AF123" s="193"/>
      <c r="AG123" s="224"/>
      <c r="AH123" s="224"/>
      <c r="AI123" s="242"/>
      <c r="AJ123" s="193"/>
      <c r="AK123" s="301"/>
      <c r="AL123" s="193"/>
      <c r="AM123" s="223"/>
      <c r="AN123" s="193"/>
      <c r="AO123" s="193"/>
      <c r="AP123" s="193"/>
      <c r="AQ123" s="193"/>
      <c r="AR123" s="224"/>
      <c r="AS123" s="224"/>
      <c r="AT123" s="224"/>
      <c r="AU123" s="224"/>
      <c r="AV123" s="224"/>
      <c r="AW123" s="224"/>
      <c r="AX123" s="224"/>
      <c r="AY123" s="224"/>
      <c r="AZ123" s="224"/>
      <c r="BA123" s="224"/>
      <c r="BB123" s="224"/>
      <c r="BC123" s="224"/>
      <c r="BD123" s="224"/>
      <c r="BE123" s="224"/>
      <c r="BF123" s="224"/>
      <c r="BG123" s="224"/>
      <c r="BH123" s="224"/>
      <c r="BI123" s="224"/>
      <c r="BJ123" s="224"/>
      <c r="BK123" s="224"/>
      <c r="BL123" s="224"/>
      <c r="BM123" s="224"/>
      <c r="BN123" s="224"/>
      <c r="BO123" s="224"/>
      <c r="BP123" s="224"/>
      <c r="BQ123" s="224"/>
      <c r="BR123" s="224"/>
      <c r="BS123" s="224"/>
      <c r="BT123" s="224"/>
      <c r="BU123" s="224"/>
      <c r="BV123" s="224"/>
      <c r="BW123" s="224"/>
      <c r="BX123" s="224"/>
      <c r="BY123" s="224"/>
    </row>
    <row r="124" spans="1:77" s="89" customFormat="1" ht="15.75">
      <c r="A124" s="171"/>
      <c r="B124" s="172"/>
      <c r="C124" s="172"/>
      <c r="D124" s="172"/>
      <c r="E124" s="172"/>
      <c r="F124" s="172"/>
      <c r="I124" s="173"/>
      <c r="J124" s="263" t="s">
        <v>221</v>
      </c>
      <c r="K124" s="363"/>
      <c r="L124" s="436"/>
      <c r="M124" s="399"/>
      <c r="N124" s="399"/>
      <c r="O124" s="399"/>
      <c r="P124" s="193"/>
      <c r="Q124" s="193"/>
      <c r="R124" s="225"/>
      <c r="S124" s="193"/>
      <c r="T124" s="193"/>
      <c r="U124" s="224"/>
      <c r="V124" s="224"/>
      <c r="W124" s="330"/>
      <c r="X124" s="193"/>
      <c r="Y124" s="301"/>
      <c r="Z124" s="193"/>
      <c r="AA124" s="223"/>
      <c r="AB124" s="193"/>
      <c r="AC124" s="193"/>
      <c r="AD124" s="225"/>
      <c r="AE124" s="193"/>
      <c r="AF124" s="193"/>
      <c r="AG124" s="224"/>
      <c r="AH124" s="224"/>
      <c r="AI124" s="242"/>
      <c r="AJ124" s="193"/>
      <c r="AK124" s="301"/>
      <c r="AL124" s="193"/>
      <c r="AM124" s="223"/>
      <c r="AN124" s="193"/>
      <c r="AO124" s="193"/>
      <c r="AP124" s="193"/>
      <c r="AQ124" s="193"/>
      <c r="AR124" s="224"/>
      <c r="AS124" s="224"/>
      <c r="AT124" s="224"/>
      <c r="AU124" s="224"/>
      <c r="AV124" s="224"/>
      <c r="AW124" s="224"/>
      <c r="AX124" s="224"/>
      <c r="AY124" s="224"/>
      <c r="AZ124" s="224"/>
      <c r="BA124" s="224"/>
      <c r="BB124" s="224"/>
      <c r="BC124" s="224"/>
      <c r="BD124" s="224"/>
      <c r="BE124" s="224"/>
      <c r="BF124" s="224"/>
      <c r="BG124" s="224"/>
      <c r="BH124" s="224"/>
      <c r="BI124" s="224"/>
      <c r="BJ124" s="224"/>
      <c r="BK124" s="224"/>
      <c r="BL124" s="224"/>
      <c r="BM124" s="224"/>
      <c r="BN124" s="224"/>
      <c r="BO124" s="224"/>
      <c r="BP124" s="224"/>
      <c r="BQ124" s="224"/>
      <c r="BR124" s="224"/>
      <c r="BS124" s="224"/>
      <c r="BT124" s="224"/>
      <c r="BU124" s="224"/>
      <c r="BV124" s="224"/>
      <c r="BW124" s="224"/>
      <c r="BX124" s="224"/>
      <c r="BY124" s="224"/>
    </row>
    <row r="125" spans="1:77" s="89" customFormat="1" ht="15.75">
      <c r="A125" s="124" t="s">
        <v>107</v>
      </c>
      <c r="B125" s="104"/>
      <c r="C125" s="104"/>
      <c r="D125" s="81"/>
      <c r="E125" s="105"/>
      <c r="F125" s="95"/>
      <c r="G125" s="82"/>
      <c r="H125" s="82"/>
      <c r="I125" s="166"/>
      <c r="J125" s="256" t="s">
        <v>222</v>
      </c>
      <c r="K125" s="329">
        <f>Y125</f>
        <v>10368</v>
      </c>
      <c r="L125" s="435">
        <f>K125*0.9</f>
        <v>9331.2</v>
      </c>
      <c r="M125" s="398">
        <f>L125/$M$4</f>
        <v>7290</v>
      </c>
      <c r="N125" s="398" t="e">
        <f>L125-AR125</f>
        <v>#NAME?</v>
      </c>
      <c r="O125" s="398" t="e">
        <f>M125-AS125</f>
        <v>#NAME?</v>
      </c>
      <c r="P125" s="191"/>
      <c r="Q125" s="191"/>
      <c r="R125" s="192"/>
      <c r="S125" s="228" t="s">
        <v>155</v>
      </c>
      <c r="T125" s="262">
        <v>12</v>
      </c>
      <c r="U125" s="275">
        <v>864</v>
      </c>
      <c r="V125" s="193"/>
      <c r="W125" s="329">
        <f>(T125*U125)</f>
        <v>10368</v>
      </c>
      <c r="X125" s="191"/>
      <c r="Y125" s="290">
        <f>W125</f>
        <v>10368</v>
      </c>
      <c r="Z125" s="191"/>
      <c r="AA125" s="190">
        <f>Y125/M$4</f>
        <v>8100</v>
      </c>
      <c r="AB125" s="191"/>
      <c r="AC125" s="191"/>
      <c r="AD125" s="192"/>
      <c r="AE125" s="228" t="s">
        <v>155</v>
      </c>
      <c r="AF125" s="274">
        <v>36</v>
      </c>
      <c r="AG125" s="275">
        <v>864</v>
      </c>
      <c r="AH125" s="193"/>
      <c r="AI125" s="241">
        <f>(AF125*AG125)</f>
        <v>31104</v>
      </c>
      <c r="AJ125" s="191"/>
      <c r="AK125" s="290">
        <f>AI125</f>
        <v>31104</v>
      </c>
      <c r="AL125" s="191"/>
      <c r="AM125" s="190">
        <f>AK125/M$4</f>
        <v>24300</v>
      </c>
      <c r="AN125" s="191"/>
      <c r="AO125" s="191"/>
      <c r="AP125" s="191"/>
      <c r="AQ125" s="191"/>
      <c r="AR125" s="194" t="e">
        <f>AS125*$M$4</f>
        <v>#NAME?</v>
      </c>
      <c r="AS125" s="194" t="e">
        <f>AW125+BA125+BE125+BI125+BM125+BQ125+BU125+BY125</f>
        <v>#NAME?</v>
      </c>
      <c r="AT125" s="195" t="e">
        <v>#NAME?</v>
      </c>
      <c r="AU125" s="195" t="e">
        <v>#NAME?</v>
      </c>
      <c r="AV125" s="195" t="e">
        <v>#NAME?</v>
      </c>
      <c r="AW125" s="196" t="e">
        <f>SUM(AT125:AV125)</f>
        <v>#NAME?</v>
      </c>
      <c r="AX125" s="195" t="e">
        <v>#NAME?</v>
      </c>
      <c r="AY125" s="195" t="e">
        <v>#NAME?</v>
      </c>
      <c r="AZ125" s="195" t="e">
        <v>#NAME?</v>
      </c>
      <c r="BA125" s="196" t="e">
        <f>SUM(AX125:AZ125)</f>
        <v>#NAME?</v>
      </c>
      <c r="BB125" s="195" t="e">
        <v>#NAME?</v>
      </c>
      <c r="BC125" s="195" t="e">
        <v>#NAME?</v>
      </c>
      <c r="BD125" s="195" t="e">
        <v>#NAME?</v>
      </c>
      <c r="BE125" s="196" t="e">
        <f>SUM(BB125:BD125)</f>
        <v>#NAME?</v>
      </c>
      <c r="BF125" s="195" t="e">
        <v>#NAME?</v>
      </c>
      <c r="BG125" s="195" t="e">
        <v>#NAME?</v>
      </c>
      <c r="BH125" s="195" t="e">
        <v>#NAME?</v>
      </c>
      <c r="BI125" s="196" t="e">
        <f>SUM(BF125:BH125)</f>
        <v>#NAME?</v>
      </c>
      <c r="BJ125" s="195" t="e">
        <v>#NAME?</v>
      </c>
      <c r="BK125" s="195" t="e">
        <v>#NAME?</v>
      </c>
      <c r="BL125" s="195" t="e">
        <v>#NAME?</v>
      </c>
      <c r="BM125" s="196" t="e">
        <f>SUM(BJ125:BL125)</f>
        <v>#NAME?</v>
      </c>
      <c r="BN125" s="195" t="e">
        <v>#NAME?</v>
      </c>
      <c r="BO125" s="195" t="e">
        <v>#NAME?</v>
      </c>
      <c r="BP125" s="195" t="e">
        <v>#NAME?</v>
      </c>
      <c r="BQ125" s="196" t="e">
        <f>SUM(BM125:BP125)</f>
        <v>#NAME?</v>
      </c>
      <c r="BR125" s="195" t="e">
        <v>#NAME?</v>
      </c>
      <c r="BS125" s="195" t="e">
        <v>#NAME?</v>
      </c>
      <c r="BT125" s="195" t="e">
        <v>#NAME?</v>
      </c>
      <c r="BU125" s="196" t="e">
        <f>SUM(BQ125:BT125)</f>
        <v>#NAME?</v>
      </c>
      <c r="BV125" s="195" t="e">
        <v>#NAME?</v>
      </c>
      <c r="BW125" s="195" t="e">
        <v>#NAME?</v>
      </c>
      <c r="BX125" s="195" t="e">
        <v>#NAME?</v>
      </c>
      <c r="BY125" s="196" t="e">
        <f>SUM(BU125:BX125)</f>
        <v>#NAME?</v>
      </c>
    </row>
    <row r="126" spans="1:77" s="89" customFormat="1" ht="15.75">
      <c r="A126" s="124" t="s">
        <v>108</v>
      </c>
      <c r="B126" s="104"/>
      <c r="C126" s="104"/>
      <c r="D126" s="81"/>
      <c r="E126" s="105"/>
      <c r="F126" s="95"/>
      <c r="G126" s="82"/>
      <c r="H126" s="82"/>
      <c r="I126" s="166"/>
      <c r="J126" s="256" t="s">
        <v>223</v>
      </c>
      <c r="K126" s="329">
        <f>Y126</f>
        <v>5760</v>
      </c>
      <c r="L126" s="435">
        <f>K126*0.9</f>
        <v>5184</v>
      </c>
      <c r="M126" s="398">
        <f>L126/$M$4</f>
        <v>4050</v>
      </c>
      <c r="N126" s="398" t="e">
        <f>L126-AR126</f>
        <v>#NAME?</v>
      </c>
      <c r="O126" s="398" t="e">
        <f>M126-AS126</f>
        <v>#NAME?</v>
      </c>
      <c r="P126" s="191"/>
      <c r="Q126" s="191"/>
      <c r="R126" s="192"/>
      <c r="S126" s="228" t="s">
        <v>155</v>
      </c>
      <c r="T126" s="262">
        <v>12</v>
      </c>
      <c r="U126" s="275">
        <f>3000*0.2*0.8</f>
        <v>480</v>
      </c>
      <c r="V126" s="193"/>
      <c r="W126" s="329">
        <f>(T126*U126)</f>
        <v>5760</v>
      </c>
      <c r="X126" s="191"/>
      <c r="Y126" s="290">
        <f>W126</f>
        <v>5760</v>
      </c>
      <c r="Z126" s="191"/>
      <c r="AA126" s="190">
        <f>Y126/M$4</f>
        <v>4500</v>
      </c>
      <c r="AB126" s="191"/>
      <c r="AC126" s="191"/>
      <c r="AD126" s="192"/>
      <c r="AE126" s="228" t="s">
        <v>155</v>
      </c>
      <c r="AF126" s="274">
        <v>36</v>
      </c>
      <c r="AG126" s="275">
        <f>3000*0.2*0.8</f>
        <v>480</v>
      </c>
      <c r="AH126" s="193"/>
      <c r="AI126" s="241">
        <f>(AF126*AG126)</f>
        <v>17280</v>
      </c>
      <c r="AJ126" s="191"/>
      <c r="AK126" s="290">
        <f>AI126</f>
        <v>17280</v>
      </c>
      <c r="AL126" s="191"/>
      <c r="AM126" s="190">
        <f>AK126/M$4</f>
        <v>13500</v>
      </c>
      <c r="AN126" s="191"/>
      <c r="AO126" s="191"/>
      <c r="AP126" s="191"/>
      <c r="AQ126" s="191"/>
      <c r="AR126" s="194" t="e">
        <f>AS126*$M$4</f>
        <v>#NAME?</v>
      </c>
      <c r="AS126" s="194" t="e">
        <f>AW126+BA126+BE126+BI126+BM126+BQ126+BU126+BY126</f>
        <v>#NAME?</v>
      </c>
      <c r="AT126" s="195" t="e">
        <v>#NAME?</v>
      </c>
      <c r="AU126" s="195" t="e">
        <v>#NAME?</v>
      </c>
      <c r="AV126" s="195" t="e">
        <v>#NAME?</v>
      </c>
      <c r="AW126" s="196" t="e">
        <f>SUM(AT126:AV126)</f>
        <v>#NAME?</v>
      </c>
      <c r="AX126" s="195" t="e">
        <v>#NAME?</v>
      </c>
      <c r="AY126" s="195" t="e">
        <v>#NAME?</v>
      </c>
      <c r="AZ126" s="195" t="e">
        <v>#NAME?</v>
      </c>
      <c r="BA126" s="196" t="e">
        <f>SUM(AX126:AZ126)</f>
        <v>#NAME?</v>
      </c>
      <c r="BB126" s="195" t="e">
        <v>#NAME?</v>
      </c>
      <c r="BC126" s="195" t="e">
        <v>#NAME?</v>
      </c>
      <c r="BD126" s="195" t="e">
        <v>#NAME?</v>
      </c>
      <c r="BE126" s="196" t="e">
        <f>SUM(BB126:BD126)</f>
        <v>#NAME?</v>
      </c>
      <c r="BF126" s="195" t="e">
        <v>#NAME?</v>
      </c>
      <c r="BG126" s="195" t="e">
        <v>#NAME?</v>
      </c>
      <c r="BH126" s="195" t="e">
        <v>#NAME?</v>
      </c>
      <c r="BI126" s="196" t="e">
        <f>SUM(BF126:BH126)</f>
        <v>#NAME?</v>
      </c>
      <c r="BJ126" s="195" t="e">
        <v>#NAME?</v>
      </c>
      <c r="BK126" s="195" t="e">
        <v>#NAME?</v>
      </c>
      <c r="BL126" s="195" t="e">
        <v>#NAME?</v>
      </c>
      <c r="BM126" s="196" t="e">
        <f>SUM(BJ126:BL126)</f>
        <v>#NAME?</v>
      </c>
      <c r="BN126" s="195" t="e">
        <v>#NAME?</v>
      </c>
      <c r="BO126" s="195" t="e">
        <v>#NAME?</v>
      </c>
      <c r="BP126" s="195" t="e">
        <v>#NAME?</v>
      </c>
      <c r="BQ126" s="196" t="e">
        <f>SUM(BM126:BP126)</f>
        <v>#NAME?</v>
      </c>
      <c r="BR126" s="195" t="e">
        <v>#NAME?</v>
      </c>
      <c r="BS126" s="195" t="e">
        <v>#NAME?</v>
      </c>
      <c r="BT126" s="195" t="e">
        <v>#NAME?</v>
      </c>
      <c r="BU126" s="196" t="e">
        <f>SUM(BQ126:BT126)</f>
        <v>#NAME?</v>
      </c>
      <c r="BV126" s="195" t="e">
        <v>#NAME?</v>
      </c>
      <c r="BW126" s="195" t="e">
        <v>#NAME?</v>
      </c>
      <c r="BX126" s="195" t="e">
        <v>#NAME?</v>
      </c>
      <c r="BY126" s="196" t="e">
        <f>SUM(BU126:BX126)</f>
        <v>#NAME?</v>
      </c>
    </row>
    <row r="127" spans="1:77" s="89" customFormat="1" ht="26.25">
      <c r="A127" s="171"/>
      <c r="B127" s="172"/>
      <c r="C127" s="172"/>
      <c r="D127" s="172"/>
      <c r="E127" s="172"/>
      <c r="F127" s="172"/>
      <c r="I127" s="173"/>
      <c r="J127" s="186" t="str">
        <f>CONCATENATE("Subtotal ",J124)</f>
        <v>Subtotal 4.4 Utilities (water, electricity, internet, communications) and maintenance</v>
      </c>
      <c r="K127" s="363">
        <f>SUBTOTAL(9,K124:K126)</f>
        <v>16128</v>
      </c>
      <c r="L127" s="436">
        <f>SUBTOTAL(9,L124:L126)</f>
        <v>14515.2</v>
      </c>
      <c r="M127" s="399">
        <f>SUBTOTAL(9,M124:M126)</f>
        <v>11340</v>
      </c>
      <c r="N127" s="399" t="e">
        <f>SUBTOTAL(9,N124:N126)</f>
        <v>#NAME?</v>
      </c>
      <c r="O127" s="399" t="e">
        <f>SUBTOTAL(9,O124:O126)</f>
        <v>#NAME?</v>
      </c>
      <c r="P127" s="193"/>
      <c r="Q127" s="193"/>
      <c r="R127" s="225"/>
      <c r="S127" s="193"/>
      <c r="T127" s="193"/>
      <c r="U127" s="224"/>
      <c r="V127" s="224"/>
      <c r="W127" s="330">
        <f>SUBTOTAL(9,W124:W126)</f>
        <v>16128</v>
      </c>
      <c r="X127" s="193"/>
      <c r="Y127" s="301">
        <f>SUBTOTAL(9,Y124:Y126)</f>
        <v>16128</v>
      </c>
      <c r="Z127" s="193"/>
      <c r="AA127" s="223">
        <f>SUBTOTAL(9,AA124:AA126)</f>
        <v>12600</v>
      </c>
      <c r="AB127" s="193"/>
      <c r="AC127" s="193"/>
      <c r="AD127" s="225"/>
      <c r="AE127" s="193"/>
      <c r="AF127" s="193"/>
      <c r="AG127" s="224"/>
      <c r="AH127" s="224"/>
      <c r="AI127" s="242">
        <f>SUBTOTAL(9,AI124:AI126)</f>
        <v>48384</v>
      </c>
      <c r="AJ127" s="193"/>
      <c r="AK127" s="301">
        <f>SUBTOTAL(9,AK124:AK126)</f>
        <v>48384</v>
      </c>
      <c r="AL127" s="193"/>
      <c r="AM127" s="223">
        <f>SUBTOTAL(9,AM124:AM126)</f>
        <v>37800</v>
      </c>
      <c r="AN127" s="193"/>
      <c r="AO127" s="193"/>
      <c r="AP127" s="193"/>
      <c r="AQ127" s="193"/>
      <c r="AR127" s="224" t="e">
        <f aca="true" t="shared" si="71" ref="AR127:BF127">SUBTOTAL(9,AR124:AR126)</f>
        <v>#NAME?</v>
      </c>
      <c r="AS127" s="224" t="e">
        <f t="shared" si="71"/>
        <v>#NAME?</v>
      </c>
      <c r="AT127" s="224" t="e">
        <f t="shared" si="71"/>
        <v>#NAME?</v>
      </c>
      <c r="AU127" s="224" t="e">
        <f t="shared" si="71"/>
        <v>#NAME?</v>
      </c>
      <c r="AV127" s="224" t="e">
        <f t="shared" si="71"/>
        <v>#NAME?</v>
      </c>
      <c r="AW127" s="224" t="e">
        <f t="shared" si="71"/>
        <v>#NAME?</v>
      </c>
      <c r="AX127" s="224" t="e">
        <f t="shared" si="71"/>
        <v>#NAME?</v>
      </c>
      <c r="AY127" s="224" t="e">
        <f t="shared" si="71"/>
        <v>#NAME?</v>
      </c>
      <c r="AZ127" s="224" t="e">
        <f t="shared" si="71"/>
        <v>#NAME?</v>
      </c>
      <c r="BA127" s="224" t="e">
        <f t="shared" si="71"/>
        <v>#NAME?</v>
      </c>
      <c r="BB127" s="224" t="e">
        <f t="shared" si="71"/>
        <v>#NAME?</v>
      </c>
      <c r="BC127" s="224" t="e">
        <f t="shared" si="71"/>
        <v>#NAME?</v>
      </c>
      <c r="BD127" s="224" t="e">
        <f t="shared" si="71"/>
        <v>#NAME?</v>
      </c>
      <c r="BE127" s="224" t="e">
        <f t="shared" si="71"/>
        <v>#NAME?</v>
      </c>
      <c r="BF127" s="224" t="e">
        <f t="shared" si="71"/>
        <v>#NAME?</v>
      </c>
      <c r="BG127" s="224" t="e">
        <f aca="true" t="shared" si="72" ref="BG127:BY127">SUBTOTAL(9,BG124:BG126)</f>
        <v>#NAME?</v>
      </c>
      <c r="BH127" s="224" t="e">
        <f t="shared" si="72"/>
        <v>#NAME?</v>
      </c>
      <c r="BI127" s="224" t="e">
        <f t="shared" si="72"/>
        <v>#NAME?</v>
      </c>
      <c r="BJ127" s="224" t="e">
        <f t="shared" si="72"/>
        <v>#NAME?</v>
      </c>
      <c r="BK127" s="224" t="e">
        <f t="shared" si="72"/>
        <v>#NAME?</v>
      </c>
      <c r="BL127" s="224" t="e">
        <f t="shared" si="72"/>
        <v>#NAME?</v>
      </c>
      <c r="BM127" s="224" t="e">
        <f t="shared" si="72"/>
        <v>#NAME?</v>
      </c>
      <c r="BN127" s="224" t="e">
        <f t="shared" si="72"/>
        <v>#NAME?</v>
      </c>
      <c r="BO127" s="224" t="e">
        <f t="shared" si="72"/>
        <v>#NAME?</v>
      </c>
      <c r="BP127" s="224" t="e">
        <f t="shared" si="72"/>
        <v>#NAME?</v>
      </c>
      <c r="BQ127" s="224" t="e">
        <f t="shared" si="72"/>
        <v>#NAME?</v>
      </c>
      <c r="BR127" s="224" t="e">
        <f t="shared" si="72"/>
        <v>#NAME?</v>
      </c>
      <c r="BS127" s="224" t="e">
        <f t="shared" si="72"/>
        <v>#NAME?</v>
      </c>
      <c r="BT127" s="224" t="e">
        <f t="shared" si="72"/>
        <v>#NAME?</v>
      </c>
      <c r="BU127" s="224" t="e">
        <f t="shared" si="72"/>
        <v>#NAME?</v>
      </c>
      <c r="BV127" s="224" t="e">
        <f t="shared" si="72"/>
        <v>#NAME?</v>
      </c>
      <c r="BW127" s="224" t="e">
        <f t="shared" si="72"/>
        <v>#NAME?</v>
      </c>
      <c r="BX127" s="224" t="e">
        <f t="shared" si="72"/>
        <v>#NAME?</v>
      </c>
      <c r="BY127" s="224" t="e">
        <f t="shared" si="72"/>
        <v>#NAME?</v>
      </c>
    </row>
    <row r="128" spans="1:77" s="89" customFormat="1" ht="15.75">
      <c r="A128" s="171"/>
      <c r="B128" s="172"/>
      <c r="C128" s="172"/>
      <c r="D128" s="172"/>
      <c r="E128" s="172"/>
      <c r="F128" s="172"/>
      <c r="I128" s="173"/>
      <c r="J128" s="186"/>
      <c r="K128" s="363"/>
      <c r="L128" s="436"/>
      <c r="M128" s="399"/>
      <c r="N128" s="399"/>
      <c r="O128" s="399"/>
      <c r="P128" s="193"/>
      <c r="Q128" s="193"/>
      <c r="R128" s="225"/>
      <c r="S128" s="193"/>
      <c r="T128" s="193"/>
      <c r="U128" s="224"/>
      <c r="V128" s="224"/>
      <c r="W128" s="330"/>
      <c r="X128" s="193"/>
      <c r="Y128" s="301"/>
      <c r="Z128" s="193"/>
      <c r="AA128" s="223"/>
      <c r="AB128" s="193"/>
      <c r="AC128" s="193"/>
      <c r="AD128" s="225"/>
      <c r="AE128" s="193"/>
      <c r="AF128" s="193"/>
      <c r="AG128" s="224"/>
      <c r="AH128" s="224"/>
      <c r="AI128" s="242"/>
      <c r="AJ128" s="193"/>
      <c r="AK128" s="301"/>
      <c r="AL128" s="193"/>
      <c r="AM128" s="223"/>
      <c r="AN128" s="193"/>
      <c r="AO128" s="193"/>
      <c r="AP128" s="193"/>
      <c r="AQ128" s="193"/>
      <c r="AR128" s="224"/>
      <c r="AS128" s="224"/>
      <c r="AT128" s="224"/>
      <c r="AU128" s="224"/>
      <c r="AV128" s="224"/>
      <c r="AW128" s="224"/>
      <c r="AX128" s="224"/>
      <c r="AY128" s="224"/>
      <c r="AZ128" s="224"/>
      <c r="BA128" s="224"/>
      <c r="BB128" s="224"/>
      <c r="BC128" s="224"/>
      <c r="BD128" s="224"/>
      <c r="BE128" s="224"/>
      <c r="BF128" s="224"/>
      <c r="BG128" s="224"/>
      <c r="BH128" s="224"/>
      <c r="BI128" s="224"/>
      <c r="BJ128" s="224"/>
      <c r="BK128" s="224"/>
      <c r="BL128" s="224"/>
      <c r="BM128" s="224"/>
      <c r="BN128" s="224"/>
      <c r="BO128" s="224"/>
      <c r="BP128" s="224"/>
      <c r="BQ128" s="224"/>
      <c r="BR128" s="224"/>
      <c r="BS128" s="224"/>
      <c r="BT128" s="224"/>
      <c r="BU128" s="224"/>
      <c r="BV128" s="224"/>
      <c r="BW128" s="224"/>
      <c r="BX128" s="224"/>
      <c r="BY128" s="224"/>
    </row>
    <row r="129" spans="1:77" s="86" customFormat="1" ht="26.25" customHeight="1">
      <c r="A129" s="79"/>
      <c r="B129" s="106"/>
      <c r="C129" s="106"/>
      <c r="D129" s="95"/>
      <c r="E129" s="106"/>
      <c r="F129" s="95"/>
      <c r="G129" s="82"/>
      <c r="H129" s="82"/>
      <c r="I129" s="168"/>
      <c r="J129" s="187" t="str">
        <f>CONCATENATE("Total ",J106)</f>
        <v>Total 4. Local Office</v>
      </c>
      <c r="K129" s="365">
        <f>SUBTOTAL(9,K108:K127)</f>
        <v>68288</v>
      </c>
      <c r="L129" s="439">
        <f>SUBTOTAL(9,L108:L127)</f>
        <v>61459.2</v>
      </c>
      <c r="M129" s="403">
        <f>SUBTOTAL(9,M108:M127)</f>
        <v>48015</v>
      </c>
      <c r="N129" s="404" t="e">
        <f>SUBTOTAL(9,N108:N109)</f>
        <v>#NAME?</v>
      </c>
      <c r="O129" s="404" t="e">
        <f>SUBTOTAL(9,O108:O109)</f>
        <v>#NAME?</v>
      </c>
      <c r="P129" s="191"/>
      <c r="Q129" s="191"/>
      <c r="R129" s="198"/>
      <c r="S129" s="198"/>
      <c r="T129" s="199"/>
      <c r="U129" s="200"/>
      <c r="V129" s="200"/>
      <c r="W129" s="333">
        <f>SUBTOTAL(9,W108:W127)</f>
        <v>68288</v>
      </c>
      <c r="X129" s="191"/>
      <c r="Y129" s="310">
        <f>SUBTOTAL(9,Y108:Y109)</f>
        <v>12800</v>
      </c>
      <c r="Z129" s="191"/>
      <c r="AA129" s="197">
        <f>SUBTOTAL(9,AA108:AA109)</f>
        <v>10000</v>
      </c>
      <c r="AB129" s="191"/>
      <c r="AC129" s="191"/>
      <c r="AD129" s="198"/>
      <c r="AE129" s="198"/>
      <c r="AF129" s="199"/>
      <c r="AG129" s="200"/>
      <c r="AH129" s="200"/>
      <c r="AI129" s="243">
        <f>SUBTOTAL(9,AI108:AI127)</f>
        <v>181984</v>
      </c>
      <c r="AJ129" s="191"/>
      <c r="AK129" s="310">
        <f>SUBTOTAL(9,AK108:AK109)</f>
        <v>38400</v>
      </c>
      <c r="AL129" s="191"/>
      <c r="AM129" s="197">
        <f>SUBTOTAL(9,AM108:AM109)</f>
        <v>30000</v>
      </c>
      <c r="AN129" s="191"/>
      <c r="AO129" s="191"/>
      <c r="AP129" s="191"/>
      <c r="AQ129" s="191"/>
      <c r="AR129" s="201" t="e">
        <f>SUBTOTAL(9,AR108:AR109)</f>
        <v>#NAME?</v>
      </c>
      <c r="AS129" s="201" t="e">
        <f>SUBTOTAL(9,AS108:AS109)</f>
        <v>#NAME?</v>
      </c>
      <c r="AT129" s="201">
        <v>0</v>
      </c>
      <c r="AU129" s="201">
        <v>0</v>
      </c>
      <c r="AV129" s="201">
        <v>0</v>
      </c>
      <c r="AW129" s="201">
        <v>0</v>
      </c>
      <c r="AX129" s="201">
        <v>0</v>
      </c>
      <c r="AY129" s="201">
        <v>0</v>
      </c>
      <c r="AZ129" s="201">
        <v>0</v>
      </c>
      <c r="BA129" s="201">
        <v>0</v>
      </c>
      <c r="BB129" s="201">
        <v>0</v>
      </c>
      <c r="BC129" s="201">
        <v>0</v>
      </c>
      <c r="BD129" s="201">
        <v>1033.19</v>
      </c>
      <c r="BE129" s="201">
        <v>0</v>
      </c>
      <c r="BF129" s="201">
        <v>0</v>
      </c>
      <c r="BG129" s="201">
        <v>0</v>
      </c>
      <c r="BH129" s="201">
        <v>0</v>
      </c>
      <c r="BI129" s="201">
        <v>0</v>
      </c>
      <c r="BJ129" s="201">
        <v>0</v>
      </c>
      <c r="BK129" s="201">
        <v>0</v>
      </c>
      <c r="BL129" s="201">
        <v>0</v>
      </c>
      <c r="BM129" s="201">
        <v>0</v>
      </c>
      <c r="BN129" s="201">
        <v>0</v>
      </c>
      <c r="BO129" s="201">
        <v>0</v>
      </c>
      <c r="BP129" s="201">
        <v>0</v>
      </c>
      <c r="BQ129" s="201">
        <v>0</v>
      </c>
      <c r="BR129" s="201">
        <v>0</v>
      </c>
      <c r="BS129" s="201">
        <v>0</v>
      </c>
      <c r="BT129" s="201">
        <v>0</v>
      </c>
      <c r="BU129" s="201">
        <v>0</v>
      </c>
      <c r="BV129" s="201">
        <v>0</v>
      </c>
      <c r="BW129" s="201">
        <v>0</v>
      </c>
      <c r="BX129" s="201">
        <v>0</v>
      </c>
      <c r="BY129" s="201">
        <v>0</v>
      </c>
    </row>
    <row r="130" spans="1:77" s="86" customFormat="1" ht="15.75">
      <c r="A130" s="79"/>
      <c r="B130" s="102" t="s">
        <v>42</v>
      </c>
      <c r="C130" s="102"/>
      <c r="D130" s="95"/>
      <c r="E130" s="80" t="s">
        <v>46</v>
      </c>
      <c r="F130" s="95"/>
      <c r="G130" s="82"/>
      <c r="H130" s="82"/>
      <c r="I130" s="149"/>
      <c r="J130" s="184" t="str">
        <f>CONCATENATE("Subtotal ",J105)</f>
        <v>Subtotal LOCAL OFFICE</v>
      </c>
      <c r="K130" s="337">
        <f>SUBTOTAL(9,K108:K129)</f>
        <v>68288</v>
      </c>
      <c r="L130" s="440">
        <f>SUBTOTAL(9,L108:L129)</f>
        <v>61459.2</v>
      </c>
      <c r="M130" s="405">
        <f>SUBTOTAL(9,M108:M129)</f>
        <v>48015</v>
      </c>
      <c r="N130" s="405" t="e">
        <f>SUBTOTAL(9,N108:N129)</f>
        <v>#NAME?</v>
      </c>
      <c r="O130" s="405" t="e">
        <f>SUBTOTAL(9,O108:O129)</f>
        <v>#NAME?</v>
      </c>
      <c r="P130" s="191"/>
      <c r="Q130" s="191"/>
      <c r="R130" s="207"/>
      <c r="S130" s="207"/>
      <c r="T130" s="221"/>
      <c r="U130" s="221"/>
      <c r="V130" s="221"/>
      <c r="W130" s="334">
        <f>SUBTOTAL(9,W108:W129)</f>
        <v>68288</v>
      </c>
      <c r="X130" s="191"/>
      <c r="Y130" s="305">
        <f>SUBTOTAL(9,Y108:Y129)</f>
        <v>68288</v>
      </c>
      <c r="Z130" s="191"/>
      <c r="AA130" s="205">
        <f>SUBTOTAL(9,AA108:AA129)</f>
        <v>53350</v>
      </c>
      <c r="AB130" s="191"/>
      <c r="AC130" s="191"/>
      <c r="AD130" s="207"/>
      <c r="AE130" s="207"/>
      <c r="AF130" s="221"/>
      <c r="AG130" s="221"/>
      <c r="AH130" s="221"/>
      <c r="AI130" s="246">
        <f>SUBTOTAL(9,AI108:AI129)</f>
        <v>181984</v>
      </c>
      <c r="AJ130" s="191"/>
      <c r="AK130" s="305">
        <f>SUBTOTAL(9,AK108:AK129)</f>
        <v>181984</v>
      </c>
      <c r="AL130" s="191"/>
      <c r="AM130" s="205">
        <f>SUBTOTAL(9,AM108:AM129)</f>
        <v>142175</v>
      </c>
      <c r="AN130" s="191"/>
      <c r="AO130" s="191"/>
      <c r="AP130" s="191"/>
      <c r="AQ130" s="191"/>
      <c r="AR130" s="209" t="e">
        <f>SUBTOTAL(9,AR108:AR129)</f>
        <v>#NAME?</v>
      </c>
      <c r="AS130" s="209" t="e">
        <f>SUBTOTAL(9,AS108:AS129)</f>
        <v>#NAME?</v>
      </c>
      <c r="AT130" s="209">
        <v>0</v>
      </c>
      <c r="AU130" s="209">
        <v>0</v>
      </c>
      <c r="AV130" s="209">
        <v>0</v>
      </c>
      <c r="AW130" s="209">
        <v>0</v>
      </c>
      <c r="AX130" s="209">
        <v>0</v>
      </c>
      <c r="AY130" s="209">
        <v>0</v>
      </c>
      <c r="AZ130" s="209">
        <v>0</v>
      </c>
      <c r="BA130" s="209">
        <v>0</v>
      </c>
      <c r="BB130" s="209">
        <v>0</v>
      </c>
      <c r="BC130" s="209">
        <v>0</v>
      </c>
      <c r="BD130" s="209">
        <v>1040.3300000000002</v>
      </c>
      <c r="BE130" s="209">
        <v>0</v>
      </c>
      <c r="BF130" s="209">
        <v>24.64</v>
      </c>
      <c r="BG130" s="209">
        <v>0</v>
      </c>
      <c r="BH130" s="209">
        <v>24.64</v>
      </c>
      <c r="BI130" s="209">
        <v>0</v>
      </c>
      <c r="BJ130" s="209">
        <v>24.64</v>
      </c>
      <c r="BK130" s="209">
        <v>24.64</v>
      </c>
      <c r="BL130" s="209">
        <v>24.64</v>
      </c>
      <c r="BM130" s="209">
        <v>0</v>
      </c>
      <c r="BN130" s="209">
        <v>24.64</v>
      </c>
      <c r="BO130" s="209">
        <v>24.64</v>
      </c>
      <c r="BP130" s="209">
        <v>24.64</v>
      </c>
      <c r="BQ130" s="209">
        <v>0</v>
      </c>
      <c r="BR130" s="209">
        <v>24.64</v>
      </c>
      <c r="BS130" s="209">
        <v>24.64</v>
      </c>
      <c r="BT130" s="209">
        <v>24.64</v>
      </c>
      <c r="BU130" s="209">
        <v>0</v>
      </c>
      <c r="BV130" s="209">
        <v>24.64</v>
      </c>
      <c r="BW130" s="209">
        <v>24.64</v>
      </c>
      <c r="BX130" s="209">
        <v>24.64</v>
      </c>
      <c r="BY130" s="209">
        <v>0</v>
      </c>
    </row>
    <row r="131" spans="1:77" s="86" customFormat="1" ht="15">
      <c r="A131" s="79"/>
      <c r="B131" s="98"/>
      <c r="C131" s="98"/>
      <c r="D131" s="95"/>
      <c r="E131" s="98"/>
      <c r="F131" s="95"/>
      <c r="G131" s="82"/>
      <c r="H131" s="82"/>
      <c r="I131" s="150"/>
      <c r="J131" s="131"/>
      <c r="K131" s="331"/>
      <c r="L131" s="437"/>
      <c r="M131" s="400"/>
      <c r="N131" s="400"/>
      <c r="O131" s="400"/>
      <c r="P131" s="191"/>
      <c r="Q131" s="191"/>
      <c r="R131" s="191"/>
      <c r="S131" s="191"/>
      <c r="T131" s="191"/>
      <c r="U131" s="191"/>
      <c r="V131" s="191"/>
      <c r="W131" s="331"/>
      <c r="X131" s="191"/>
      <c r="Y131" s="302"/>
      <c r="Z131" s="191"/>
      <c r="AA131" s="202"/>
      <c r="AB131" s="191"/>
      <c r="AC131" s="191"/>
      <c r="AD131" s="191"/>
      <c r="AE131" s="191"/>
      <c r="AF131" s="191"/>
      <c r="AG131" s="191"/>
      <c r="AH131" s="191"/>
      <c r="AI131" s="244"/>
      <c r="AJ131" s="191"/>
      <c r="AK131" s="302"/>
      <c r="AL131" s="191"/>
      <c r="AM131" s="202"/>
      <c r="AN131" s="191"/>
      <c r="AO131" s="191"/>
      <c r="AP131" s="191"/>
      <c r="AQ131" s="191"/>
      <c r="AR131" s="191"/>
      <c r="AS131" s="191"/>
      <c r="AT131" s="191"/>
      <c r="AU131" s="191"/>
      <c r="AV131" s="191"/>
      <c r="AW131" s="191"/>
      <c r="AX131" s="191"/>
      <c r="AY131" s="191"/>
      <c r="AZ131" s="191"/>
      <c r="BA131" s="191"/>
      <c r="BB131" s="191"/>
      <c r="BC131" s="191"/>
      <c r="BD131" s="191"/>
      <c r="BE131" s="191"/>
      <c r="BF131" s="191"/>
      <c r="BG131" s="191"/>
      <c r="BH131" s="191"/>
      <c r="BI131" s="191"/>
      <c r="BJ131" s="191"/>
      <c r="BK131" s="191"/>
      <c r="BL131" s="191"/>
      <c r="BM131" s="191"/>
      <c r="BN131" s="191"/>
      <c r="BO131" s="191"/>
      <c r="BP131" s="191"/>
      <c r="BQ131" s="191"/>
      <c r="BR131" s="191"/>
      <c r="BS131" s="191"/>
      <c r="BT131" s="191"/>
      <c r="BU131" s="191"/>
      <c r="BV131" s="191"/>
      <c r="BW131" s="191"/>
      <c r="BX131" s="191"/>
      <c r="BY131" s="191"/>
    </row>
    <row r="132" spans="1:77" s="86" customFormat="1" ht="18" customHeight="1">
      <c r="A132" s="79"/>
      <c r="B132" s="80" t="s">
        <v>43</v>
      </c>
      <c r="C132" s="80" t="s">
        <v>44</v>
      </c>
      <c r="D132" s="95"/>
      <c r="E132" s="80" t="s">
        <v>44</v>
      </c>
      <c r="F132" s="95"/>
      <c r="G132" s="82"/>
      <c r="H132" s="82"/>
      <c r="I132" s="149" t="s">
        <v>4</v>
      </c>
      <c r="J132" s="184" t="s">
        <v>225</v>
      </c>
      <c r="K132" s="369"/>
      <c r="L132" s="444"/>
      <c r="M132" s="410"/>
      <c r="N132" s="410"/>
      <c r="O132" s="410"/>
      <c r="P132" s="191"/>
      <c r="Q132" s="191"/>
      <c r="R132" s="206"/>
      <c r="S132" s="208"/>
      <c r="T132" s="208"/>
      <c r="U132" s="208"/>
      <c r="V132" s="208"/>
      <c r="W132" s="338"/>
      <c r="X132" s="191"/>
      <c r="Y132" s="309"/>
      <c r="Z132" s="191"/>
      <c r="AA132" s="218"/>
      <c r="AB132" s="191"/>
      <c r="AC132" s="191"/>
      <c r="AD132" s="206"/>
      <c r="AE132" s="208"/>
      <c r="AF132" s="208"/>
      <c r="AG132" s="208"/>
      <c r="AH132" s="208"/>
      <c r="AI132" s="250"/>
      <c r="AJ132" s="191"/>
      <c r="AK132" s="309"/>
      <c r="AL132" s="191"/>
      <c r="AM132" s="218"/>
      <c r="AN132" s="191"/>
      <c r="AO132" s="191"/>
      <c r="AP132" s="191"/>
      <c r="AQ132" s="191"/>
      <c r="AR132" s="219"/>
      <c r="AS132" s="219"/>
      <c r="AT132" s="219"/>
      <c r="AU132" s="219"/>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19"/>
      <c r="BT132" s="219"/>
      <c r="BU132" s="219"/>
      <c r="BV132" s="219"/>
      <c r="BW132" s="219"/>
      <c r="BX132" s="219"/>
      <c r="BY132" s="219"/>
    </row>
    <row r="133" spans="1:77" s="86" customFormat="1" ht="22.5" customHeight="1">
      <c r="A133" s="79"/>
      <c r="B133" s="103"/>
      <c r="C133" s="103"/>
      <c r="D133" s="95"/>
      <c r="E133" s="103"/>
      <c r="F133" s="95"/>
      <c r="G133" s="82"/>
      <c r="H133" s="82"/>
      <c r="I133" s="123" t="s">
        <v>17</v>
      </c>
      <c r="J133" s="183" t="s">
        <v>226</v>
      </c>
      <c r="K133" s="368"/>
      <c r="L133" s="443"/>
      <c r="M133" s="408" t="str">
        <f>$M$28</f>
        <v>GBP</v>
      </c>
      <c r="N133" s="409" t="str">
        <f>$M$28</f>
        <v>GBP</v>
      </c>
      <c r="O133" s="409" t="str">
        <f>$M$28</f>
        <v>GBP</v>
      </c>
      <c r="P133" s="191"/>
      <c r="Q133" s="191"/>
      <c r="R133" s="216"/>
      <c r="S133" s="199"/>
      <c r="T133" s="199"/>
      <c r="U133" s="199"/>
      <c r="V133" s="199"/>
      <c r="W133" s="332"/>
      <c r="X133" s="191"/>
      <c r="Y133" s="308"/>
      <c r="Z133" s="191"/>
      <c r="AA133" s="215" t="str">
        <f>$M$28</f>
        <v>GBP</v>
      </c>
      <c r="AB133" s="191"/>
      <c r="AC133" s="191"/>
      <c r="AD133" s="216"/>
      <c r="AE133" s="199"/>
      <c r="AF133" s="199"/>
      <c r="AG133" s="199"/>
      <c r="AH133" s="199"/>
      <c r="AI133" s="245"/>
      <c r="AJ133" s="191"/>
      <c r="AK133" s="308" t="e">
        <f>#REF!</f>
        <v>#REF!</v>
      </c>
      <c r="AL133" s="191"/>
      <c r="AM133" s="215" t="str">
        <f>$M$28</f>
        <v>GBP</v>
      </c>
      <c r="AN133" s="191"/>
      <c r="AO133" s="191"/>
      <c r="AP133" s="191"/>
      <c r="AQ133" s="191"/>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4"/>
      <c r="BM133" s="204"/>
      <c r="BN133" s="204"/>
      <c r="BO133" s="204"/>
      <c r="BP133" s="204"/>
      <c r="BQ133" s="204"/>
      <c r="BR133" s="204"/>
      <c r="BS133" s="204"/>
      <c r="BT133" s="204"/>
      <c r="BU133" s="204"/>
      <c r="BV133" s="204"/>
      <c r="BW133" s="204"/>
      <c r="BX133" s="204"/>
      <c r="BY133" s="204"/>
    </row>
    <row r="134" spans="1:77" s="89" customFormat="1" ht="15.75">
      <c r="A134" s="171"/>
      <c r="B134" s="172"/>
      <c r="C134" s="172"/>
      <c r="D134" s="172"/>
      <c r="E134" s="172"/>
      <c r="F134" s="172"/>
      <c r="I134" s="173"/>
      <c r="J134" s="276" t="s">
        <v>227</v>
      </c>
      <c r="K134" s="363"/>
      <c r="L134" s="436"/>
      <c r="M134" s="399"/>
      <c r="N134" s="399"/>
      <c r="O134" s="399"/>
      <c r="P134" s="193"/>
      <c r="Q134" s="193"/>
      <c r="R134" s="225"/>
      <c r="S134" s="193"/>
      <c r="T134" s="193"/>
      <c r="U134" s="224"/>
      <c r="V134" s="224"/>
      <c r="W134" s="330"/>
      <c r="X134" s="193"/>
      <c r="Y134" s="301"/>
      <c r="Z134" s="193"/>
      <c r="AA134" s="223"/>
      <c r="AB134" s="193"/>
      <c r="AC134" s="193"/>
      <c r="AD134" s="225"/>
      <c r="AE134" s="193"/>
      <c r="AF134" s="193"/>
      <c r="AG134" s="224"/>
      <c r="AH134" s="224"/>
      <c r="AI134" s="242"/>
      <c r="AJ134" s="193"/>
      <c r="AK134" s="301"/>
      <c r="AL134" s="193"/>
      <c r="AM134" s="223"/>
      <c r="AN134" s="193"/>
      <c r="AO134" s="193"/>
      <c r="AP134" s="193"/>
      <c r="AQ134" s="193"/>
      <c r="AR134" s="224"/>
      <c r="AS134" s="224"/>
      <c r="AT134" s="224"/>
      <c r="AU134" s="224"/>
      <c r="AV134" s="224"/>
      <c r="AW134" s="224"/>
      <c r="AX134" s="224"/>
      <c r="AY134" s="224"/>
      <c r="AZ134" s="224"/>
      <c r="BA134" s="224"/>
      <c r="BB134" s="224"/>
      <c r="BC134" s="224"/>
      <c r="BD134" s="224"/>
      <c r="BE134" s="224"/>
      <c r="BF134" s="224"/>
      <c r="BG134" s="224"/>
      <c r="BH134" s="224"/>
      <c r="BI134" s="224"/>
      <c r="BJ134" s="224"/>
      <c r="BK134" s="224"/>
      <c r="BL134" s="224"/>
      <c r="BM134" s="224"/>
      <c r="BN134" s="224"/>
      <c r="BO134" s="224"/>
      <c r="BP134" s="224"/>
      <c r="BQ134" s="224"/>
      <c r="BR134" s="224"/>
      <c r="BS134" s="224"/>
      <c r="BT134" s="224"/>
      <c r="BU134" s="224"/>
      <c r="BV134" s="224"/>
      <c r="BW134" s="224"/>
      <c r="BX134" s="224"/>
      <c r="BY134" s="224"/>
    </row>
    <row r="135" spans="1:77" s="89" customFormat="1" ht="26.25">
      <c r="A135" s="124" t="s">
        <v>109</v>
      </c>
      <c r="B135" s="124"/>
      <c r="C135" s="124"/>
      <c r="D135" s="124"/>
      <c r="E135" s="124"/>
      <c r="F135" s="124"/>
      <c r="G135" s="124"/>
      <c r="H135" s="124"/>
      <c r="I135" s="166"/>
      <c r="J135" s="263" t="s">
        <v>228</v>
      </c>
      <c r="K135" s="329">
        <f>Y135</f>
        <v>6240</v>
      </c>
      <c r="L135" s="435">
        <f>K135*0.9</f>
        <v>5616</v>
      </c>
      <c r="M135" s="398">
        <f>L135/$M$4</f>
        <v>4387.5</v>
      </c>
      <c r="N135" s="398" t="e">
        <f>L135-AR135</f>
        <v>#NAME?</v>
      </c>
      <c r="O135" s="398" t="e">
        <f>M135-AS135</f>
        <v>#NAME?</v>
      </c>
      <c r="P135" s="191"/>
      <c r="Q135" s="191"/>
      <c r="R135" s="192"/>
      <c r="S135" s="268" t="s">
        <v>237</v>
      </c>
      <c r="T135" s="262">
        <v>1</v>
      </c>
      <c r="U135" s="230">
        <v>6240</v>
      </c>
      <c r="V135" s="193"/>
      <c r="W135" s="329">
        <f>(T135*U135)</f>
        <v>6240</v>
      </c>
      <c r="X135" s="191"/>
      <c r="Y135" s="290">
        <f>W135</f>
        <v>6240</v>
      </c>
      <c r="Z135" s="191"/>
      <c r="AA135" s="190">
        <f>Y135/M$4</f>
        <v>4875</v>
      </c>
      <c r="AB135" s="191"/>
      <c r="AC135" s="191"/>
      <c r="AD135" s="192"/>
      <c r="AE135" s="268" t="s">
        <v>237</v>
      </c>
      <c r="AF135" s="262">
        <v>2</v>
      </c>
      <c r="AG135" s="230">
        <v>6240</v>
      </c>
      <c r="AH135" s="193"/>
      <c r="AI135" s="241">
        <f>(AF135*AG135)</f>
        <v>12480</v>
      </c>
      <c r="AJ135" s="191"/>
      <c r="AK135" s="290">
        <f>AI135</f>
        <v>12480</v>
      </c>
      <c r="AL135" s="191"/>
      <c r="AM135" s="190">
        <f>AK135/M$4</f>
        <v>9750</v>
      </c>
      <c r="AN135" s="191"/>
      <c r="AO135" s="191"/>
      <c r="AP135" s="191"/>
      <c r="AQ135" s="191"/>
      <c r="AR135" s="194" t="e">
        <f>AS135*$M$4</f>
        <v>#NAME?</v>
      </c>
      <c r="AS135" s="194" t="e">
        <f>AW135+BA135+BE135+BI135+BM135+BQ135+BU135+BY135</f>
        <v>#NAME?</v>
      </c>
      <c r="AT135" s="195" t="e">
        <v>#NAME?</v>
      </c>
      <c r="AU135" s="195" t="e">
        <v>#NAME?</v>
      </c>
      <c r="AV135" s="195" t="e">
        <v>#NAME?</v>
      </c>
      <c r="AW135" s="196" t="e">
        <f>SUM(AT135:AV135)</f>
        <v>#NAME?</v>
      </c>
      <c r="AX135" s="195" t="e">
        <v>#NAME?</v>
      </c>
      <c r="AY135" s="195" t="e">
        <v>#NAME?</v>
      </c>
      <c r="AZ135" s="195" t="e">
        <v>#NAME?</v>
      </c>
      <c r="BA135" s="196" t="e">
        <f>SUM(AX135:AZ135)</f>
        <v>#NAME?</v>
      </c>
      <c r="BB135" s="195" t="e">
        <v>#NAME?</v>
      </c>
      <c r="BC135" s="195" t="e">
        <v>#NAME?</v>
      </c>
      <c r="BD135" s="195" t="e">
        <v>#NAME?</v>
      </c>
      <c r="BE135" s="196" t="e">
        <f>SUM(BB135:BD135)</f>
        <v>#NAME?</v>
      </c>
      <c r="BF135" s="195" t="e">
        <v>#NAME?</v>
      </c>
      <c r="BG135" s="195" t="e">
        <v>#NAME?</v>
      </c>
      <c r="BH135" s="195" t="e">
        <v>#NAME?</v>
      </c>
      <c r="BI135" s="196" t="e">
        <f>SUM(BF135:BH135)</f>
        <v>#NAME?</v>
      </c>
      <c r="BJ135" s="195" t="e">
        <v>#NAME?</v>
      </c>
      <c r="BK135" s="195" t="e">
        <v>#NAME?</v>
      </c>
      <c r="BL135" s="195" t="e">
        <v>#NAME?</v>
      </c>
      <c r="BM135" s="196" t="e">
        <f>SUM(BJ135:BL135)</f>
        <v>#NAME?</v>
      </c>
      <c r="BN135" s="195" t="e">
        <v>#NAME?</v>
      </c>
      <c r="BO135" s="195" t="e">
        <v>#NAME?</v>
      </c>
      <c r="BP135" s="195" t="e">
        <v>#NAME?</v>
      </c>
      <c r="BQ135" s="196" t="e">
        <f>SUM(BM135:BP135)</f>
        <v>#NAME?</v>
      </c>
      <c r="BR135" s="195" t="e">
        <v>#NAME?</v>
      </c>
      <c r="BS135" s="195" t="e">
        <v>#NAME?</v>
      </c>
      <c r="BT135" s="195" t="e">
        <v>#NAME?</v>
      </c>
      <c r="BU135" s="196" t="e">
        <f>SUM(BQ135:BT135)</f>
        <v>#NAME?</v>
      </c>
      <c r="BV135" s="195" t="e">
        <v>#NAME?</v>
      </c>
      <c r="BW135" s="195" t="e">
        <v>#NAME?</v>
      </c>
      <c r="BX135" s="195" t="e">
        <v>#NAME?</v>
      </c>
      <c r="BY135" s="196" t="e">
        <f>SUM(BU135:BX135)</f>
        <v>#NAME?</v>
      </c>
    </row>
    <row r="136" spans="1:77" s="89" customFormat="1" ht="15.75">
      <c r="A136" s="171"/>
      <c r="B136" s="172"/>
      <c r="C136" s="172"/>
      <c r="D136" s="172"/>
      <c r="E136" s="172"/>
      <c r="F136" s="172"/>
      <c r="I136" s="173"/>
      <c r="J136" s="186" t="str">
        <f>CONCATENATE("Subtotal ",J134)</f>
        <v>Subtotal 5.1 Publications9</v>
      </c>
      <c r="K136" s="363">
        <f>SUBTOTAL(9,K135:K135)</f>
        <v>6240</v>
      </c>
      <c r="L136" s="436">
        <f>SUBTOTAL(9,L135:L135)</f>
        <v>5616</v>
      </c>
      <c r="M136" s="399">
        <f>SUBTOTAL(9,M135:M135)</f>
        <v>4387.5</v>
      </c>
      <c r="N136" s="399" t="e">
        <f>SUBTOTAL(9,N135:N135)</f>
        <v>#NAME?</v>
      </c>
      <c r="O136" s="399" t="e">
        <f>SUBTOTAL(9,O135:O135)</f>
        <v>#NAME?</v>
      </c>
      <c r="P136" s="193"/>
      <c r="Q136" s="193"/>
      <c r="R136" s="225"/>
      <c r="S136" s="193"/>
      <c r="T136" s="193"/>
      <c r="U136" s="224"/>
      <c r="V136" s="224"/>
      <c r="W136" s="330">
        <f>SUBTOTAL(9,W135:W135)</f>
        <v>6240</v>
      </c>
      <c r="X136" s="193"/>
      <c r="Y136" s="301">
        <f>SUBTOTAL(9,Y135:Y135)</f>
        <v>6240</v>
      </c>
      <c r="Z136" s="193"/>
      <c r="AA136" s="223">
        <f>SUBTOTAL(9,AA135:AA135)</f>
        <v>4875</v>
      </c>
      <c r="AB136" s="193"/>
      <c r="AC136" s="193"/>
      <c r="AD136" s="225"/>
      <c r="AE136" s="193"/>
      <c r="AF136" s="193"/>
      <c r="AG136" s="224"/>
      <c r="AH136" s="224"/>
      <c r="AI136" s="242">
        <f>SUBTOTAL(9,AI135:AI135)</f>
        <v>12480</v>
      </c>
      <c r="AJ136" s="193"/>
      <c r="AK136" s="301">
        <f>SUBTOTAL(9,AK135:AK135)</f>
        <v>12480</v>
      </c>
      <c r="AL136" s="193"/>
      <c r="AM136" s="223">
        <f>SUBTOTAL(9,AM135:AM135)</f>
        <v>9750</v>
      </c>
      <c r="AN136" s="193"/>
      <c r="AO136" s="193"/>
      <c r="AP136" s="193"/>
      <c r="AQ136" s="193"/>
      <c r="AR136" s="224" t="e">
        <f aca="true" t="shared" si="73" ref="AR136:BF136">SUBTOTAL(9,AR135:AR135)</f>
        <v>#NAME?</v>
      </c>
      <c r="AS136" s="224" t="e">
        <f t="shared" si="73"/>
        <v>#NAME?</v>
      </c>
      <c r="AT136" s="224" t="e">
        <f t="shared" si="73"/>
        <v>#NAME?</v>
      </c>
      <c r="AU136" s="224" t="e">
        <f t="shared" si="73"/>
        <v>#NAME?</v>
      </c>
      <c r="AV136" s="224" t="e">
        <f t="shared" si="73"/>
        <v>#NAME?</v>
      </c>
      <c r="AW136" s="224" t="e">
        <f t="shared" si="73"/>
        <v>#NAME?</v>
      </c>
      <c r="AX136" s="224" t="e">
        <f t="shared" si="73"/>
        <v>#NAME?</v>
      </c>
      <c r="AY136" s="224" t="e">
        <f t="shared" si="73"/>
        <v>#NAME?</v>
      </c>
      <c r="AZ136" s="224" t="e">
        <f t="shared" si="73"/>
        <v>#NAME?</v>
      </c>
      <c r="BA136" s="224" t="e">
        <f t="shared" si="73"/>
        <v>#NAME?</v>
      </c>
      <c r="BB136" s="224" t="e">
        <f t="shared" si="73"/>
        <v>#NAME?</v>
      </c>
      <c r="BC136" s="224" t="e">
        <f t="shared" si="73"/>
        <v>#NAME?</v>
      </c>
      <c r="BD136" s="224" t="e">
        <f t="shared" si="73"/>
        <v>#NAME?</v>
      </c>
      <c r="BE136" s="224" t="e">
        <f t="shared" si="73"/>
        <v>#NAME?</v>
      </c>
      <c r="BF136" s="224" t="e">
        <f t="shared" si="73"/>
        <v>#NAME?</v>
      </c>
      <c r="BG136" s="224" t="e">
        <f aca="true" t="shared" si="74" ref="BG136:BY136">SUBTOTAL(9,BG135:BG135)</f>
        <v>#NAME?</v>
      </c>
      <c r="BH136" s="224" t="e">
        <f t="shared" si="74"/>
        <v>#NAME?</v>
      </c>
      <c r="BI136" s="224" t="e">
        <f t="shared" si="74"/>
        <v>#NAME?</v>
      </c>
      <c r="BJ136" s="224" t="e">
        <f t="shared" si="74"/>
        <v>#NAME?</v>
      </c>
      <c r="BK136" s="224" t="e">
        <f t="shared" si="74"/>
        <v>#NAME?</v>
      </c>
      <c r="BL136" s="224" t="e">
        <f t="shared" si="74"/>
        <v>#NAME?</v>
      </c>
      <c r="BM136" s="224" t="e">
        <f t="shared" si="74"/>
        <v>#NAME?</v>
      </c>
      <c r="BN136" s="224" t="e">
        <f t="shared" si="74"/>
        <v>#NAME?</v>
      </c>
      <c r="BO136" s="224" t="e">
        <f t="shared" si="74"/>
        <v>#NAME?</v>
      </c>
      <c r="BP136" s="224" t="e">
        <f t="shared" si="74"/>
        <v>#NAME?</v>
      </c>
      <c r="BQ136" s="224" t="e">
        <f t="shared" si="74"/>
        <v>#NAME?</v>
      </c>
      <c r="BR136" s="224" t="e">
        <f t="shared" si="74"/>
        <v>#NAME?</v>
      </c>
      <c r="BS136" s="224" t="e">
        <f t="shared" si="74"/>
        <v>#NAME?</v>
      </c>
      <c r="BT136" s="224" t="e">
        <f t="shared" si="74"/>
        <v>#NAME?</v>
      </c>
      <c r="BU136" s="224" t="e">
        <f t="shared" si="74"/>
        <v>#NAME?</v>
      </c>
      <c r="BV136" s="224" t="e">
        <f t="shared" si="74"/>
        <v>#NAME?</v>
      </c>
      <c r="BW136" s="224" t="e">
        <f t="shared" si="74"/>
        <v>#NAME?</v>
      </c>
      <c r="BX136" s="224" t="e">
        <f t="shared" si="74"/>
        <v>#NAME?</v>
      </c>
      <c r="BY136" s="224" t="e">
        <f t="shared" si="74"/>
        <v>#NAME?</v>
      </c>
    </row>
    <row r="137" spans="1:77" s="89" customFormat="1" ht="15.75">
      <c r="A137" s="171"/>
      <c r="B137" s="172"/>
      <c r="C137" s="172"/>
      <c r="D137" s="172"/>
      <c r="E137" s="172"/>
      <c r="F137" s="172"/>
      <c r="I137" s="173"/>
      <c r="J137" s="186"/>
      <c r="K137" s="363"/>
      <c r="L137" s="436"/>
      <c r="M137" s="399"/>
      <c r="N137" s="399"/>
      <c r="O137" s="399"/>
      <c r="P137" s="193"/>
      <c r="Q137" s="193"/>
      <c r="R137" s="225"/>
      <c r="S137" s="193"/>
      <c r="T137" s="193"/>
      <c r="U137" s="224"/>
      <c r="V137" s="224"/>
      <c r="W137" s="330"/>
      <c r="X137" s="193"/>
      <c r="Y137" s="301"/>
      <c r="Z137" s="193"/>
      <c r="AA137" s="223"/>
      <c r="AB137" s="193"/>
      <c r="AC137" s="193"/>
      <c r="AD137" s="225"/>
      <c r="AE137" s="193"/>
      <c r="AF137" s="193"/>
      <c r="AG137" s="224"/>
      <c r="AH137" s="224"/>
      <c r="AI137" s="242"/>
      <c r="AJ137" s="193"/>
      <c r="AK137" s="301"/>
      <c r="AL137" s="193"/>
      <c r="AM137" s="223"/>
      <c r="AN137" s="193"/>
      <c r="AO137" s="193"/>
      <c r="AP137" s="193"/>
      <c r="AQ137" s="193"/>
      <c r="AR137" s="224"/>
      <c r="AS137" s="224"/>
      <c r="AT137" s="224"/>
      <c r="AU137" s="224"/>
      <c r="AV137" s="224"/>
      <c r="AW137" s="224"/>
      <c r="AX137" s="224"/>
      <c r="AY137" s="224"/>
      <c r="AZ137" s="224"/>
      <c r="BA137" s="224"/>
      <c r="BB137" s="224"/>
      <c r="BC137" s="224"/>
      <c r="BD137" s="224"/>
      <c r="BE137" s="224"/>
      <c r="BF137" s="224"/>
      <c r="BG137" s="224"/>
      <c r="BH137" s="224"/>
      <c r="BI137" s="224"/>
      <c r="BJ137" s="224"/>
      <c r="BK137" s="224"/>
      <c r="BL137" s="224"/>
      <c r="BM137" s="224"/>
      <c r="BN137" s="224"/>
      <c r="BO137" s="224"/>
      <c r="BP137" s="224"/>
      <c r="BQ137" s="224"/>
      <c r="BR137" s="224"/>
      <c r="BS137" s="224"/>
      <c r="BT137" s="224"/>
      <c r="BU137" s="224"/>
      <c r="BV137" s="224"/>
      <c r="BW137" s="224"/>
      <c r="BX137" s="224"/>
      <c r="BY137" s="224"/>
    </row>
    <row r="138" spans="1:77" s="89" customFormat="1" ht="15.75">
      <c r="A138" s="171"/>
      <c r="B138" s="172"/>
      <c r="C138" s="172"/>
      <c r="D138" s="172"/>
      <c r="E138" s="172"/>
      <c r="F138" s="172"/>
      <c r="I138" s="173"/>
      <c r="J138" s="276" t="s">
        <v>229</v>
      </c>
      <c r="K138" s="363"/>
      <c r="L138" s="436"/>
      <c r="M138" s="399"/>
      <c r="N138" s="399"/>
      <c r="O138" s="399"/>
      <c r="P138" s="193"/>
      <c r="Q138" s="193"/>
      <c r="R138" s="225"/>
      <c r="S138" s="193"/>
      <c r="T138" s="193"/>
      <c r="U138" s="224"/>
      <c r="V138" s="224"/>
      <c r="W138" s="330"/>
      <c r="X138" s="193"/>
      <c r="Y138" s="301"/>
      <c r="Z138" s="193"/>
      <c r="AA138" s="223"/>
      <c r="AB138" s="193"/>
      <c r="AC138" s="193"/>
      <c r="AD138" s="225"/>
      <c r="AE138" s="193"/>
      <c r="AF138" s="193"/>
      <c r="AG138" s="224"/>
      <c r="AH138" s="224"/>
      <c r="AI138" s="242"/>
      <c r="AJ138" s="193"/>
      <c r="AK138" s="301"/>
      <c r="AL138" s="193"/>
      <c r="AM138" s="223"/>
      <c r="AN138" s="193"/>
      <c r="AO138" s="193"/>
      <c r="AP138" s="193"/>
      <c r="AQ138" s="193"/>
      <c r="AR138" s="224"/>
      <c r="AS138" s="224"/>
      <c r="AT138" s="224"/>
      <c r="AU138" s="224"/>
      <c r="AV138" s="224"/>
      <c r="AW138" s="224"/>
      <c r="AX138" s="224"/>
      <c r="AY138" s="224"/>
      <c r="AZ138" s="224"/>
      <c r="BA138" s="224"/>
      <c r="BB138" s="224"/>
      <c r="BC138" s="224"/>
      <c r="BD138" s="224"/>
      <c r="BE138" s="224"/>
      <c r="BF138" s="224"/>
      <c r="BG138" s="224"/>
      <c r="BH138" s="224"/>
      <c r="BI138" s="224"/>
      <c r="BJ138" s="224"/>
      <c r="BK138" s="224"/>
      <c r="BL138" s="224"/>
      <c r="BM138" s="224"/>
      <c r="BN138" s="224"/>
      <c r="BO138" s="224"/>
      <c r="BP138" s="224"/>
      <c r="BQ138" s="224"/>
      <c r="BR138" s="224"/>
      <c r="BS138" s="224"/>
      <c r="BT138" s="224"/>
      <c r="BU138" s="224"/>
      <c r="BV138" s="224"/>
      <c r="BW138" s="224"/>
      <c r="BX138" s="224"/>
      <c r="BY138" s="224"/>
    </row>
    <row r="139" spans="1:77" s="89" customFormat="1" ht="15.75">
      <c r="A139" s="171"/>
      <c r="B139" s="172"/>
      <c r="C139" s="172"/>
      <c r="D139" s="172"/>
      <c r="E139" s="172"/>
      <c r="F139" s="172"/>
      <c r="I139" s="173"/>
      <c r="J139" s="278" t="s">
        <v>230</v>
      </c>
      <c r="K139" s="363"/>
      <c r="L139" s="436"/>
      <c r="M139" s="399"/>
      <c r="N139" s="399"/>
      <c r="O139" s="399"/>
      <c r="P139" s="193"/>
      <c r="Q139" s="193"/>
      <c r="R139" s="225"/>
      <c r="S139" s="193"/>
      <c r="T139" s="193"/>
      <c r="U139" s="224"/>
      <c r="V139" s="224"/>
      <c r="W139" s="330"/>
      <c r="X139" s="193"/>
      <c r="Y139" s="301"/>
      <c r="Z139" s="193"/>
      <c r="AA139" s="223"/>
      <c r="AB139" s="193"/>
      <c r="AC139" s="193"/>
      <c r="AD139" s="225"/>
      <c r="AE139" s="193"/>
      <c r="AF139" s="193"/>
      <c r="AG139" s="224"/>
      <c r="AH139" s="224"/>
      <c r="AI139" s="242"/>
      <c r="AJ139" s="193"/>
      <c r="AK139" s="301"/>
      <c r="AL139" s="193"/>
      <c r="AM139" s="223"/>
      <c r="AN139" s="193"/>
      <c r="AO139" s="193"/>
      <c r="AP139" s="193"/>
      <c r="AQ139" s="193"/>
      <c r="AR139" s="224"/>
      <c r="AS139" s="224"/>
      <c r="AT139" s="224"/>
      <c r="AU139" s="224"/>
      <c r="AV139" s="224"/>
      <c r="AW139" s="224"/>
      <c r="AX139" s="224"/>
      <c r="AY139" s="224"/>
      <c r="AZ139" s="224"/>
      <c r="BA139" s="224"/>
      <c r="BB139" s="224"/>
      <c r="BC139" s="224"/>
      <c r="BD139" s="224"/>
      <c r="BE139" s="224"/>
      <c r="BF139" s="224"/>
      <c r="BG139" s="224"/>
      <c r="BH139" s="224"/>
      <c r="BI139" s="224"/>
      <c r="BJ139" s="224"/>
      <c r="BK139" s="224"/>
      <c r="BL139" s="224"/>
      <c r="BM139" s="224"/>
      <c r="BN139" s="224"/>
      <c r="BO139" s="224"/>
      <c r="BP139" s="224"/>
      <c r="BQ139" s="224"/>
      <c r="BR139" s="224"/>
      <c r="BS139" s="224"/>
      <c r="BT139" s="224"/>
      <c r="BU139" s="224"/>
      <c r="BV139" s="224"/>
      <c r="BW139" s="224"/>
      <c r="BX139" s="224"/>
      <c r="BY139" s="224"/>
    </row>
    <row r="140" spans="1:77" s="89" customFormat="1" ht="15.75">
      <c r="A140" s="124" t="s">
        <v>110</v>
      </c>
      <c r="B140" s="124"/>
      <c r="C140" s="124"/>
      <c r="D140" s="124"/>
      <c r="E140" s="124"/>
      <c r="F140" s="124"/>
      <c r="G140" s="124"/>
      <c r="H140" s="124"/>
      <c r="I140" s="166"/>
      <c r="J140" s="256" t="s">
        <v>231</v>
      </c>
      <c r="K140" s="329">
        <f>Y140</f>
        <v>0</v>
      </c>
      <c r="L140" s="435">
        <f>K140*0.9</f>
        <v>0</v>
      </c>
      <c r="M140" s="398">
        <f>L140/$M$4</f>
        <v>0</v>
      </c>
      <c r="N140" s="398" t="e">
        <f aca="true" t="shared" si="75" ref="N140:O143">L140-AR140</f>
        <v>#NAME?</v>
      </c>
      <c r="O140" s="398" t="e">
        <f t="shared" si="75"/>
        <v>#NAME?</v>
      </c>
      <c r="P140" s="191"/>
      <c r="Q140" s="191"/>
      <c r="R140" s="192"/>
      <c r="S140" s="268" t="s">
        <v>186</v>
      </c>
      <c r="T140" s="280">
        <v>0</v>
      </c>
      <c r="U140" s="281">
        <v>280</v>
      </c>
      <c r="V140" s="193"/>
      <c r="W140" s="329">
        <f>(T140*U140)</f>
        <v>0</v>
      </c>
      <c r="X140" s="191"/>
      <c r="Y140" s="290">
        <f>W140</f>
        <v>0</v>
      </c>
      <c r="Z140" s="191"/>
      <c r="AA140" s="190">
        <f>Y140/M$4</f>
        <v>0</v>
      </c>
      <c r="AB140" s="191"/>
      <c r="AC140" s="191"/>
      <c r="AD140" s="192"/>
      <c r="AE140" s="268" t="s">
        <v>186</v>
      </c>
      <c r="AF140" s="280">
        <v>30</v>
      </c>
      <c r="AG140" s="281">
        <v>280</v>
      </c>
      <c r="AH140" s="193"/>
      <c r="AI140" s="241">
        <f>(AF140*AG140)</f>
        <v>8400</v>
      </c>
      <c r="AJ140" s="191"/>
      <c r="AK140" s="290">
        <f>AI140</f>
        <v>8400</v>
      </c>
      <c r="AL140" s="191"/>
      <c r="AM140" s="190">
        <f>AK140/M$4</f>
        <v>6562.5</v>
      </c>
      <c r="AN140" s="191"/>
      <c r="AO140" s="191"/>
      <c r="AP140" s="191"/>
      <c r="AQ140" s="191"/>
      <c r="AR140" s="194" t="e">
        <f>AS140*$M$4</f>
        <v>#NAME?</v>
      </c>
      <c r="AS140" s="194" t="e">
        <f>AW140+BA140+BE140+BI140+BM140+BQ140+BU140+BY140</f>
        <v>#NAME?</v>
      </c>
      <c r="AT140" s="195" t="e">
        <v>#NAME?</v>
      </c>
      <c r="AU140" s="195" t="e">
        <v>#NAME?</v>
      </c>
      <c r="AV140" s="195" t="e">
        <v>#NAME?</v>
      </c>
      <c r="AW140" s="196" t="e">
        <f>SUM(AT140:AV140)</f>
        <v>#NAME?</v>
      </c>
      <c r="AX140" s="195" t="e">
        <v>#NAME?</v>
      </c>
      <c r="AY140" s="195" t="e">
        <v>#NAME?</v>
      </c>
      <c r="AZ140" s="195" t="e">
        <v>#NAME?</v>
      </c>
      <c r="BA140" s="196" t="e">
        <f>SUM(AX140:AZ140)</f>
        <v>#NAME?</v>
      </c>
      <c r="BB140" s="195" t="e">
        <v>#NAME?</v>
      </c>
      <c r="BC140" s="195" t="e">
        <v>#NAME?</v>
      </c>
      <c r="BD140" s="195" t="e">
        <v>#NAME?</v>
      </c>
      <c r="BE140" s="196" t="e">
        <f>SUM(BB140:BD140)</f>
        <v>#NAME?</v>
      </c>
      <c r="BF140" s="195" t="e">
        <v>#NAME?</v>
      </c>
      <c r="BG140" s="195" t="e">
        <v>#NAME?</v>
      </c>
      <c r="BH140" s="195" t="e">
        <v>#NAME?</v>
      </c>
      <c r="BI140" s="196" t="e">
        <f>SUM(BF140:BH140)</f>
        <v>#NAME?</v>
      </c>
      <c r="BJ140" s="195" t="e">
        <v>#NAME?</v>
      </c>
      <c r="BK140" s="195" t="e">
        <v>#NAME?</v>
      </c>
      <c r="BL140" s="195" t="e">
        <v>#NAME?</v>
      </c>
      <c r="BM140" s="196" t="e">
        <f>SUM(BJ140:BL140)</f>
        <v>#NAME?</v>
      </c>
      <c r="BN140" s="195" t="e">
        <v>#NAME?</v>
      </c>
      <c r="BO140" s="195" t="e">
        <v>#NAME?</v>
      </c>
      <c r="BP140" s="195" t="e">
        <v>#NAME?</v>
      </c>
      <c r="BQ140" s="196" t="e">
        <f>SUM(BM140:BP140)</f>
        <v>#NAME?</v>
      </c>
      <c r="BR140" s="195" t="e">
        <v>#NAME?</v>
      </c>
      <c r="BS140" s="195" t="e">
        <v>#NAME?</v>
      </c>
      <c r="BT140" s="195" t="e">
        <v>#NAME?</v>
      </c>
      <c r="BU140" s="196" t="e">
        <f>SUM(BQ140:BT140)</f>
        <v>#NAME?</v>
      </c>
      <c r="BV140" s="195" t="e">
        <v>#NAME?</v>
      </c>
      <c r="BW140" s="195" t="e">
        <v>#NAME?</v>
      </c>
      <c r="BX140" s="195" t="e">
        <v>#NAME?</v>
      </c>
      <c r="BY140" s="196" t="e">
        <f>SUM(BU140:BX140)</f>
        <v>#NAME?</v>
      </c>
    </row>
    <row r="141" spans="1:77" s="89" customFormat="1" ht="15.75">
      <c r="A141" s="124" t="s">
        <v>111</v>
      </c>
      <c r="B141" s="124"/>
      <c r="C141" s="124"/>
      <c r="D141" s="124"/>
      <c r="E141" s="124"/>
      <c r="F141" s="124"/>
      <c r="G141" s="124"/>
      <c r="H141" s="124"/>
      <c r="I141" s="166"/>
      <c r="J141" s="256" t="s">
        <v>232</v>
      </c>
      <c r="K141" s="329">
        <f>Y141</f>
        <v>0</v>
      </c>
      <c r="L141" s="435">
        <f>K141*0.9</f>
        <v>0</v>
      </c>
      <c r="M141" s="398">
        <f>L141/$M$4</f>
        <v>0</v>
      </c>
      <c r="N141" s="398" t="e">
        <f t="shared" si="75"/>
        <v>#NAME?</v>
      </c>
      <c r="O141" s="398" t="e">
        <f t="shared" si="75"/>
        <v>#NAME?</v>
      </c>
      <c r="P141" s="191"/>
      <c r="Q141" s="191"/>
      <c r="R141" s="192"/>
      <c r="S141" s="268" t="s">
        <v>186</v>
      </c>
      <c r="T141" s="280">
        <v>0</v>
      </c>
      <c r="U141" s="281">
        <v>160</v>
      </c>
      <c r="V141" s="193"/>
      <c r="W141" s="329">
        <f>(T141*U141)</f>
        <v>0</v>
      </c>
      <c r="X141" s="191"/>
      <c r="Y141" s="290">
        <f>W141</f>
        <v>0</v>
      </c>
      <c r="Z141" s="191"/>
      <c r="AA141" s="190">
        <f>Y141/M$4</f>
        <v>0</v>
      </c>
      <c r="AB141" s="191"/>
      <c r="AC141" s="191"/>
      <c r="AD141" s="192"/>
      <c r="AE141" s="268" t="s">
        <v>186</v>
      </c>
      <c r="AF141" s="280">
        <v>21</v>
      </c>
      <c r="AG141" s="281">
        <v>160</v>
      </c>
      <c r="AH141" s="193"/>
      <c r="AI141" s="241">
        <f>(AF141*AG141)</f>
        <v>3360</v>
      </c>
      <c r="AJ141" s="191"/>
      <c r="AK141" s="290">
        <f>AI141</f>
        <v>3360</v>
      </c>
      <c r="AL141" s="191"/>
      <c r="AM141" s="190">
        <f>AK141/M$4</f>
        <v>2625</v>
      </c>
      <c r="AN141" s="191"/>
      <c r="AO141" s="191"/>
      <c r="AP141" s="191"/>
      <c r="AQ141" s="191"/>
      <c r="AR141" s="194" t="e">
        <f>AS141*$M$4</f>
        <v>#NAME?</v>
      </c>
      <c r="AS141" s="194" t="e">
        <f>AW141+BA141+BE141+BI141+BM141+BQ141+BU141+BY141</f>
        <v>#NAME?</v>
      </c>
      <c r="AT141" s="195" t="e">
        <v>#NAME?</v>
      </c>
      <c r="AU141" s="195" t="e">
        <v>#NAME?</v>
      </c>
      <c r="AV141" s="195" t="e">
        <v>#NAME?</v>
      </c>
      <c r="AW141" s="196" t="e">
        <f>SUM(AT141:AV141)</f>
        <v>#NAME?</v>
      </c>
      <c r="AX141" s="195" t="e">
        <v>#NAME?</v>
      </c>
      <c r="AY141" s="195" t="e">
        <v>#NAME?</v>
      </c>
      <c r="AZ141" s="195" t="e">
        <v>#NAME?</v>
      </c>
      <c r="BA141" s="196" t="e">
        <f>SUM(AX141:AZ141)</f>
        <v>#NAME?</v>
      </c>
      <c r="BB141" s="195" t="e">
        <v>#NAME?</v>
      </c>
      <c r="BC141" s="195" t="e">
        <v>#NAME?</v>
      </c>
      <c r="BD141" s="195" t="e">
        <v>#NAME?</v>
      </c>
      <c r="BE141" s="196" t="e">
        <f>SUM(BB141:BD141)</f>
        <v>#NAME?</v>
      </c>
      <c r="BF141" s="195" t="e">
        <v>#NAME?</v>
      </c>
      <c r="BG141" s="195" t="e">
        <v>#NAME?</v>
      </c>
      <c r="BH141" s="195" t="e">
        <v>#NAME?</v>
      </c>
      <c r="BI141" s="196" t="e">
        <f>SUM(BF141:BH141)</f>
        <v>#NAME?</v>
      </c>
      <c r="BJ141" s="195" t="e">
        <v>#NAME?</v>
      </c>
      <c r="BK141" s="195" t="e">
        <v>#NAME?</v>
      </c>
      <c r="BL141" s="195" t="e">
        <v>#NAME?</v>
      </c>
      <c r="BM141" s="196" t="e">
        <f>SUM(BJ141:BL141)</f>
        <v>#NAME?</v>
      </c>
      <c r="BN141" s="195" t="e">
        <v>#NAME?</v>
      </c>
      <c r="BO141" s="195" t="e">
        <v>#NAME?</v>
      </c>
      <c r="BP141" s="195" t="e">
        <v>#NAME?</v>
      </c>
      <c r="BQ141" s="196" t="e">
        <f>SUM(BM141:BP141)</f>
        <v>#NAME?</v>
      </c>
      <c r="BR141" s="195" t="e">
        <v>#NAME?</v>
      </c>
      <c r="BS141" s="195" t="e">
        <v>#NAME?</v>
      </c>
      <c r="BT141" s="195" t="e">
        <v>#NAME?</v>
      </c>
      <c r="BU141" s="196" t="e">
        <f>SUM(BQ141:BT141)</f>
        <v>#NAME?</v>
      </c>
      <c r="BV141" s="195" t="e">
        <v>#NAME?</v>
      </c>
      <c r="BW141" s="195" t="e">
        <v>#NAME?</v>
      </c>
      <c r="BX141" s="195" t="e">
        <v>#NAME?</v>
      </c>
      <c r="BY141" s="196" t="e">
        <f>SUM(BU141:BX141)</f>
        <v>#NAME?</v>
      </c>
    </row>
    <row r="142" spans="1:77" s="89" customFormat="1" ht="15.75">
      <c r="A142" s="124" t="s">
        <v>112</v>
      </c>
      <c r="B142" s="124"/>
      <c r="C142" s="124"/>
      <c r="D142" s="124"/>
      <c r="E142" s="124"/>
      <c r="F142" s="124"/>
      <c r="G142" s="124"/>
      <c r="H142" s="124"/>
      <c r="I142" s="166"/>
      <c r="J142" s="256" t="s">
        <v>233</v>
      </c>
      <c r="K142" s="329">
        <f>Y142</f>
        <v>0</v>
      </c>
      <c r="L142" s="435">
        <f>K142*0.9</f>
        <v>0</v>
      </c>
      <c r="M142" s="398">
        <f>L142/$M$4</f>
        <v>0</v>
      </c>
      <c r="N142" s="398" t="e">
        <f t="shared" si="75"/>
        <v>#NAME?</v>
      </c>
      <c r="O142" s="398" t="e">
        <f t="shared" si="75"/>
        <v>#NAME?</v>
      </c>
      <c r="P142" s="191"/>
      <c r="Q142" s="191"/>
      <c r="R142" s="192"/>
      <c r="S142" s="268" t="s">
        <v>238</v>
      </c>
      <c r="T142" s="280">
        <v>0</v>
      </c>
      <c r="U142" s="281">
        <v>400</v>
      </c>
      <c r="V142" s="193"/>
      <c r="W142" s="329">
        <f>(T142*U142)</f>
        <v>0</v>
      </c>
      <c r="X142" s="191"/>
      <c r="Y142" s="290">
        <f>W142</f>
        <v>0</v>
      </c>
      <c r="Z142" s="191"/>
      <c r="AA142" s="190">
        <f>Y142/M$4</f>
        <v>0</v>
      </c>
      <c r="AB142" s="191"/>
      <c r="AC142" s="191"/>
      <c r="AD142" s="192"/>
      <c r="AE142" s="268" t="s">
        <v>238</v>
      </c>
      <c r="AF142" s="280">
        <v>10</v>
      </c>
      <c r="AG142" s="281">
        <v>400</v>
      </c>
      <c r="AH142" s="193"/>
      <c r="AI142" s="241">
        <f>(AF142*AG142)</f>
        <v>4000</v>
      </c>
      <c r="AJ142" s="191"/>
      <c r="AK142" s="290">
        <f>AI142</f>
        <v>4000</v>
      </c>
      <c r="AL142" s="191"/>
      <c r="AM142" s="190">
        <f>AK142/M$4</f>
        <v>3125</v>
      </c>
      <c r="AN142" s="191"/>
      <c r="AO142" s="191"/>
      <c r="AP142" s="191"/>
      <c r="AQ142" s="191"/>
      <c r="AR142" s="194" t="e">
        <f>AS142*$M$4</f>
        <v>#NAME?</v>
      </c>
      <c r="AS142" s="194" t="e">
        <f>AW142+BA142+BE142+BI142+BM142+BQ142+BU142+BY142</f>
        <v>#NAME?</v>
      </c>
      <c r="AT142" s="195" t="e">
        <v>#NAME?</v>
      </c>
      <c r="AU142" s="195" t="e">
        <v>#NAME?</v>
      </c>
      <c r="AV142" s="195" t="e">
        <v>#NAME?</v>
      </c>
      <c r="AW142" s="196" t="e">
        <f>SUM(AT142:AV142)</f>
        <v>#NAME?</v>
      </c>
      <c r="AX142" s="195" t="e">
        <v>#NAME?</v>
      </c>
      <c r="AY142" s="195" t="e">
        <v>#NAME?</v>
      </c>
      <c r="AZ142" s="195" t="e">
        <v>#NAME?</v>
      </c>
      <c r="BA142" s="196" t="e">
        <f>SUM(AX142:AZ142)</f>
        <v>#NAME?</v>
      </c>
      <c r="BB142" s="195" t="e">
        <v>#NAME?</v>
      </c>
      <c r="BC142" s="195" t="e">
        <v>#NAME?</v>
      </c>
      <c r="BD142" s="195" t="e">
        <v>#NAME?</v>
      </c>
      <c r="BE142" s="196" t="e">
        <f>SUM(BB142:BD142)</f>
        <v>#NAME?</v>
      </c>
      <c r="BF142" s="195" t="e">
        <v>#NAME?</v>
      </c>
      <c r="BG142" s="195" t="e">
        <v>#NAME?</v>
      </c>
      <c r="BH142" s="195" t="e">
        <v>#NAME?</v>
      </c>
      <c r="BI142" s="196" t="e">
        <f>SUM(BF142:BH142)</f>
        <v>#NAME?</v>
      </c>
      <c r="BJ142" s="195" t="e">
        <v>#NAME?</v>
      </c>
      <c r="BK142" s="195" t="e">
        <v>#NAME?</v>
      </c>
      <c r="BL142" s="195" t="e">
        <v>#NAME?</v>
      </c>
      <c r="BM142" s="196" t="e">
        <f>SUM(BJ142:BL142)</f>
        <v>#NAME?</v>
      </c>
      <c r="BN142" s="195" t="e">
        <v>#NAME?</v>
      </c>
      <c r="BO142" s="195" t="e">
        <v>#NAME?</v>
      </c>
      <c r="BP142" s="195" t="e">
        <v>#NAME?</v>
      </c>
      <c r="BQ142" s="196" t="e">
        <f>SUM(BM142:BP142)</f>
        <v>#NAME?</v>
      </c>
      <c r="BR142" s="195" t="e">
        <v>#NAME?</v>
      </c>
      <c r="BS142" s="195" t="e">
        <v>#NAME?</v>
      </c>
      <c r="BT142" s="195" t="e">
        <v>#NAME?</v>
      </c>
      <c r="BU142" s="196" t="e">
        <f>SUM(BQ142:BT142)</f>
        <v>#NAME?</v>
      </c>
      <c r="BV142" s="195" t="e">
        <v>#NAME?</v>
      </c>
      <c r="BW142" s="195" t="e">
        <v>#NAME?</v>
      </c>
      <c r="BX142" s="195" t="e">
        <v>#NAME?</v>
      </c>
      <c r="BY142" s="196" t="e">
        <f>SUM(BU142:BX142)</f>
        <v>#NAME?</v>
      </c>
    </row>
    <row r="143" spans="1:77" s="89" customFormat="1" ht="15.75">
      <c r="A143" s="124" t="s">
        <v>113</v>
      </c>
      <c r="B143" s="124"/>
      <c r="C143" s="124"/>
      <c r="D143" s="124"/>
      <c r="E143" s="124"/>
      <c r="F143" s="124"/>
      <c r="G143" s="124"/>
      <c r="H143" s="124"/>
      <c r="I143" s="166"/>
      <c r="J143" s="256" t="s">
        <v>234</v>
      </c>
      <c r="K143" s="329">
        <f>Y143</f>
        <v>0</v>
      </c>
      <c r="L143" s="435">
        <f>K143*0.9</f>
        <v>0</v>
      </c>
      <c r="M143" s="398">
        <f>L143/$M$4</f>
        <v>0</v>
      </c>
      <c r="N143" s="398" t="e">
        <f t="shared" si="75"/>
        <v>#NAME?</v>
      </c>
      <c r="O143" s="398" t="e">
        <f t="shared" si="75"/>
        <v>#NAME?</v>
      </c>
      <c r="P143" s="191"/>
      <c r="Q143" s="191"/>
      <c r="R143" s="192"/>
      <c r="S143" s="268" t="s">
        <v>239</v>
      </c>
      <c r="T143" s="280">
        <v>0</v>
      </c>
      <c r="U143" s="281">
        <v>600</v>
      </c>
      <c r="V143" s="193"/>
      <c r="W143" s="329">
        <f>(T143*U143)</f>
        <v>0</v>
      </c>
      <c r="X143" s="191"/>
      <c r="Y143" s="290">
        <f>W143</f>
        <v>0</v>
      </c>
      <c r="Z143" s="191"/>
      <c r="AA143" s="190">
        <f>Y143/M$4</f>
        <v>0</v>
      </c>
      <c r="AB143" s="191"/>
      <c r="AC143" s="191"/>
      <c r="AD143" s="192"/>
      <c r="AE143" s="268" t="s">
        <v>239</v>
      </c>
      <c r="AF143" s="280">
        <v>1</v>
      </c>
      <c r="AG143" s="281">
        <v>600</v>
      </c>
      <c r="AH143" s="193"/>
      <c r="AI143" s="241">
        <f>(AF143*AG143)</f>
        <v>600</v>
      </c>
      <c r="AJ143" s="191"/>
      <c r="AK143" s="290">
        <f>AI143</f>
        <v>600</v>
      </c>
      <c r="AL143" s="191"/>
      <c r="AM143" s="190">
        <f>AK143/M$4</f>
        <v>468.75</v>
      </c>
      <c r="AN143" s="191"/>
      <c r="AO143" s="191"/>
      <c r="AP143" s="191"/>
      <c r="AQ143" s="191"/>
      <c r="AR143" s="194" t="e">
        <f>AS143*$M$4</f>
        <v>#NAME?</v>
      </c>
      <c r="AS143" s="194" t="e">
        <f>AW143+BA143+BE143+BI143+BM143+BQ143+BU143+BY143</f>
        <v>#NAME?</v>
      </c>
      <c r="AT143" s="195" t="e">
        <v>#NAME?</v>
      </c>
      <c r="AU143" s="195" t="e">
        <v>#NAME?</v>
      </c>
      <c r="AV143" s="195" t="e">
        <v>#NAME?</v>
      </c>
      <c r="AW143" s="196" t="e">
        <f>SUM(AT143:AV143)</f>
        <v>#NAME?</v>
      </c>
      <c r="AX143" s="195" t="e">
        <v>#NAME?</v>
      </c>
      <c r="AY143" s="195" t="e">
        <v>#NAME?</v>
      </c>
      <c r="AZ143" s="195" t="e">
        <v>#NAME?</v>
      </c>
      <c r="BA143" s="196" t="e">
        <f>SUM(AX143:AZ143)</f>
        <v>#NAME?</v>
      </c>
      <c r="BB143" s="195" t="e">
        <v>#NAME?</v>
      </c>
      <c r="BC143" s="195" t="e">
        <v>#NAME?</v>
      </c>
      <c r="BD143" s="195" t="e">
        <v>#NAME?</v>
      </c>
      <c r="BE143" s="196" t="e">
        <f>SUM(BB143:BD143)</f>
        <v>#NAME?</v>
      </c>
      <c r="BF143" s="195" t="e">
        <v>#NAME?</v>
      </c>
      <c r="BG143" s="195" t="e">
        <v>#NAME?</v>
      </c>
      <c r="BH143" s="195" t="e">
        <v>#NAME?</v>
      </c>
      <c r="BI143" s="196" t="e">
        <f>SUM(BF143:BH143)</f>
        <v>#NAME?</v>
      </c>
      <c r="BJ143" s="195" t="e">
        <v>#NAME?</v>
      </c>
      <c r="BK143" s="195" t="e">
        <v>#NAME?</v>
      </c>
      <c r="BL143" s="195" t="e">
        <v>#NAME?</v>
      </c>
      <c r="BM143" s="196" t="e">
        <f>SUM(BJ143:BL143)</f>
        <v>#NAME?</v>
      </c>
      <c r="BN143" s="195" t="e">
        <v>#NAME?</v>
      </c>
      <c r="BO143" s="195" t="e">
        <v>#NAME?</v>
      </c>
      <c r="BP143" s="195" t="e">
        <v>#NAME?</v>
      </c>
      <c r="BQ143" s="196" t="e">
        <f>SUM(BM143:BP143)</f>
        <v>#NAME?</v>
      </c>
      <c r="BR143" s="195" t="e">
        <v>#NAME?</v>
      </c>
      <c r="BS143" s="195" t="e">
        <v>#NAME?</v>
      </c>
      <c r="BT143" s="195" t="e">
        <v>#NAME?</v>
      </c>
      <c r="BU143" s="196" t="e">
        <f>SUM(BQ143:BT143)</f>
        <v>#NAME?</v>
      </c>
      <c r="BV143" s="195" t="e">
        <v>#NAME?</v>
      </c>
      <c r="BW143" s="195" t="e">
        <v>#NAME?</v>
      </c>
      <c r="BX143" s="195" t="e">
        <v>#NAME?</v>
      </c>
      <c r="BY143" s="196" t="e">
        <f>SUM(BU143:BX143)</f>
        <v>#NAME?</v>
      </c>
    </row>
    <row r="144" spans="1:77" s="89" customFormat="1" ht="15.75">
      <c r="A144" s="171"/>
      <c r="B144" s="172"/>
      <c r="C144" s="172"/>
      <c r="D144" s="172"/>
      <c r="E144" s="172"/>
      <c r="F144" s="172"/>
      <c r="I144" s="173"/>
      <c r="J144" s="186" t="str">
        <f>CONCATENATE("Subtotal ",J139)</f>
        <v>Subtotal 5.2.1 Action research (Activity 1.3)</v>
      </c>
      <c r="K144" s="363">
        <f>SUBTOTAL(9,K140:K143)</f>
        <v>0</v>
      </c>
      <c r="L144" s="436">
        <f>SUBTOTAL(9,L140:L143)</f>
        <v>0</v>
      </c>
      <c r="M144" s="399">
        <f>SUBTOTAL(9,M140:M143)</f>
        <v>0</v>
      </c>
      <c r="N144" s="399" t="e">
        <f>SUBTOTAL(9,N140:N143)</f>
        <v>#NAME?</v>
      </c>
      <c r="O144" s="399" t="e">
        <f>SUBTOTAL(9,O140:O143)</f>
        <v>#NAME?</v>
      </c>
      <c r="P144" s="193"/>
      <c r="Q144" s="193"/>
      <c r="R144" s="225"/>
      <c r="S144" s="193"/>
      <c r="T144" s="193"/>
      <c r="U144" s="224"/>
      <c r="V144" s="224"/>
      <c r="W144" s="330">
        <f>SUBTOTAL(9,W140:W143)</f>
        <v>0</v>
      </c>
      <c r="X144" s="193"/>
      <c r="Y144" s="301">
        <f>SUBTOTAL(9,Y140:Y143)</f>
        <v>0</v>
      </c>
      <c r="Z144" s="193"/>
      <c r="AA144" s="223">
        <f>SUBTOTAL(9,AA140:AA143)</f>
        <v>0</v>
      </c>
      <c r="AB144" s="193"/>
      <c r="AC144" s="193"/>
      <c r="AD144" s="225"/>
      <c r="AE144" s="193"/>
      <c r="AF144" s="193"/>
      <c r="AG144" s="224"/>
      <c r="AH144" s="224"/>
      <c r="AI144" s="242">
        <f>SUBTOTAL(9,AI140:AI143)</f>
        <v>16360</v>
      </c>
      <c r="AJ144" s="193"/>
      <c r="AK144" s="301">
        <f>SUBTOTAL(9,AK140:AK143)</f>
        <v>16360</v>
      </c>
      <c r="AL144" s="193"/>
      <c r="AM144" s="223">
        <f>SUBTOTAL(9,AM140:AM143)</f>
        <v>12781.25</v>
      </c>
      <c r="AN144" s="193"/>
      <c r="AO144" s="193"/>
      <c r="AP144" s="193"/>
      <c r="AQ144" s="193"/>
      <c r="AR144" s="224" t="e">
        <f aca="true" t="shared" si="76" ref="AR144:BF144">SUBTOTAL(9,AR140:AR143)</f>
        <v>#NAME?</v>
      </c>
      <c r="AS144" s="224" t="e">
        <f t="shared" si="76"/>
        <v>#NAME?</v>
      </c>
      <c r="AT144" s="224" t="e">
        <f t="shared" si="76"/>
        <v>#NAME?</v>
      </c>
      <c r="AU144" s="224" t="e">
        <f t="shared" si="76"/>
        <v>#NAME?</v>
      </c>
      <c r="AV144" s="224" t="e">
        <f t="shared" si="76"/>
        <v>#NAME?</v>
      </c>
      <c r="AW144" s="224" t="e">
        <f t="shared" si="76"/>
        <v>#NAME?</v>
      </c>
      <c r="AX144" s="224" t="e">
        <f t="shared" si="76"/>
        <v>#NAME?</v>
      </c>
      <c r="AY144" s="224" t="e">
        <f t="shared" si="76"/>
        <v>#NAME?</v>
      </c>
      <c r="AZ144" s="224" t="e">
        <f t="shared" si="76"/>
        <v>#NAME?</v>
      </c>
      <c r="BA144" s="224" t="e">
        <f t="shared" si="76"/>
        <v>#NAME?</v>
      </c>
      <c r="BB144" s="224" t="e">
        <f t="shared" si="76"/>
        <v>#NAME?</v>
      </c>
      <c r="BC144" s="224" t="e">
        <f t="shared" si="76"/>
        <v>#NAME?</v>
      </c>
      <c r="BD144" s="224" t="e">
        <f t="shared" si="76"/>
        <v>#NAME?</v>
      </c>
      <c r="BE144" s="224" t="e">
        <f t="shared" si="76"/>
        <v>#NAME?</v>
      </c>
      <c r="BF144" s="224" t="e">
        <f t="shared" si="76"/>
        <v>#NAME?</v>
      </c>
      <c r="BG144" s="224" t="e">
        <f aca="true" t="shared" si="77" ref="BG144:BY144">SUBTOTAL(9,BG140:BG143)</f>
        <v>#NAME?</v>
      </c>
      <c r="BH144" s="224" t="e">
        <f t="shared" si="77"/>
        <v>#NAME?</v>
      </c>
      <c r="BI144" s="224" t="e">
        <f t="shared" si="77"/>
        <v>#NAME?</v>
      </c>
      <c r="BJ144" s="224" t="e">
        <f t="shared" si="77"/>
        <v>#NAME?</v>
      </c>
      <c r="BK144" s="224" t="e">
        <f t="shared" si="77"/>
        <v>#NAME?</v>
      </c>
      <c r="BL144" s="224" t="e">
        <f t="shared" si="77"/>
        <v>#NAME?</v>
      </c>
      <c r="BM144" s="224" t="e">
        <f t="shared" si="77"/>
        <v>#NAME?</v>
      </c>
      <c r="BN144" s="224" t="e">
        <f t="shared" si="77"/>
        <v>#NAME?</v>
      </c>
      <c r="BO144" s="224" t="e">
        <f t="shared" si="77"/>
        <v>#NAME?</v>
      </c>
      <c r="BP144" s="224" t="e">
        <f t="shared" si="77"/>
        <v>#NAME?</v>
      </c>
      <c r="BQ144" s="224" t="e">
        <f t="shared" si="77"/>
        <v>#NAME?</v>
      </c>
      <c r="BR144" s="224" t="e">
        <f t="shared" si="77"/>
        <v>#NAME?</v>
      </c>
      <c r="BS144" s="224" t="e">
        <f t="shared" si="77"/>
        <v>#NAME?</v>
      </c>
      <c r="BT144" s="224" t="e">
        <f t="shared" si="77"/>
        <v>#NAME?</v>
      </c>
      <c r="BU144" s="224" t="e">
        <f t="shared" si="77"/>
        <v>#NAME?</v>
      </c>
      <c r="BV144" s="224" t="e">
        <f t="shared" si="77"/>
        <v>#NAME?</v>
      </c>
      <c r="BW144" s="224" t="e">
        <f t="shared" si="77"/>
        <v>#NAME?</v>
      </c>
      <c r="BX144" s="224" t="e">
        <f t="shared" si="77"/>
        <v>#NAME?</v>
      </c>
      <c r="BY144" s="224" t="e">
        <f t="shared" si="77"/>
        <v>#NAME?</v>
      </c>
    </row>
    <row r="145" spans="1:77" s="89" customFormat="1" ht="15.75">
      <c r="A145" s="171"/>
      <c r="B145" s="172"/>
      <c r="C145" s="172"/>
      <c r="D145" s="172"/>
      <c r="E145" s="172"/>
      <c r="F145" s="172"/>
      <c r="I145" s="173"/>
      <c r="J145" s="186"/>
      <c r="K145" s="363"/>
      <c r="L145" s="436"/>
      <c r="M145" s="399"/>
      <c r="N145" s="399"/>
      <c r="O145" s="399"/>
      <c r="P145" s="193"/>
      <c r="Q145" s="193"/>
      <c r="R145" s="225"/>
      <c r="S145" s="193"/>
      <c r="T145" s="193"/>
      <c r="U145" s="224"/>
      <c r="V145" s="224"/>
      <c r="W145" s="330"/>
      <c r="X145" s="193"/>
      <c r="Y145" s="301"/>
      <c r="Z145" s="193"/>
      <c r="AA145" s="223"/>
      <c r="AB145" s="193"/>
      <c r="AC145" s="193"/>
      <c r="AD145" s="225"/>
      <c r="AE145" s="193"/>
      <c r="AF145" s="193"/>
      <c r="AG145" s="224"/>
      <c r="AH145" s="224"/>
      <c r="AI145" s="242"/>
      <c r="AJ145" s="193"/>
      <c r="AK145" s="301"/>
      <c r="AL145" s="193"/>
      <c r="AM145" s="223"/>
      <c r="AN145" s="193"/>
      <c r="AO145" s="193"/>
      <c r="AP145" s="193"/>
      <c r="AQ145" s="193"/>
      <c r="AR145" s="224"/>
      <c r="AS145" s="224"/>
      <c r="AT145" s="224"/>
      <c r="AU145" s="224"/>
      <c r="AV145" s="224"/>
      <c r="AW145" s="224"/>
      <c r="AX145" s="224"/>
      <c r="AY145" s="224"/>
      <c r="AZ145" s="224"/>
      <c r="BA145" s="224"/>
      <c r="BB145" s="224"/>
      <c r="BC145" s="224"/>
      <c r="BD145" s="224"/>
      <c r="BE145" s="224"/>
      <c r="BF145" s="224"/>
      <c r="BG145" s="224"/>
      <c r="BH145" s="224"/>
      <c r="BI145" s="224"/>
      <c r="BJ145" s="224"/>
      <c r="BK145" s="224"/>
      <c r="BL145" s="224"/>
      <c r="BM145" s="224"/>
      <c r="BN145" s="224"/>
      <c r="BO145" s="224"/>
      <c r="BP145" s="224"/>
      <c r="BQ145" s="224"/>
      <c r="BR145" s="224"/>
      <c r="BS145" s="224"/>
      <c r="BT145" s="224"/>
      <c r="BU145" s="224"/>
      <c r="BV145" s="224"/>
      <c r="BW145" s="224"/>
      <c r="BX145" s="224"/>
      <c r="BY145" s="224"/>
    </row>
    <row r="146" spans="1:77" s="89" customFormat="1" ht="15.75">
      <c r="A146" s="171"/>
      <c r="B146" s="172"/>
      <c r="C146" s="172"/>
      <c r="D146" s="172"/>
      <c r="E146" s="172"/>
      <c r="F146" s="172"/>
      <c r="I146" s="173"/>
      <c r="J146" s="279" t="s">
        <v>235</v>
      </c>
      <c r="K146" s="363"/>
      <c r="L146" s="436"/>
      <c r="M146" s="399"/>
      <c r="N146" s="399"/>
      <c r="O146" s="399"/>
      <c r="P146" s="193"/>
      <c r="Q146" s="193"/>
      <c r="R146" s="225"/>
      <c r="S146" s="193"/>
      <c r="T146" s="193"/>
      <c r="U146" s="224"/>
      <c r="V146" s="224"/>
      <c r="W146" s="330"/>
      <c r="X146" s="193"/>
      <c r="Y146" s="301"/>
      <c r="Z146" s="193"/>
      <c r="AA146" s="223"/>
      <c r="AB146" s="193"/>
      <c r="AC146" s="193"/>
      <c r="AD146" s="225"/>
      <c r="AE146" s="193"/>
      <c r="AF146" s="193"/>
      <c r="AG146" s="224"/>
      <c r="AH146" s="224"/>
      <c r="AI146" s="242"/>
      <c r="AJ146" s="193"/>
      <c r="AK146" s="301"/>
      <c r="AL146" s="193"/>
      <c r="AM146" s="223"/>
      <c r="AN146" s="193"/>
      <c r="AO146" s="193"/>
      <c r="AP146" s="193"/>
      <c r="AQ146" s="193"/>
      <c r="AR146" s="224"/>
      <c r="AS146" s="224"/>
      <c r="AT146" s="224"/>
      <c r="AU146" s="224"/>
      <c r="AV146" s="224"/>
      <c r="AW146" s="224"/>
      <c r="AX146" s="224"/>
      <c r="AY146" s="224"/>
      <c r="AZ146" s="224"/>
      <c r="BA146" s="224"/>
      <c r="BB146" s="224"/>
      <c r="BC146" s="224"/>
      <c r="BD146" s="224"/>
      <c r="BE146" s="224"/>
      <c r="BF146" s="224"/>
      <c r="BG146" s="224"/>
      <c r="BH146" s="224"/>
      <c r="BI146" s="224"/>
      <c r="BJ146" s="224"/>
      <c r="BK146" s="224"/>
      <c r="BL146" s="224"/>
      <c r="BM146" s="224"/>
      <c r="BN146" s="224"/>
      <c r="BO146" s="224"/>
      <c r="BP146" s="224"/>
      <c r="BQ146" s="224"/>
      <c r="BR146" s="224"/>
      <c r="BS146" s="224"/>
      <c r="BT146" s="224"/>
      <c r="BU146" s="224"/>
      <c r="BV146" s="224"/>
      <c r="BW146" s="224"/>
      <c r="BX146" s="224"/>
      <c r="BY146" s="224"/>
    </row>
    <row r="147" spans="1:77" s="89" customFormat="1" ht="15.75">
      <c r="A147" s="124" t="s">
        <v>114</v>
      </c>
      <c r="B147" s="124"/>
      <c r="C147" s="124"/>
      <c r="D147" s="124"/>
      <c r="E147" s="124"/>
      <c r="F147" s="124"/>
      <c r="G147" s="124"/>
      <c r="H147" s="124"/>
      <c r="I147" s="166"/>
      <c r="J147" s="279" t="s">
        <v>235</v>
      </c>
      <c r="K147" s="329">
        <f>Y147</f>
        <v>5000</v>
      </c>
      <c r="L147" s="435">
        <f>K147*0.9</f>
        <v>4500</v>
      </c>
      <c r="M147" s="398">
        <f>L147/$M$4</f>
        <v>3515.625</v>
      </c>
      <c r="N147" s="398" t="e">
        <f>L147-AR147</f>
        <v>#NAME?</v>
      </c>
      <c r="O147" s="398" t="e">
        <f>M147-AS147</f>
        <v>#NAME?</v>
      </c>
      <c r="P147" s="191"/>
      <c r="Q147" s="191"/>
      <c r="R147" s="192"/>
      <c r="S147" s="271" t="s">
        <v>240</v>
      </c>
      <c r="T147" s="262">
        <v>1</v>
      </c>
      <c r="U147" s="230">
        <v>5000</v>
      </c>
      <c r="V147" s="193"/>
      <c r="W147" s="329">
        <f>(T147*U147)</f>
        <v>5000</v>
      </c>
      <c r="X147" s="191"/>
      <c r="Y147" s="290">
        <f>W147</f>
        <v>5000</v>
      </c>
      <c r="Z147" s="191"/>
      <c r="AA147" s="190">
        <f>Y147/M$4</f>
        <v>3906.25</v>
      </c>
      <c r="AB147" s="191"/>
      <c r="AC147" s="191"/>
      <c r="AD147" s="192"/>
      <c r="AE147" s="271" t="s">
        <v>240</v>
      </c>
      <c r="AF147" s="262">
        <v>3</v>
      </c>
      <c r="AG147" s="230">
        <v>5000</v>
      </c>
      <c r="AH147" s="193"/>
      <c r="AI147" s="241">
        <f>(AF147*AG147)</f>
        <v>15000</v>
      </c>
      <c r="AJ147" s="191"/>
      <c r="AK147" s="290">
        <f>AI147</f>
        <v>15000</v>
      </c>
      <c r="AL147" s="191"/>
      <c r="AM147" s="190">
        <f>AK147/M$4</f>
        <v>11718.75</v>
      </c>
      <c r="AN147" s="191"/>
      <c r="AO147" s="191"/>
      <c r="AP147" s="191"/>
      <c r="AQ147" s="191"/>
      <c r="AR147" s="194" t="e">
        <f>AS147*$M$4</f>
        <v>#NAME?</v>
      </c>
      <c r="AS147" s="194" t="e">
        <f>AW147+BA147+BE147+BI147+BM147+BQ147+BU147+BY147</f>
        <v>#NAME?</v>
      </c>
      <c r="AT147" s="195" t="e">
        <v>#NAME?</v>
      </c>
      <c r="AU147" s="195" t="e">
        <v>#NAME?</v>
      </c>
      <c r="AV147" s="195" t="e">
        <v>#NAME?</v>
      </c>
      <c r="AW147" s="196" t="e">
        <f>SUM(AT147:AV147)</f>
        <v>#NAME?</v>
      </c>
      <c r="AX147" s="195" t="e">
        <v>#NAME?</v>
      </c>
      <c r="AY147" s="195" t="e">
        <v>#NAME?</v>
      </c>
      <c r="AZ147" s="195" t="e">
        <v>#NAME?</v>
      </c>
      <c r="BA147" s="196" t="e">
        <f>SUM(AX147:AZ147)</f>
        <v>#NAME?</v>
      </c>
      <c r="BB147" s="195" t="e">
        <v>#NAME?</v>
      </c>
      <c r="BC147" s="195" t="e">
        <v>#NAME?</v>
      </c>
      <c r="BD147" s="195" t="e">
        <v>#NAME?</v>
      </c>
      <c r="BE147" s="196" t="e">
        <f>SUM(BB147:BD147)</f>
        <v>#NAME?</v>
      </c>
      <c r="BF147" s="195" t="e">
        <v>#NAME?</v>
      </c>
      <c r="BG147" s="195" t="e">
        <v>#NAME?</v>
      </c>
      <c r="BH147" s="195" t="e">
        <v>#NAME?</v>
      </c>
      <c r="BI147" s="196" t="e">
        <f>SUM(BF147:BH147)</f>
        <v>#NAME?</v>
      </c>
      <c r="BJ147" s="195" t="e">
        <v>#NAME?</v>
      </c>
      <c r="BK147" s="195" t="e">
        <v>#NAME?</v>
      </c>
      <c r="BL147" s="195" t="e">
        <v>#NAME?</v>
      </c>
      <c r="BM147" s="196" t="e">
        <f>SUM(BJ147:BL147)</f>
        <v>#NAME?</v>
      </c>
      <c r="BN147" s="195" t="e">
        <v>#NAME?</v>
      </c>
      <c r="BO147" s="195" t="e">
        <v>#NAME?</v>
      </c>
      <c r="BP147" s="195" t="e">
        <v>#NAME?</v>
      </c>
      <c r="BQ147" s="196" t="e">
        <f>SUM(BM147:BP147)</f>
        <v>#NAME?</v>
      </c>
      <c r="BR147" s="195" t="e">
        <v>#NAME?</v>
      </c>
      <c r="BS147" s="195" t="e">
        <v>#NAME?</v>
      </c>
      <c r="BT147" s="195" t="e">
        <v>#NAME?</v>
      </c>
      <c r="BU147" s="196" t="e">
        <f>SUM(BQ147:BT147)</f>
        <v>#NAME?</v>
      </c>
      <c r="BV147" s="195" t="e">
        <v>#NAME?</v>
      </c>
      <c r="BW147" s="195" t="e">
        <v>#NAME?</v>
      </c>
      <c r="BX147" s="195" t="e">
        <v>#NAME?</v>
      </c>
      <c r="BY147" s="196" t="e">
        <f>SUM(BU147:BX147)</f>
        <v>#NAME?</v>
      </c>
    </row>
    <row r="148" spans="1:77" s="89" customFormat="1" ht="15.75">
      <c r="A148" s="171"/>
      <c r="B148" s="172"/>
      <c r="C148" s="172"/>
      <c r="D148" s="172"/>
      <c r="E148" s="172"/>
      <c r="F148" s="172"/>
      <c r="I148" s="173"/>
      <c r="J148" s="186" t="str">
        <f>CONCATENATE("Subtotal ",J146)</f>
        <v>Subtotal 5.3 Expenditure verification - Audit</v>
      </c>
      <c r="K148" s="363">
        <f>SUBTOTAL(9,K147:K147)</f>
        <v>5000</v>
      </c>
      <c r="L148" s="436">
        <f>SUBTOTAL(9,L147:L147)</f>
        <v>4500</v>
      </c>
      <c r="M148" s="399">
        <f>SUBTOTAL(9,M147:M147)</f>
        <v>3515.625</v>
      </c>
      <c r="N148" s="399" t="e">
        <f>SUBTOTAL(9,N147:N147)</f>
        <v>#NAME?</v>
      </c>
      <c r="O148" s="399" t="e">
        <f>SUBTOTAL(9,O147:O147)</f>
        <v>#NAME?</v>
      </c>
      <c r="P148" s="193"/>
      <c r="Q148" s="193"/>
      <c r="R148" s="225"/>
      <c r="S148" s="193"/>
      <c r="T148" s="193"/>
      <c r="U148" s="224"/>
      <c r="V148" s="224"/>
      <c r="W148" s="330">
        <f>SUBTOTAL(9,W147:W147)</f>
        <v>5000</v>
      </c>
      <c r="X148" s="193"/>
      <c r="Y148" s="301">
        <f>SUBTOTAL(9,Y147:Y147)</f>
        <v>5000</v>
      </c>
      <c r="Z148" s="193"/>
      <c r="AA148" s="223">
        <f>SUBTOTAL(9,AA147:AA147)</f>
        <v>3906.25</v>
      </c>
      <c r="AB148" s="193"/>
      <c r="AC148" s="193"/>
      <c r="AD148" s="225"/>
      <c r="AE148" s="193"/>
      <c r="AF148" s="193"/>
      <c r="AG148" s="224"/>
      <c r="AH148" s="224"/>
      <c r="AI148" s="242">
        <f>SUBTOTAL(9,AI147:AI147)</f>
        <v>15000</v>
      </c>
      <c r="AJ148" s="193"/>
      <c r="AK148" s="301">
        <f>SUBTOTAL(9,AK147:AK147)</f>
        <v>15000</v>
      </c>
      <c r="AL148" s="193"/>
      <c r="AM148" s="223">
        <f>SUBTOTAL(9,AM147:AM147)</f>
        <v>11718.75</v>
      </c>
      <c r="AN148" s="193"/>
      <c r="AO148" s="193"/>
      <c r="AP148" s="193"/>
      <c r="AQ148" s="193"/>
      <c r="AR148" s="224" t="e">
        <f aca="true" t="shared" si="78" ref="AR148:BF148">SUBTOTAL(9,AR147:AR147)</f>
        <v>#NAME?</v>
      </c>
      <c r="AS148" s="224" t="e">
        <f t="shared" si="78"/>
        <v>#NAME?</v>
      </c>
      <c r="AT148" s="224" t="e">
        <f t="shared" si="78"/>
        <v>#NAME?</v>
      </c>
      <c r="AU148" s="224" t="e">
        <f t="shared" si="78"/>
        <v>#NAME?</v>
      </c>
      <c r="AV148" s="224" t="e">
        <f t="shared" si="78"/>
        <v>#NAME?</v>
      </c>
      <c r="AW148" s="224" t="e">
        <f t="shared" si="78"/>
        <v>#NAME?</v>
      </c>
      <c r="AX148" s="224" t="e">
        <f t="shared" si="78"/>
        <v>#NAME?</v>
      </c>
      <c r="AY148" s="224" t="e">
        <f t="shared" si="78"/>
        <v>#NAME?</v>
      </c>
      <c r="AZ148" s="224" t="e">
        <f t="shared" si="78"/>
        <v>#NAME?</v>
      </c>
      <c r="BA148" s="224" t="e">
        <f t="shared" si="78"/>
        <v>#NAME?</v>
      </c>
      <c r="BB148" s="224" t="e">
        <f t="shared" si="78"/>
        <v>#NAME?</v>
      </c>
      <c r="BC148" s="224" t="e">
        <f t="shared" si="78"/>
        <v>#NAME?</v>
      </c>
      <c r="BD148" s="224" t="e">
        <f t="shared" si="78"/>
        <v>#NAME?</v>
      </c>
      <c r="BE148" s="224" t="e">
        <f t="shared" si="78"/>
        <v>#NAME?</v>
      </c>
      <c r="BF148" s="224" t="e">
        <f t="shared" si="78"/>
        <v>#NAME?</v>
      </c>
      <c r="BG148" s="224" t="e">
        <f aca="true" t="shared" si="79" ref="BG148:BY148">SUBTOTAL(9,BG147:BG147)</f>
        <v>#NAME?</v>
      </c>
      <c r="BH148" s="224" t="e">
        <f t="shared" si="79"/>
        <v>#NAME?</v>
      </c>
      <c r="BI148" s="224" t="e">
        <f t="shared" si="79"/>
        <v>#NAME?</v>
      </c>
      <c r="BJ148" s="224" t="e">
        <f t="shared" si="79"/>
        <v>#NAME?</v>
      </c>
      <c r="BK148" s="224" t="e">
        <f t="shared" si="79"/>
        <v>#NAME?</v>
      </c>
      <c r="BL148" s="224" t="e">
        <f t="shared" si="79"/>
        <v>#NAME?</v>
      </c>
      <c r="BM148" s="224" t="e">
        <f t="shared" si="79"/>
        <v>#NAME?</v>
      </c>
      <c r="BN148" s="224" t="e">
        <f t="shared" si="79"/>
        <v>#NAME?</v>
      </c>
      <c r="BO148" s="224" t="e">
        <f t="shared" si="79"/>
        <v>#NAME?</v>
      </c>
      <c r="BP148" s="224" t="e">
        <f t="shared" si="79"/>
        <v>#NAME?</v>
      </c>
      <c r="BQ148" s="224" t="e">
        <f t="shared" si="79"/>
        <v>#NAME?</v>
      </c>
      <c r="BR148" s="224" t="e">
        <f t="shared" si="79"/>
        <v>#NAME?</v>
      </c>
      <c r="BS148" s="224" t="e">
        <f t="shared" si="79"/>
        <v>#NAME?</v>
      </c>
      <c r="BT148" s="224" t="e">
        <f t="shared" si="79"/>
        <v>#NAME?</v>
      </c>
      <c r="BU148" s="224" t="e">
        <f t="shared" si="79"/>
        <v>#NAME?</v>
      </c>
      <c r="BV148" s="224" t="e">
        <f t="shared" si="79"/>
        <v>#NAME?</v>
      </c>
      <c r="BW148" s="224" t="e">
        <f t="shared" si="79"/>
        <v>#NAME?</v>
      </c>
      <c r="BX148" s="224" t="e">
        <f t="shared" si="79"/>
        <v>#NAME?</v>
      </c>
      <c r="BY148" s="224" t="e">
        <f t="shared" si="79"/>
        <v>#NAME?</v>
      </c>
    </row>
    <row r="149" spans="1:77" s="89" customFormat="1" ht="15.75">
      <c r="A149" s="171"/>
      <c r="B149" s="172"/>
      <c r="C149" s="172"/>
      <c r="D149" s="172"/>
      <c r="E149" s="172"/>
      <c r="F149" s="172"/>
      <c r="I149" s="173"/>
      <c r="J149" s="186"/>
      <c r="K149" s="363"/>
      <c r="L149" s="436"/>
      <c r="M149" s="399"/>
      <c r="N149" s="399"/>
      <c r="O149" s="399"/>
      <c r="P149" s="193"/>
      <c r="Q149" s="193"/>
      <c r="R149" s="225"/>
      <c r="S149" s="193"/>
      <c r="T149" s="193"/>
      <c r="U149" s="224"/>
      <c r="V149" s="224"/>
      <c r="W149" s="330"/>
      <c r="X149" s="193"/>
      <c r="Y149" s="301"/>
      <c r="Z149" s="193"/>
      <c r="AA149" s="223"/>
      <c r="AB149" s="193"/>
      <c r="AC149" s="193"/>
      <c r="AD149" s="225"/>
      <c r="AE149" s="193"/>
      <c r="AF149" s="193"/>
      <c r="AG149" s="224"/>
      <c r="AH149" s="224"/>
      <c r="AI149" s="242"/>
      <c r="AJ149" s="193"/>
      <c r="AK149" s="301"/>
      <c r="AL149" s="193"/>
      <c r="AM149" s="223"/>
      <c r="AN149" s="193"/>
      <c r="AO149" s="193"/>
      <c r="AP149" s="193"/>
      <c r="AQ149" s="193"/>
      <c r="AR149" s="224"/>
      <c r="AS149" s="224"/>
      <c r="AT149" s="224"/>
      <c r="AU149" s="224"/>
      <c r="AV149" s="224"/>
      <c r="AW149" s="224"/>
      <c r="AX149" s="224"/>
      <c r="AY149" s="224"/>
      <c r="AZ149" s="224"/>
      <c r="BA149" s="224"/>
      <c r="BB149" s="224"/>
      <c r="BC149" s="224"/>
      <c r="BD149" s="224"/>
      <c r="BE149" s="224"/>
      <c r="BF149" s="224"/>
      <c r="BG149" s="224"/>
      <c r="BH149" s="224"/>
      <c r="BI149" s="224"/>
      <c r="BJ149" s="224"/>
      <c r="BK149" s="224"/>
      <c r="BL149" s="224"/>
      <c r="BM149" s="224"/>
      <c r="BN149" s="224"/>
      <c r="BO149" s="224"/>
      <c r="BP149" s="224"/>
      <c r="BQ149" s="224"/>
      <c r="BR149" s="224"/>
      <c r="BS149" s="224"/>
      <c r="BT149" s="224"/>
      <c r="BU149" s="224"/>
      <c r="BV149" s="224"/>
      <c r="BW149" s="224"/>
      <c r="BX149" s="224"/>
      <c r="BY149" s="224"/>
    </row>
    <row r="150" spans="1:77" s="89" customFormat="1" ht="15.75">
      <c r="A150" s="171"/>
      <c r="B150" s="172"/>
      <c r="C150" s="172"/>
      <c r="D150" s="172"/>
      <c r="E150" s="172"/>
      <c r="F150" s="172"/>
      <c r="I150" s="173"/>
      <c r="J150" s="276" t="s">
        <v>138</v>
      </c>
      <c r="K150" s="363"/>
      <c r="L150" s="436"/>
      <c r="M150" s="399"/>
      <c r="N150" s="399"/>
      <c r="O150" s="399"/>
      <c r="P150" s="193"/>
      <c r="Q150" s="193"/>
      <c r="R150" s="225"/>
      <c r="S150" s="193"/>
      <c r="T150" s="193"/>
      <c r="U150" s="224"/>
      <c r="V150" s="224"/>
      <c r="W150" s="330"/>
      <c r="X150" s="193"/>
      <c r="Y150" s="301"/>
      <c r="Z150" s="193"/>
      <c r="AA150" s="223"/>
      <c r="AB150" s="193"/>
      <c r="AC150" s="193"/>
      <c r="AD150" s="225"/>
      <c r="AE150" s="193"/>
      <c r="AF150" s="193"/>
      <c r="AG150" s="224"/>
      <c r="AH150" s="224"/>
      <c r="AI150" s="242"/>
      <c r="AJ150" s="193"/>
      <c r="AK150" s="301"/>
      <c r="AL150" s="193"/>
      <c r="AM150" s="223"/>
      <c r="AN150" s="193"/>
      <c r="AO150" s="193"/>
      <c r="AP150" s="193"/>
      <c r="AQ150" s="193"/>
      <c r="AR150" s="224"/>
      <c r="AS150" s="224"/>
      <c r="AT150" s="224"/>
      <c r="AU150" s="224"/>
      <c r="AV150" s="224"/>
      <c r="AW150" s="224"/>
      <c r="AX150" s="224"/>
      <c r="AY150" s="224"/>
      <c r="AZ150" s="224"/>
      <c r="BA150" s="224"/>
      <c r="BB150" s="224"/>
      <c r="BC150" s="224"/>
      <c r="BD150" s="224"/>
      <c r="BE150" s="224"/>
      <c r="BF150" s="224"/>
      <c r="BG150" s="224"/>
      <c r="BH150" s="224"/>
      <c r="BI150" s="224"/>
      <c r="BJ150" s="224"/>
      <c r="BK150" s="224"/>
      <c r="BL150" s="224"/>
      <c r="BM150" s="224"/>
      <c r="BN150" s="224"/>
      <c r="BO150" s="224"/>
      <c r="BP150" s="224"/>
      <c r="BQ150" s="224"/>
      <c r="BR150" s="224"/>
      <c r="BS150" s="224"/>
      <c r="BT150" s="224"/>
      <c r="BU150" s="224"/>
      <c r="BV150" s="224"/>
      <c r="BW150" s="224"/>
      <c r="BX150" s="224"/>
      <c r="BY150" s="224"/>
    </row>
    <row r="151" spans="1:77" s="89" customFormat="1" ht="15.75">
      <c r="A151" s="124" t="s">
        <v>115</v>
      </c>
      <c r="B151" s="104"/>
      <c r="C151" s="104"/>
      <c r="D151" s="81"/>
      <c r="E151" s="105"/>
      <c r="F151" s="95"/>
      <c r="G151" s="82"/>
      <c r="H151" s="82"/>
      <c r="I151" s="166"/>
      <c r="J151" s="256" t="s">
        <v>236</v>
      </c>
      <c r="K151" s="329">
        <f>Y151</f>
        <v>9000</v>
      </c>
      <c r="L151" s="435">
        <f>K151*0.9</f>
        <v>8100</v>
      </c>
      <c r="M151" s="398">
        <f>L151/$M$4</f>
        <v>6328.125</v>
      </c>
      <c r="N151" s="398" t="e">
        <f aca="true" t="shared" si="80" ref="N151:O155">L151-AR151</f>
        <v>#NAME?</v>
      </c>
      <c r="O151" s="398" t="e">
        <f t="shared" si="80"/>
        <v>#NAME?</v>
      </c>
      <c r="P151" s="191"/>
      <c r="Q151" s="191"/>
      <c r="R151" s="192"/>
      <c r="S151" s="271" t="s">
        <v>241</v>
      </c>
      <c r="T151" s="262">
        <v>1</v>
      </c>
      <c r="U151" s="230">
        <v>9000</v>
      </c>
      <c r="V151" s="193"/>
      <c r="W151" s="329">
        <f>(T151*U151)</f>
        <v>9000</v>
      </c>
      <c r="X151" s="191"/>
      <c r="Y151" s="290">
        <f>W151</f>
        <v>9000</v>
      </c>
      <c r="Z151" s="191"/>
      <c r="AA151" s="190">
        <f>Y151/M$4</f>
        <v>7031.25</v>
      </c>
      <c r="AB151" s="191"/>
      <c r="AC151" s="191"/>
      <c r="AD151" s="192"/>
      <c r="AE151" s="271" t="s">
        <v>241</v>
      </c>
      <c r="AF151" s="262">
        <v>2</v>
      </c>
      <c r="AG151" s="230">
        <v>9000</v>
      </c>
      <c r="AH151" s="193"/>
      <c r="AI151" s="241">
        <f>(AF151*AG151)</f>
        <v>18000</v>
      </c>
      <c r="AJ151" s="191"/>
      <c r="AK151" s="290">
        <f>AI151</f>
        <v>18000</v>
      </c>
      <c r="AL151" s="191"/>
      <c r="AM151" s="190">
        <f>AK151/M$4</f>
        <v>14062.5</v>
      </c>
      <c r="AN151" s="191"/>
      <c r="AO151" s="191"/>
      <c r="AP151" s="191"/>
      <c r="AQ151" s="191"/>
      <c r="AR151" s="194" t="e">
        <f>AS151*$M$4</f>
        <v>#NAME?</v>
      </c>
      <c r="AS151" s="194" t="e">
        <f>AW151+BA151+BE151+BI151+BM151+BQ151+BU151+BY151</f>
        <v>#NAME?</v>
      </c>
      <c r="AT151" s="195" t="e">
        <v>#NAME?</v>
      </c>
      <c r="AU151" s="195" t="e">
        <v>#NAME?</v>
      </c>
      <c r="AV151" s="195" t="e">
        <v>#NAME?</v>
      </c>
      <c r="AW151" s="196" t="e">
        <f>SUM(AT151:AV151)</f>
        <v>#NAME?</v>
      </c>
      <c r="AX151" s="195" t="e">
        <v>#NAME?</v>
      </c>
      <c r="AY151" s="195" t="e">
        <v>#NAME?</v>
      </c>
      <c r="AZ151" s="195" t="e">
        <v>#NAME?</v>
      </c>
      <c r="BA151" s="196" t="e">
        <f>SUM(AX151:AZ151)</f>
        <v>#NAME?</v>
      </c>
      <c r="BB151" s="195" t="e">
        <v>#NAME?</v>
      </c>
      <c r="BC151" s="195" t="e">
        <v>#NAME?</v>
      </c>
      <c r="BD151" s="195" t="e">
        <v>#NAME?</v>
      </c>
      <c r="BE151" s="196" t="e">
        <f>SUM(BB151:BD151)</f>
        <v>#NAME?</v>
      </c>
      <c r="BF151" s="195" t="e">
        <v>#NAME?</v>
      </c>
      <c r="BG151" s="195" t="e">
        <v>#NAME?</v>
      </c>
      <c r="BH151" s="195" t="e">
        <v>#NAME?</v>
      </c>
      <c r="BI151" s="196" t="e">
        <f>SUM(BF151:BH151)</f>
        <v>#NAME?</v>
      </c>
      <c r="BJ151" s="195" t="e">
        <v>#NAME?</v>
      </c>
      <c r="BK151" s="195" t="e">
        <v>#NAME?</v>
      </c>
      <c r="BL151" s="195" t="e">
        <v>#NAME?</v>
      </c>
      <c r="BM151" s="196" t="e">
        <f>SUM(BJ151:BL151)</f>
        <v>#NAME?</v>
      </c>
      <c r="BN151" s="195" t="e">
        <v>#NAME?</v>
      </c>
      <c r="BO151" s="195" t="e">
        <v>#NAME?</v>
      </c>
      <c r="BP151" s="195" t="e">
        <v>#NAME?</v>
      </c>
      <c r="BQ151" s="196" t="e">
        <f>SUM(BM151:BP151)</f>
        <v>#NAME?</v>
      </c>
      <c r="BR151" s="195" t="e">
        <v>#NAME?</v>
      </c>
      <c r="BS151" s="195" t="e">
        <v>#NAME?</v>
      </c>
      <c r="BT151" s="195" t="e">
        <v>#NAME?</v>
      </c>
      <c r="BU151" s="196" t="e">
        <f>SUM(BQ151:BT151)</f>
        <v>#NAME?</v>
      </c>
      <c r="BV151" s="195" t="e">
        <v>#NAME?</v>
      </c>
      <c r="BW151" s="195" t="e">
        <v>#NAME?</v>
      </c>
      <c r="BX151" s="195" t="e">
        <v>#NAME?</v>
      </c>
      <c r="BY151" s="196" t="e">
        <f>SUM(BU151:BX151)</f>
        <v>#NAME?</v>
      </c>
    </row>
    <row r="152" spans="1:77" s="89" customFormat="1" ht="15.75">
      <c r="A152" s="124" t="s">
        <v>274</v>
      </c>
      <c r="B152" s="104"/>
      <c r="C152" s="104"/>
      <c r="D152" s="81"/>
      <c r="E152" s="105"/>
      <c r="F152" s="95"/>
      <c r="G152" s="82"/>
      <c r="H152" s="82"/>
      <c r="I152" s="166"/>
      <c r="J152" s="282" t="s">
        <v>242</v>
      </c>
      <c r="K152" s="329">
        <f>Y152</f>
        <v>0</v>
      </c>
      <c r="L152" s="435">
        <f>K152*0.9</f>
        <v>0</v>
      </c>
      <c r="M152" s="398">
        <f>L152/$M$4</f>
        <v>0</v>
      </c>
      <c r="N152" s="398" t="e">
        <f t="shared" si="80"/>
        <v>#NAME?</v>
      </c>
      <c r="O152" s="398" t="e">
        <f t="shared" si="80"/>
        <v>#NAME?</v>
      </c>
      <c r="P152" s="191"/>
      <c r="Q152" s="191"/>
      <c r="R152" s="192"/>
      <c r="S152" s="283" t="s">
        <v>186</v>
      </c>
      <c r="T152" s="262">
        <v>0</v>
      </c>
      <c r="U152" s="230">
        <v>600</v>
      </c>
      <c r="V152" s="193"/>
      <c r="W152" s="329">
        <f>(T152*U152)</f>
        <v>0</v>
      </c>
      <c r="X152" s="191"/>
      <c r="Y152" s="290">
        <f>W152</f>
        <v>0</v>
      </c>
      <c r="Z152" s="191"/>
      <c r="AA152" s="190">
        <f>Y152/M$4</f>
        <v>0</v>
      </c>
      <c r="AB152" s="191"/>
      <c r="AC152" s="191"/>
      <c r="AD152" s="192"/>
      <c r="AE152" s="283" t="s">
        <v>186</v>
      </c>
      <c r="AF152" s="262">
        <v>21</v>
      </c>
      <c r="AG152" s="230">
        <v>600</v>
      </c>
      <c r="AH152" s="193"/>
      <c r="AI152" s="241">
        <f>(AF152*AG152)</f>
        <v>12600</v>
      </c>
      <c r="AJ152" s="191"/>
      <c r="AK152" s="290">
        <f>AI152</f>
        <v>12600</v>
      </c>
      <c r="AL152" s="191"/>
      <c r="AM152" s="190">
        <f>AK152/M$4</f>
        <v>9843.75</v>
      </c>
      <c r="AN152" s="191"/>
      <c r="AO152" s="191"/>
      <c r="AP152" s="191"/>
      <c r="AQ152" s="191"/>
      <c r="AR152" s="194" t="e">
        <f>AS152*$M$4</f>
        <v>#NAME?</v>
      </c>
      <c r="AS152" s="194" t="e">
        <f>AW152+BA152+BE152+BI152+BM152+BQ152+BU152+BY152</f>
        <v>#NAME?</v>
      </c>
      <c r="AT152" s="195" t="e">
        <v>#NAME?</v>
      </c>
      <c r="AU152" s="195" t="e">
        <v>#NAME?</v>
      </c>
      <c r="AV152" s="195" t="e">
        <v>#NAME?</v>
      </c>
      <c r="AW152" s="196" t="e">
        <f>SUM(AT152:AV152)</f>
        <v>#NAME?</v>
      </c>
      <c r="AX152" s="195" t="e">
        <v>#NAME?</v>
      </c>
      <c r="AY152" s="195" t="e">
        <v>#NAME?</v>
      </c>
      <c r="AZ152" s="195" t="e">
        <v>#NAME?</v>
      </c>
      <c r="BA152" s="196" t="e">
        <f>SUM(AX152:AZ152)</f>
        <v>#NAME?</v>
      </c>
      <c r="BB152" s="195" t="e">
        <v>#NAME?</v>
      </c>
      <c r="BC152" s="195" t="e">
        <v>#NAME?</v>
      </c>
      <c r="BD152" s="195" t="e">
        <v>#NAME?</v>
      </c>
      <c r="BE152" s="196" t="e">
        <f>SUM(BB152:BD152)</f>
        <v>#NAME?</v>
      </c>
      <c r="BF152" s="195" t="e">
        <v>#NAME?</v>
      </c>
      <c r="BG152" s="195" t="e">
        <v>#NAME?</v>
      </c>
      <c r="BH152" s="195" t="e">
        <v>#NAME?</v>
      </c>
      <c r="BI152" s="196" t="e">
        <f>SUM(BF152:BH152)</f>
        <v>#NAME?</v>
      </c>
      <c r="BJ152" s="195" t="e">
        <v>#NAME?</v>
      </c>
      <c r="BK152" s="195" t="e">
        <v>#NAME?</v>
      </c>
      <c r="BL152" s="195" t="e">
        <v>#NAME?</v>
      </c>
      <c r="BM152" s="196" t="e">
        <f>SUM(BJ152:BL152)</f>
        <v>#NAME?</v>
      </c>
      <c r="BN152" s="195" t="e">
        <v>#NAME?</v>
      </c>
      <c r="BO152" s="195" t="e">
        <v>#NAME?</v>
      </c>
      <c r="BP152" s="195" t="e">
        <v>#NAME?</v>
      </c>
      <c r="BQ152" s="196" t="e">
        <f>SUM(BM152:BP152)</f>
        <v>#NAME?</v>
      </c>
      <c r="BR152" s="195" t="e">
        <v>#NAME?</v>
      </c>
      <c r="BS152" s="195" t="e">
        <v>#NAME?</v>
      </c>
      <c r="BT152" s="195" t="e">
        <v>#NAME?</v>
      </c>
      <c r="BU152" s="196" t="e">
        <f>SUM(BQ152:BT152)</f>
        <v>#NAME?</v>
      </c>
      <c r="BV152" s="195" t="e">
        <v>#NAME?</v>
      </c>
      <c r="BW152" s="195" t="e">
        <v>#NAME?</v>
      </c>
      <c r="BX152" s="195" t="e">
        <v>#NAME?</v>
      </c>
      <c r="BY152" s="196" t="e">
        <f>SUM(BU152:BX152)</f>
        <v>#NAME?</v>
      </c>
    </row>
    <row r="153" spans="1:77" s="89" customFormat="1" ht="15.75">
      <c r="A153" s="124" t="s">
        <v>275</v>
      </c>
      <c r="B153" s="104"/>
      <c r="C153" s="104"/>
      <c r="D153" s="81"/>
      <c r="E153" s="105"/>
      <c r="F153" s="95"/>
      <c r="G153" s="82"/>
      <c r="H153" s="82"/>
      <c r="I153" s="166"/>
      <c r="J153" s="282" t="s">
        <v>139</v>
      </c>
      <c r="K153" s="329">
        <f>Y153</f>
        <v>1500</v>
      </c>
      <c r="L153" s="435">
        <f>K153*0.9</f>
        <v>1350</v>
      </c>
      <c r="M153" s="398">
        <f>L153/$M$4</f>
        <v>1054.6875</v>
      </c>
      <c r="N153" s="398" t="e">
        <f t="shared" si="80"/>
        <v>#NAME?</v>
      </c>
      <c r="O153" s="398" t="e">
        <f t="shared" si="80"/>
        <v>#NAME?</v>
      </c>
      <c r="P153" s="191"/>
      <c r="Q153" s="191"/>
      <c r="R153" s="192"/>
      <c r="S153" s="283" t="s">
        <v>248</v>
      </c>
      <c r="T153" s="262">
        <v>5</v>
      </c>
      <c r="U153" s="273">
        <v>300</v>
      </c>
      <c r="V153" s="193"/>
      <c r="W153" s="329">
        <f>(T153*U153)</f>
        <v>1500</v>
      </c>
      <c r="X153" s="191"/>
      <c r="Y153" s="290">
        <f>W153</f>
        <v>1500</v>
      </c>
      <c r="Z153" s="191"/>
      <c r="AA153" s="190">
        <f>Y153/M$4</f>
        <v>1171.875</v>
      </c>
      <c r="AB153" s="191"/>
      <c r="AC153" s="191"/>
      <c r="AD153" s="192"/>
      <c r="AE153" s="283" t="s">
        <v>248</v>
      </c>
      <c r="AF153" s="272">
        <v>20</v>
      </c>
      <c r="AG153" s="273">
        <v>300</v>
      </c>
      <c r="AH153" s="193"/>
      <c r="AI153" s="241">
        <f>(AF153*AG153)</f>
        <v>6000</v>
      </c>
      <c r="AJ153" s="191"/>
      <c r="AK153" s="290">
        <f>AI153</f>
        <v>6000</v>
      </c>
      <c r="AL153" s="191"/>
      <c r="AM153" s="190">
        <f>AK153/M$4</f>
        <v>4687.5</v>
      </c>
      <c r="AN153" s="191"/>
      <c r="AO153" s="191"/>
      <c r="AP153" s="191"/>
      <c r="AQ153" s="191"/>
      <c r="AR153" s="194" t="e">
        <f>AS153*$M$4</f>
        <v>#NAME?</v>
      </c>
      <c r="AS153" s="194" t="e">
        <f>AW153+BA153+BE153+BI153+BM153+BQ153+BU153+BY153</f>
        <v>#NAME?</v>
      </c>
      <c r="AT153" s="195" t="e">
        <v>#NAME?</v>
      </c>
      <c r="AU153" s="195" t="e">
        <v>#NAME?</v>
      </c>
      <c r="AV153" s="195" t="e">
        <v>#NAME?</v>
      </c>
      <c r="AW153" s="196" t="e">
        <f>SUM(AT153:AV153)</f>
        <v>#NAME?</v>
      </c>
      <c r="AX153" s="195" t="e">
        <v>#NAME?</v>
      </c>
      <c r="AY153" s="195" t="e">
        <v>#NAME?</v>
      </c>
      <c r="AZ153" s="195" t="e">
        <v>#NAME?</v>
      </c>
      <c r="BA153" s="196" t="e">
        <f>SUM(AX153:AZ153)</f>
        <v>#NAME?</v>
      </c>
      <c r="BB153" s="195" t="e">
        <v>#NAME?</v>
      </c>
      <c r="BC153" s="195" t="e">
        <v>#NAME?</v>
      </c>
      <c r="BD153" s="195" t="e">
        <v>#NAME?</v>
      </c>
      <c r="BE153" s="196" t="e">
        <f>SUM(BB153:BD153)</f>
        <v>#NAME?</v>
      </c>
      <c r="BF153" s="195" t="e">
        <v>#NAME?</v>
      </c>
      <c r="BG153" s="195" t="e">
        <v>#NAME?</v>
      </c>
      <c r="BH153" s="195" t="e">
        <v>#NAME?</v>
      </c>
      <c r="BI153" s="196" t="e">
        <f>SUM(BF153:BH153)</f>
        <v>#NAME?</v>
      </c>
      <c r="BJ153" s="195" t="e">
        <v>#NAME?</v>
      </c>
      <c r="BK153" s="195" t="e">
        <v>#NAME?</v>
      </c>
      <c r="BL153" s="195" t="e">
        <v>#NAME?</v>
      </c>
      <c r="BM153" s="196" t="e">
        <f>SUM(BJ153:BL153)</f>
        <v>#NAME?</v>
      </c>
      <c r="BN153" s="195" t="e">
        <v>#NAME?</v>
      </c>
      <c r="BO153" s="195" t="e">
        <v>#NAME?</v>
      </c>
      <c r="BP153" s="195" t="e">
        <v>#NAME?</v>
      </c>
      <c r="BQ153" s="196" t="e">
        <f>SUM(BM153:BP153)</f>
        <v>#NAME?</v>
      </c>
      <c r="BR153" s="195" t="e">
        <v>#NAME?</v>
      </c>
      <c r="BS153" s="195" t="e">
        <v>#NAME?</v>
      </c>
      <c r="BT153" s="195" t="e">
        <v>#NAME?</v>
      </c>
      <c r="BU153" s="196" t="e">
        <f>SUM(BQ153:BT153)</f>
        <v>#NAME?</v>
      </c>
      <c r="BV153" s="195" t="e">
        <v>#NAME?</v>
      </c>
      <c r="BW153" s="195" t="e">
        <v>#NAME?</v>
      </c>
      <c r="BX153" s="195" t="e">
        <v>#NAME?</v>
      </c>
      <c r="BY153" s="196" t="e">
        <f>SUM(BU153:BX153)</f>
        <v>#NAME?</v>
      </c>
    </row>
    <row r="154" spans="1:77" s="89" customFormat="1" ht="15.75">
      <c r="A154" s="124" t="s">
        <v>276</v>
      </c>
      <c r="B154" s="104"/>
      <c r="C154" s="104"/>
      <c r="D154" s="81"/>
      <c r="E154" s="105"/>
      <c r="F154" s="95"/>
      <c r="G154" s="82"/>
      <c r="H154" s="82"/>
      <c r="I154" s="166"/>
      <c r="J154" s="282" t="s">
        <v>243</v>
      </c>
      <c r="K154" s="329">
        <f>Y154</f>
        <v>3480</v>
      </c>
      <c r="L154" s="435">
        <f>K154*0.9</f>
        <v>3132</v>
      </c>
      <c r="M154" s="398">
        <f>L154/$M$4</f>
        <v>2446.875</v>
      </c>
      <c r="N154" s="398" t="e">
        <f t="shared" si="80"/>
        <v>#NAME?</v>
      </c>
      <c r="O154" s="398" t="e">
        <f t="shared" si="80"/>
        <v>#NAME?</v>
      </c>
      <c r="P154" s="191"/>
      <c r="Q154" s="191"/>
      <c r="R154" s="192"/>
      <c r="S154" s="283" t="s">
        <v>249</v>
      </c>
      <c r="T154" s="272">
        <v>12</v>
      </c>
      <c r="U154" s="273">
        <v>290</v>
      </c>
      <c r="V154" s="193"/>
      <c r="W154" s="329">
        <f>(T154*U154)</f>
        <v>3480</v>
      </c>
      <c r="X154" s="191"/>
      <c r="Y154" s="290">
        <f>W154</f>
        <v>3480</v>
      </c>
      <c r="Z154" s="191"/>
      <c r="AA154" s="190">
        <f>Y154/M$4</f>
        <v>2718.75</v>
      </c>
      <c r="AB154" s="191"/>
      <c r="AC154" s="191"/>
      <c r="AD154" s="192"/>
      <c r="AE154" s="283" t="s">
        <v>249</v>
      </c>
      <c r="AF154" s="272">
        <v>36</v>
      </c>
      <c r="AG154" s="273">
        <v>290</v>
      </c>
      <c r="AH154" s="193"/>
      <c r="AI154" s="241">
        <f>(AF154*AG154)</f>
        <v>10440</v>
      </c>
      <c r="AJ154" s="191"/>
      <c r="AK154" s="290">
        <f>AI154</f>
        <v>10440</v>
      </c>
      <c r="AL154" s="191"/>
      <c r="AM154" s="190">
        <f>AK154/M$4</f>
        <v>8156.25</v>
      </c>
      <c r="AN154" s="191"/>
      <c r="AO154" s="191"/>
      <c r="AP154" s="191"/>
      <c r="AQ154" s="191"/>
      <c r="AR154" s="194" t="e">
        <f>AS154*$M$4</f>
        <v>#NAME?</v>
      </c>
      <c r="AS154" s="194" t="e">
        <f>AW154+BA154+BE154+BI154+BM154+BQ154+BU154+BY154</f>
        <v>#NAME?</v>
      </c>
      <c r="AT154" s="195" t="e">
        <v>#NAME?</v>
      </c>
      <c r="AU154" s="195" t="e">
        <v>#NAME?</v>
      </c>
      <c r="AV154" s="195" t="e">
        <v>#NAME?</v>
      </c>
      <c r="AW154" s="196" t="e">
        <f>SUM(AT154:AV154)</f>
        <v>#NAME?</v>
      </c>
      <c r="AX154" s="195" t="e">
        <v>#NAME?</v>
      </c>
      <c r="AY154" s="195" t="e">
        <v>#NAME?</v>
      </c>
      <c r="AZ154" s="195" t="e">
        <v>#NAME?</v>
      </c>
      <c r="BA154" s="196" t="e">
        <f>SUM(AX154:AZ154)</f>
        <v>#NAME?</v>
      </c>
      <c r="BB154" s="195" t="e">
        <v>#NAME?</v>
      </c>
      <c r="BC154" s="195" t="e">
        <v>#NAME?</v>
      </c>
      <c r="BD154" s="195" t="e">
        <v>#NAME?</v>
      </c>
      <c r="BE154" s="196" t="e">
        <f>SUM(BB154:BD154)</f>
        <v>#NAME?</v>
      </c>
      <c r="BF154" s="195" t="e">
        <v>#NAME?</v>
      </c>
      <c r="BG154" s="195" t="e">
        <v>#NAME?</v>
      </c>
      <c r="BH154" s="195" t="e">
        <v>#NAME?</v>
      </c>
      <c r="BI154" s="196" t="e">
        <f>SUM(BF154:BH154)</f>
        <v>#NAME?</v>
      </c>
      <c r="BJ154" s="195" t="e">
        <v>#NAME?</v>
      </c>
      <c r="BK154" s="195" t="e">
        <v>#NAME?</v>
      </c>
      <c r="BL154" s="195" t="e">
        <v>#NAME?</v>
      </c>
      <c r="BM154" s="196" t="e">
        <f>SUM(BJ154:BL154)</f>
        <v>#NAME?</v>
      </c>
      <c r="BN154" s="195" t="e">
        <v>#NAME?</v>
      </c>
      <c r="BO154" s="195" t="e">
        <v>#NAME?</v>
      </c>
      <c r="BP154" s="195" t="e">
        <v>#NAME?</v>
      </c>
      <c r="BQ154" s="196" t="e">
        <f>SUM(BM154:BP154)</f>
        <v>#NAME?</v>
      </c>
      <c r="BR154" s="195" t="e">
        <v>#NAME?</v>
      </c>
      <c r="BS154" s="195" t="e">
        <v>#NAME?</v>
      </c>
      <c r="BT154" s="195" t="e">
        <v>#NAME?</v>
      </c>
      <c r="BU154" s="196" t="e">
        <f>SUM(BQ154:BT154)</f>
        <v>#NAME?</v>
      </c>
      <c r="BV154" s="195" t="e">
        <v>#NAME?</v>
      </c>
      <c r="BW154" s="195" t="e">
        <v>#NAME?</v>
      </c>
      <c r="BX154" s="195" t="e">
        <v>#NAME?</v>
      </c>
      <c r="BY154" s="196" t="e">
        <f>SUM(BU154:BX154)</f>
        <v>#NAME?</v>
      </c>
    </row>
    <row r="155" spans="1:77" s="89" customFormat="1" ht="15.75">
      <c r="A155" s="124" t="s">
        <v>277</v>
      </c>
      <c r="B155" s="104"/>
      <c r="C155" s="104"/>
      <c r="D155" s="81"/>
      <c r="E155" s="105"/>
      <c r="F155" s="95"/>
      <c r="G155" s="82"/>
      <c r="H155" s="82"/>
      <c r="I155" s="166"/>
      <c r="J155" s="282" t="s">
        <v>244</v>
      </c>
      <c r="K155" s="329">
        <f>Y155</f>
        <v>1920</v>
      </c>
      <c r="L155" s="435">
        <f>K155*0.9</f>
        <v>1728</v>
      </c>
      <c r="M155" s="398">
        <f>L155/$M$4</f>
        <v>1350</v>
      </c>
      <c r="N155" s="398" t="e">
        <f t="shared" si="80"/>
        <v>#NAME?</v>
      </c>
      <c r="O155" s="398" t="e">
        <f t="shared" si="80"/>
        <v>#NAME?</v>
      </c>
      <c r="P155" s="191"/>
      <c r="Q155" s="191"/>
      <c r="R155" s="192"/>
      <c r="S155" s="283" t="s">
        <v>155</v>
      </c>
      <c r="T155" s="262">
        <v>12</v>
      </c>
      <c r="U155" s="230">
        <f>200*0.8</f>
        <v>160</v>
      </c>
      <c r="V155" s="193"/>
      <c r="W155" s="329">
        <f>(T155*U155)</f>
        <v>1920</v>
      </c>
      <c r="X155" s="191"/>
      <c r="Y155" s="290">
        <f>W155</f>
        <v>1920</v>
      </c>
      <c r="Z155" s="191"/>
      <c r="AA155" s="190">
        <f>Y155/M$4</f>
        <v>1500</v>
      </c>
      <c r="AB155" s="191"/>
      <c r="AC155" s="191"/>
      <c r="AD155" s="192"/>
      <c r="AE155" s="283" t="s">
        <v>155</v>
      </c>
      <c r="AF155" s="229">
        <v>36</v>
      </c>
      <c r="AG155" s="230">
        <f>200*0.8</f>
        <v>160</v>
      </c>
      <c r="AH155" s="193"/>
      <c r="AI155" s="241">
        <f>(AF155*AG155)</f>
        <v>5760</v>
      </c>
      <c r="AJ155" s="191"/>
      <c r="AK155" s="290">
        <f>AI155</f>
        <v>5760</v>
      </c>
      <c r="AL155" s="191"/>
      <c r="AM155" s="190">
        <f>AK155/M$4</f>
        <v>4500</v>
      </c>
      <c r="AN155" s="191"/>
      <c r="AO155" s="191"/>
      <c r="AP155" s="191"/>
      <c r="AQ155" s="191"/>
      <c r="AR155" s="194" t="e">
        <f>AS155*$M$4</f>
        <v>#NAME?</v>
      </c>
      <c r="AS155" s="194" t="e">
        <f>AW155+BA155+BE155+BI155+BM155+BQ155+BU155+BY155</f>
        <v>#NAME?</v>
      </c>
      <c r="AT155" s="195" t="e">
        <v>#NAME?</v>
      </c>
      <c r="AU155" s="195" t="e">
        <v>#NAME?</v>
      </c>
      <c r="AV155" s="195" t="e">
        <v>#NAME?</v>
      </c>
      <c r="AW155" s="196" t="e">
        <f>SUM(AT155:AV155)</f>
        <v>#NAME?</v>
      </c>
      <c r="AX155" s="195" t="e">
        <v>#NAME?</v>
      </c>
      <c r="AY155" s="195" t="e">
        <v>#NAME?</v>
      </c>
      <c r="AZ155" s="195" t="e">
        <v>#NAME?</v>
      </c>
      <c r="BA155" s="196" t="e">
        <f>SUM(AX155:AZ155)</f>
        <v>#NAME?</v>
      </c>
      <c r="BB155" s="195" t="e">
        <v>#NAME?</v>
      </c>
      <c r="BC155" s="195" t="e">
        <v>#NAME?</v>
      </c>
      <c r="BD155" s="195" t="e">
        <v>#NAME?</v>
      </c>
      <c r="BE155" s="196" t="e">
        <f>SUM(BB155:BD155)</f>
        <v>#NAME?</v>
      </c>
      <c r="BF155" s="195" t="e">
        <v>#NAME?</v>
      </c>
      <c r="BG155" s="195" t="e">
        <v>#NAME?</v>
      </c>
      <c r="BH155" s="195" t="e">
        <v>#NAME?</v>
      </c>
      <c r="BI155" s="196" t="e">
        <f>SUM(BF155:BH155)</f>
        <v>#NAME?</v>
      </c>
      <c r="BJ155" s="195" t="e">
        <v>#NAME?</v>
      </c>
      <c r="BK155" s="195" t="e">
        <v>#NAME?</v>
      </c>
      <c r="BL155" s="195" t="e">
        <v>#NAME?</v>
      </c>
      <c r="BM155" s="196" t="e">
        <f>SUM(BJ155:BL155)</f>
        <v>#NAME?</v>
      </c>
      <c r="BN155" s="195" t="e">
        <v>#NAME?</v>
      </c>
      <c r="BO155" s="195" t="e">
        <v>#NAME?</v>
      </c>
      <c r="BP155" s="195" t="e">
        <v>#NAME?</v>
      </c>
      <c r="BQ155" s="196" t="e">
        <f>SUM(BM155:BP155)</f>
        <v>#NAME?</v>
      </c>
      <c r="BR155" s="195" t="e">
        <v>#NAME?</v>
      </c>
      <c r="BS155" s="195" t="e">
        <v>#NAME?</v>
      </c>
      <c r="BT155" s="195" t="e">
        <v>#NAME?</v>
      </c>
      <c r="BU155" s="196" t="e">
        <f>SUM(BQ155:BT155)</f>
        <v>#NAME?</v>
      </c>
      <c r="BV155" s="195" t="e">
        <v>#NAME?</v>
      </c>
      <c r="BW155" s="195" t="e">
        <v>#NAME?</v>
      </c>
      <c r="BX155" s="195" t="e">
        <v>#NAME?</v>
      </c>
      <c r="BY155" s="196" t="e">
        <f>SUM(BU155:BX155)</f>
        <v>#NAME?</v>
      </c>
    </row>
    <row r="156" spans="1:77" s="89" customFormat="1" ht="15.75">
      <c r="A156" s="171"/>
      <c r="B156" s="172"/>
      <c r="C156" s="172"/>
      <c r="D156" s="172"/>
      <c r="E156" s="172"/>
      <c r="F156" s="172"/>
      <c r="I156" s="173"/>
      <c r="J156" s="279" t="s">
        <v>245</v>
      </c>
      <c r="K156" s="363"/>
      <c r="L156" s="436"/>
      <c r="M156" s="399"/>
      <c r="N156" s="399"/>
      <c r="O156" s="399"/>
      <c r="P156" s="193"/>
      <c r="Q156" s="193"/>
      <c r="R156" s="225"/>
      <c r="S156" s="193"/>
      <c r="T156" s="193"/>
      <c r="U156" s="224"/>
      <c r="V156" s="224"/>
      <c r="W156" s="330"/>
      <c r="X156" s="193"/>
      <c r="Y156" s="301"/>
      <c r="Z156" s="193"/>
      <c r="AA156" s="223"/>
      <c r="AB156" s="193"/>
      <c r="AC156" s="193"/>
      <c r="AD156" s="225"/>
      <c r="AE156" s="193"/>
      <c r="AF156" s="193"/>
      <c r="AG156" s="224"/>
      <c r="AH156" s="224"/>
      <c r="AI156" s="242"/>
      <c r="AJ156" s="193"/>
      <c r="AK156" s="301"/>
      <c r="AL156" s="193"/>
      <c r="AM156" s="223"/>
      <c r="AN156" s="193"/>
      <c r="AO156" s="193"/>
      <c r="AP156" s="193"/>
      <c r="AQ156" s="193"/>
      <c r="AR156" s="224"/>
      <c r="AS156" s="224"/>
      <c r="AT156" s="224"/>
      <c r="AU156" s="224"/>
      <c r="AV156" s="224"/>
      <c r="AW156" s="224"/>
      <c r="AX156" s="224"/>
      <c r="AY156" s="224"/>
      <c r="AZ156" s="224"/>
      <c r="BA156" s="224"/>
      <c r="BB156" s="224"/>
      <c r="BC156" s="224"/>
      <c r="BD156" s="224"/>
      <c r="BE156" s="224"/>
      <c r="BF156" s="224"/>
      <c r="BG156" s="224"/>
      <c r="BH156" s="224"/>
      <c r="BI156" s="224"/>
      <c r="BJ156" s="224"/>
      <c r="BK156" s="224"/>
      <c r="BL156" s="224"/>
      <c r="BM156" s="224"/>
      <c r="BN156" s="224"/>
      <c r="BO156" s="224"/>
      <c r="BP156" s="224"/>
      <c r="BQ156" s="224"/>
      <c r="BR156" s="224"/>
      <c r="BS156" s="224"/>
      <c r="BT156" s="224"/>
      <c r="BU156" s="224"/>
      <c r="BV156" s="224"/>
      <c r="BW156" s="224"/>
      <c r="BX156" s="224"/>
      <c r="BY156" s="224"/>
    </row>
    <row r="157" spans="1:77" s="89" customFormat="1" ht="15.75">
      <c r="A157" s="124" t="s">
        <v>278</v>
      </c>
      <c r="B157" s="104"/>
      <c r="C157" s="104"/>
      <c r="D157" s="81"/>
      <c r="E157" s="105"/>
      <c r="F157" s="95"/>
      <c r="G157" s="82"/>
      <c r="H157" s="82"/>
      <c r="I157" s="166"/>
      <c r="J157" s="256" t="s">
        <v>246</v>
      </c>
      <c r="K157" s="329">
        <f>Y157</f>
        <v>3000</v>
      </c>
      <c r="L157" s="435">
        <f>K157*0.9</f>
        <v>2700</v>
      </c>
      <c r="M157" s="398">
        <f>L157/$M$4</f>
        <v>2109.375</v>
      </c>
      <c r="N157" s="398" t="e">
        <f>L157-AR157</f>
        <v>#NAME?</v>
      </c>
      <c r="O157" s="398" t="e">
        <f>M157-AS157</f>
        <v>#NAME?</v>
      </c>
      <c r="P157" s="191"/>
      <c r="Q157" s="191"/>
      <c r="R157" s="192"/>
      <c r="S157" s="268" t="s">
        <v>224</v>
      </c>
      <c r="T157" s="280">
        <v>1</v>
      </c>
      <c r="U157" s="281">
        <v>3000</v>
      </c>
      <c r="V157" s="193"/>
      <c r="W157" s="329">
        <f>(T157*U157)</f>
        <v>3000</v>
      </c>
      <c r="X157" s="191"/>
      <c r="Y157" s="290">
        <f>W157</f>
        <v>3000</v>
      </c>
      <c r="Z157" s="191"/>
      <c r="AA157" s="190">
        <f>Y157/M$4</f>
        <v>2343.75</v>
      </c>
      <c r="AB157" s="191"/>
      <c r="AC157" s="191"/>
      <c r="AD157" s="192"/>
      <c r="AE157" s="268" t="s">
        <v>224</v>
      </c>
      <c r="AF157" s="280">
        <v>3</v>
      </c>
      <c r="AG157" s="281">
        <v>3000</v>
      </c>
      <c r="AH157" s="193"/>
      <c r="AI157" s="241">
        <f>(AF157*AG157)</f>
        <v>9000</v>
      </c>
      <c r="AJ157" s="191"/>
      <c r="AK157" s="290">
        <f>AI157</f>
        <v>9000</v>
      </c>
      <c r="AL157" s="191"/>
      <c r="AM157" s="190">
        <f>AK157/M$4</f>
        <v>7031.25</v>
      </c>
      <c r="AN157" s="191"/>
      <c r="AO157" s="191"/>
      <c r="AP157" s="191"/>
      <c r="AQ157" s="191"/>
      <c r="AR157" s="194" t="e">
        <f>AS157*$M$4</f>
        <v>#NAME?</v>
      </c>
      <c r="AS157" s="194" t="e">
        <f>AW157+BA157+BE157+BI157+BM157+BQ157+BU157+BY157</f>
        <v>#NAME?</v>
      </c>
      <c r="AT157" s="195" t="e">
        <v>#NAME?</v>
      </c>
      <c r="AU157" s="195" t="e">
        <v>#NAME?</v>
      </c>
      <c r="AV157" s="195" t="e">
        <v>#NAME?</v>
      </c>
      <c r="AW157" s="196" t="e">
        <f>SUM(AT157:AV157)</f>
        <v>#NAME?</v>
      </c>
      <c r="AX157" s="195" t="e">
        <v>#NAME?</v>
      </c>
      <c r="AY157" s="195" t="e">
        <v>#NAME?</v>
      </c>
      <c r="AZ157" s="195" t="e">
        <v>#NAME?</v>
      </c>
      <c r="BA157" s="196" t="e">
        <f>SUM(AX157:AZ157)</f>
        <v>#NAME?</v>
      </c>
      <c r="BB157" s="195" t="e">
        <v>#NAME?</v>
      </c>
      <c r="BC157" s="195" t="e">
        <v>#NAME?</v>
      </c>
      <c r="BD157" s="195" t="e">
        <v>#NAME?</v>
      </c>
      <c r="BE157" s="196" t="e">
        <f>SUM(BB157:BD157)</f>
        <v>#NAME?</v>
      </c>
      <c r="BF157" s="195" t="e">
        <v>#NAME?</v>
      </c>
      <c r="BG157" s="195" t="e">
        <v>#NAME?</v>
      </c>
      <c r="BH157" s="195" t="e">
        <v>#NAME?</v>
      </c>
      <c r="BI157" s="196" t="e">
        <f>SUM(BF157:BH157)</f>
        <v>#NAME?</v>
      </c>
      <c r="BJ157" s="195" t="e">
        <v>#NAME?</v>
      </c>
      <c r="BK157" s="195" t="e">
        <v>#NAME?</v>
      </c>
      <c r="BL157" s="195" t="e">
        <v>#NAME?</v>
      </c>
      <c r="BM157" s="196" t="e">
        <f>SUM(BJ157:BL157)</f>
        <v>#NAME?</v>
      </c>
      <c r="BN157" s="195" t="e">
        <v>#NAME?</v>
      </c>
      <c r="BO157" s="195" t="e">
        <v>#NAME?</v>
      </c>
      <c r="BP157" s="195" t="e">
        <v>#NAME?</v>
      </c>
      <c r="BQ157" s="196" t="e">
        <f>SUM(BM157:BP157)</f>
        <v>#NAME?</v>
      </c>
      <c r="BR157" s="195" t="e">
        <v>#NAME?</v>
      </c>
      <c r="BS157" s="195" t="e">
        <v>#NAME?</v>
      </c>
      <c r="BT157" s="195" t="e">
        <v>#NAME?</v>
      </c>
      <c r="BU157" s="196" t="e">
        <f>SUM(BQ157:BT157)</f>
        <v>#NAME?</v>
      </c>
      <c r="BV157" s="195" t="e">
        <v>#NAME?</v>
      </c>
      <c r="BW157" s="195" t="e">
        <v>#NAME?</v>
      </c>
      <c r="BX157" s="195" t="e">
        <v>#NAME?</v>
      </c>
      <c r="BY157" s="196" t="e">
        <f>SUM(BU157:BX157)</f>
        <v>#NAME?</v>
      </c>
    </row>
    <row r="158" spans="1:77" s="89" customFormat="1" ht="15.75">
      <c r="A158" s="124" t="s">
        <v>279</v>
      </c>
      <c r="B158" s="104"/>
      <c r="C158" s="104"/>
      <c r="D158" s="81"/>
      <c r="E158" s="105"/>
      <c r="F158" s="95"/>
      <c r="G158" s="82"/>
      <c r="H158" s="82"/>
      <c r="I158" s="166"/>
      <c r="J158" s="256" t="s">
        <v>247</v>
      </c>
      <c r="K158" s="329">
        <f>Y158</f>
        <v>1000</v>
      </c>
      <c r="L158" s="435">
        <f>K158*0.9</f>
        <v>900</v>
      </c>
      <c r="M158" s="398">
        <f>L158/$M$4</f>
        <v>703.125</v>
      </c>
      <c r="N158" s="398" t="e">
        <f>L158-AR158</f>
        <v>#NAME?</v>
      </c>
      <c r="O158" s="398" t="e">
        <f>M158-AS158</f>
        <v>#NAME?</v>
      </c>
      <c r="P158" s="191"/>
      <c r="Q158" s="191"/>
      <c r="R158" s="192"/>
      <c r="S158" s="268" t="s">
        <v>224</v>
      </c>
      <c r="T158" s="280">
        <v>1</v>
      </c>
      <c r="U158" s="281">
        <v>1000</v>
      </c>
      <c r="V158" s="193"/>
      <c r="W158" s="329">
        <f>(T158*U158)</f>
        <v>1000</v>
      </c>
      <c r="X158" s="191"/>
      <c r="Y158" s="290">
        <f>W158</f>
        <v>1000</v>
      </c>
      <c r="Z158" s="191"/>
      <c r="AA158" s="190">
        <f>Y158/M$4</f>
        <v>781.25</v>
      </c>
      <c r="AB158" s="191"/>
      <c r="AC158" s="191"/>
      <c r="AD158" s="192"/>
      <c r="AE158" s="268" t="s">
        <v>224</v>
      </c>
      <c r="AF158" s="280">
        <v>3</v>
      </c>
      <c r="AG158" s="281">
        <v>1000</v>
      </c>
      <c r="AH158" s="193"/>
      <c r="AI158" s="241">
        <f>(AF158*AG158)</f>
        <v>3000</v>
      </c>
      <c r="AJ158" s="191"/>
      <c r="AK158" s="290">
        <f>AI158</f>
        <v>3000</v>
      </c>
      <c r="AL158" s="191"/>
      <c r="AM158" s="190">
        <f>AK158/M$4</f>
        <v>2343.75</v>
      </c>
      <c r="AN158" s="191"/>
      <c r="AO158" s="191"/>
      <c r="AP158" s="191"/>
      <c r="AQ158" s="191"/>
      <c r="AR158" s="194" t="e">
        <f>AS158*$M$4</f>
        <v>#NAME?</v>
      </c>
      <c r="AS158" s="194" t="e">
        <f>AW158+BA158+BE158+BI158+BM158+BQ158+BU158+BY158</f>
        <v>#NAME?</v>
      </c>
      <c r="AT158" s="195" t="e">
        <v>#NAME?</v>
      </c>
      <c r="AU158" s="195" t="e">
        <v>#NAME?</v>
      </c>
      <c r="AV158" s="195" t="e">
        <v>#NAME?</v>
      </c>
      <c r="AW158" s="196" t="e">
        <f>SUM(AT158:AV158)</f>
        <v>#NAME?</v>
      </c>
      <c r="AX158" s="195" t="e">
        <v>#NAME?</v>
      </c>
      <c r="AY158" s="195" t="e">
        <v>#NAME?</v>
      </c>
      <c r="AZ158" s="195" t="e">
        <v>#NAME?</v>
      </c>
      <c r="BA158" s="196" t="e">
        <f>SUM(AX158:AZ158)</f>
        <v>#NAME?</v>
      </c>
      <c r="BB158" s="195" t="e">
        <v>#NAME?</v>
      </c>
      <c r="BC158" s="195" t="e">
        <v>#NAME?</v>
      </c>
      <c r="BD158" s="195" t="e">
        <v>#NAME?</v>
      </c>
      <c r="BE158" s="196" t="e">
        <f>SUM(BB158:BD158)</f>
        <v>#NAME?</v>
      </c>
      <c r="BF158" s="195" t="e">
        <v>#NAME?</v>
      </c>
      <c r="BG158" s="195" t="e">
        <v>#NAME?</v>
      </c>
      <c r="BH158" s="195" t="e">
        <v>#NAME?</v>
      </c>
      <c r="BI158" s="196" t="e">
        <f>SUM(BF158:BH158)</f>
        <v>#NAME?</v>
      </c>
      <c r="BJ158" s="195" t="e">
        <v>#NAME?</v>
      </c>
      <c r="BK158" s="195" t="e">
        <v>#NAME?</v>
      </c>
      <c r="BL158" s="195" t="e">
        <v>#NAME?</v>
      </c>
      <c r="BM158" s="196" t="e">
        <f>SUM(BJ158:BL158)</f>
        <v>#NAME?</v>
      </c>
      <c r="BN158" s="195" t="e">
        <v>#NAME?</v>
      </c>
      <c r="BO158" s="195" t="e">
        <v>#NAME?</v>
      </c>
      <c r="BP158" s="195" t="e">
        <v>#NAME?</v>
      </c>
      <c r="BQ158" s="196" t="e">
        <f>SUM(BM158:BP158)</f>
        <v>#NAME?</v>
      </c>
      <c r="BR158" s="195" t="e">
        <v>#NAME?</v>
      </c>
      <c r="BS158" s="195" t="e">
        <v>#NAME?</v>
      </c>
      <c r="BT158" s="195" t="e">
        <v>#NAME?</v>
      </c>
      <c r="BU158" s="196" t="e">
        <f>SUM(BQ158:BT158)</f>
        <v>#NAME?</v>
      </c>
      <c r="BV158" s="195" t="e">
        <v>#NAME?</v>
      </c>
      <c r="BW158" s="195" t="e">
        <v>#NAME?</v>
      </c>
      <c r="BX158" s="195" t="e">
        <v>#NAME?</v>
      </c>
      <c r="BY158" s="196" t="e">
        <f>SUM(BU158:BX158)</f>
        <v>#NAME?</v>
      </c>
    </row>
    <row r="159" spans="1:77" s="89" customFormat="1" ht="15.75">
      <c r="A159" s="171"/>
      <c r="B159" s="172"/>
      <c r="C159" s="172"/>
      <c r="D159" s="172"/>
      <c r="E159" s="172"/>
      <c r="F159" s="172"/>
      <c r="I159" s="173"/>
      <c r="J159" s="186" t="str">
        <f>CONCATENATE("Subtotal ",J150)</f>
        <v>Subtotal 5.4 Evaluation costs</v>
      </c>
      <c r="K159" s="363">
        <f>SUBTOTAL(9,K150:K151)</f>
        <v>9000</v>
      </c>
      <c r="L159" s="436">
        <f>SUBTOTAL(9,L150:L151)</f>
        <v>8100</v>
      </c>
      <c r="M159" s="399">
        <f>SUBTOTAL(9,M150:M151)</f>
        <v>6328.125</v>
      </c>
      <c r="N159" s="399" t="e">
        <f>SUBTOTAL(9,N150:N151)</f>
        <v>#NAME?</v>
      </c>
      <c r="O159" s="399" t="e">
        <f>SUBTOTAL(9,O150:O151)</f>
        <v>#NAME?</v>
      </c>
      <c r="P159" s="193"/>
      <c r="Q159" s="193"/>
      <c r="R159" s="225"/>
      <c r="S159" s="193"/>
      <c r="T159" s="193"/>
      <c r="U159" s="224"/>
      <c r="V159" s="224"/>
      <c r="W159" s="330">
        <f>SUBTOTAL(9,W150:W158)</f>
        <v>19900</v>
      </c>
      <c r="X159" s="193"/>
      <c r="Y159" s="301">
        <f>SUBTOTAL(9,Y150:Y151)</f>
        <v>9000</v>
      </c>
      <c r="Z159" s="193"/>
      <c r="AA159" s="223">
        <f>SUBTOTAL(9,AA150:AA151)</f>
        <v>7031.25</v>
      </c>
      <c r="AB159" s="193"/>
      <c r="AC159" s="193"/>
      <c r="AD159" s="225"/>
      <c r="AE159" s="193"/>
      <c r="AF159" s="193"/>
      <c r="AG159" s="224"/>
      <c r="AH159" s="224"/>
      <c r="AI159" s="242">
        <f>SUBTOTAL(9,AI150:AI158)</f>
        <v>64800</v>
      </c>
      <c r="AJ159" s="193"/>
      <c r="AK159" s="301">
        <f>SUBTOTAL(9,AK150:AK151)</f>
        <v>18000</v>
      </c>
      <c r="AL159" s="193"/>
      <c r="AM159" s="223">
        <f>SUBTOTAL(9,AM150:AM151)</f>
        <v>14062.5</v>
      </c>
      <c r="AN159" s="193"/>
      <c r="AO159" s="193"/>
      <c r="AP159" s="193"/>
      <c r="AQ159" s="193"/>
      <c r="AR159" s="224" t="e">
        <f aca="true" t="shared" si="81" ref="AR159:BF159">SUBTOTAL(9,AR150:AR151)</f>
        <v>#NAME?</v>
      </c>
      <c r="AS159" s="224" t="e">
        <f t="shared" si="81"/>
        <v>#NAME?</v>
      </c>
      <c r="AT159" s="224" t="e">
        <f t="shared" si="81"/>
        <v>#NAME?</v>
      </c>
      <c r="AU159" s="224" t="e">
        <f t="shared" si="81"/>
        <v>#NAME?</v>
      </c>
      <c r="AV159" s="224" t="e">
        <f t="shared" si="81"/>
        <v>#NAME?</v>
      </c>
      <c r="AW159" s="224" t="e">
        <f t="shared" si="81"/>
        <v>#NAME?</v>
      </c>
      <c r="AX159" s="224" t="e">
        <f t="shared" si="81"/>
        <v>#NAME?</v>
      </c>
      <c r="AY159" s="224" t="e">
        <f t="shared" si="81"/>
        <v>#NAME?</v>
      </c>
      <c r="AZ159" s="224" t="e">
        <f t="shared" si="81"/>
        <v>#NAME?</v>
      </c>
      <c r="BA159" s="224" t="e">
        <f t="shared" si="81"/>
        <v>#NAME?</v>
      </c>
      <c r="BB159" s="224" t="e">
        <f t="shared" si="81"/>
        <v>#NAME?</v>
      </c>
      <c r="BC159" s="224" t="e">
        <f t="shared" si="81"/>
        <v>#NAME?</v>
      </c>
      <c r="BD159" s="224" t="e">
        <f t="shared" si="81"/>
        <v>#NAME?</v>
      </c>
      <c r="BE159" s="224" t="e">
        <f t="shared" si="81"/>
        <v>#NAME?</v>
      </c>
      <c r="BF159" s="224" t="e">
        <f t="shared" si="81"/>
        <v>#NAME?</v>
      </c>
      <c r="BG159" s="224" t="e">
        <f aca="true" t="shared" si="82" ref="BG159:BY159">SUBTOTAL(9,BG150:BG151)</f>
        <v>#NAME?</v>
      </c>
      <c r="BH159" s="224" t="e">
        <f t="shared" si="82"/>
        <v>#NAME?</v>
      </c>
      <c r="BI159" s="224" t="e">
        <f t="shared" si="82"/>
        <v>#NAME?</v>
      </c>
      <c r="BJ159" s="224" t="e">
        <f t="shared" si="82"/>
        <v>#NAME?</v>
      </c>
      <c r="BK159" s="224" t="e">
        <f t="shared" si="82"/>
        <v>#NAME?</v>
      </c>
      <c r="BL159" s="224" t="e">
        <f t="shared" si="82"/>
        <v>#NAME?</v>
      </c>
      <c r="BM159" s="224" t="e">
        <f t="shared" si="82"/>
        <v>#NAME?</v>
      </c>
      <c r="BN159" s="224" t="e">
        <f t="shared" si="82"/>
        <v>#NAME?</v>
      </c>
      <c r="BO159" s="224" t="e">
        <f t="shared" si="82"/>
        <v>#NAME?</v>
      </c>
      <c r="BP159" s="224" t="e">
        <f t="shared" si="82"/>
        <v>#NAME?</v>
      </c>
      <c r="BQ159" s="224" t="e">
        <f t="shared" si="82"/>
        <v>#NAME?</v>
      </c>
      <c r="BR159" s="224" t="e">
        <f t="shared" si="82"/>
        <v>#NAME?</v>
      </c>
      <c r="BS159" s="224" t="e">
        <f t="shared" si="82"/>
        <v>#NAME?</v>
      </c>
      <c r="BT159" s="224" t="e">
        <f t="shared" si="82"/>
        <v>#NAME?</v>
      </c>
      <c r="BU159" s="224" t="e">
        <f t="shared" si="82"/>
        <v>#NAME?</v>
      </c>
      <c r="BV159" s="224" t="e">
        <f t="shared" si="82"/>
        <v>#NAME?</v>
      </c>
      <c r="BW159" s="224" t="e">
        <f t="shared" si="82"/>
        <v>#NAME?</v>
      </c>
      <c r="BX159" s="224" t="e">
        <f t="shared" si="82"/>
        <v>#NAME?</v>
      </c>
      <c r="BY159" s="224" t="e">
        <f t="shared" si="82"/>
        <v>#NAME?</v>
      </c>
    </row>
    <row r="160" spans="1:77" s="89" customFormat="1" ht="15.75">
      <c r="A160" s="171"/>
      <c r="B160" s="172"/>
      <c r="C160" s="172"/>
      <c r="D160" s="172"/>
      <c r="E160" s="172"/>
      <c r="F160" s="172"/>
      <c r="I160" s="173"/>
      <c r="J160" s="186"/>
      <c r="K160" s="363"/>
      <c r="L160" s="436"/>
      <c r="M160" s="399"/>
      <c r="N160" s="399"/>
      <c r="O160" s="399"/>
      <c r="P160" s="193"/>
      <c r="Q160" s="193"/>
      <c r="R160" s="225"/>
      <c r="S160" s="193"/>
      <c r="T160" s="193"/>
      <c r="U160" s="224"/>
      <c r="V160" s="224"/>
      <c r="W160" s="330"/>
      <c r="X160" s="193"/>
      <c r="Y160" s="301"/>
      <c r="Z160" s="193"/>
      <c r="AA160" s="223"/>
      <c r="AB160" s="193"/>
      <c r="AC160" s="193"/>
      <c r="AD160" s="225"/>
      <c r="AE160" s="193"/>
      <c r="AF160" s="193"/>
      <c r="AG160" s="224"/>
      <c r="AH160" s="224"/>
      <c r="AI160" s="242"/>
      <c r="AJ160" s="193"/>
      <c r="AK160" s="301"/>
      <c r="AL160" s="193"/>
      <c r="AM160" s="223"/>
      <c r="AN160" s="193"/>
      <c r="AO160" s="193"/>
      <c r="AP160" s="193"/>
      <c r="AQ160" s="193"/>
      <c r="AR160" s="224"/>
      <c r="AS160" s="224"/>
      <c r="AT160" s="224"/>
      <c r="AU160" s="224"/>
      <c r="AV160" s="224"/>
      <c r="AW160" s="224"/>
      <c r="AX160" s="224"/>
      <c r="AY160" s="224"/>
      <c r="AZ160" s="224"/>
      <c r="BA160" s="224"/>
      <c r="BB160" s="224"/>
      <c r="BC160" s="224"/>
      <c r="BD160" s="224"/>
      <c r="BE160" s="224"/>
      <c r="BF160" s="224"/>
      <c r="BG160" s="224"/>
      <c r="BH160" s="224"/>
      <c r="BI160" s="224"/>
      <c r="BJ160" s="224"/>
      <c r="BK160" s="224"/>
      <c r="BL160" s="224"/>
      <c r="BM160" s="224"/>
      <c r="BN160" s="224"/>
      <c r="BO160" s="224"/>
      <c r="BP160" s="224"/>
      <c r="BQ160" s="224"/>
      <c r="BR160" s="224"/>
      <c r="BS160" s="224"/>
      <c r="BT160" s="224"/>
      <c r="BU160" s="224"/>
      <c r="BV160" s="224"/>
      <c r="BW160" s="224"/>
      <c r="BX160" s="224"/>
      <c r="BY160" s="224"/>
    </row>
    <row r="161" spans="1:77" s="86" customFormat="1" ht="26.25" customHeight="1">
      <c r="A161" s="79"/>
      <c r="B161" s="106"/>
      <c r="C161" s="106"/>
      <c r="D161" s="95"/>
      <c r="E161" s="106"/>
      <c r="F161" s="95"/>
      <c r="G161" s="82"/>
      <c r="H161" s="82"/>
      <c r="I161" s="168"/>
      <c r="J161" s="187" t="str">
        <f>CONCATENATE("Total ",J133)</f>
        <v>Total 5. Other costs</v>
      </c>
      <c r="K161" s="365">
        <f>SUBTOTAL(9,K135:K159)</f>
        <v>31140</v>
      </c>
      <c r="L161" s="439">
        <f>SUBTOTAL(9,L135:L159)</f>
        <v>28026</v>
      </c>
      <c r="M161" s="403">
        <f>SUBTOTAL(9,M135:M159)</f>
        <v>21895.3125</v>
      </c>
      <c r="N161" s="404" t="e">
        <f>SUBTOTAL(9,N135:N135)</f>
        <v>#NAME?</v>
      </c>
      <c r="O161" s="404" t="e">
        <f>SUBTOTAL(9,O135:O135)</f>
        <v>#NAME?</v>
      </c>
      <c r="P161" s="191"/>
      <c r="Q161" s="191"/>
      <c r="R161" s="198"/>
      <c r="S161" s="198"/>
      <c r="T161" s="199"/>
      <c r="U161" s="200"/>
      <c r="V161" s="200"/>
      <c r="W161" s="333">
        <f>SUBTOTAL(9,W135:W159)</f>
        <v>31140</v>
      </c>
      <c r="X161" s="191"/>
      <c r="Y161" s="310">
        <f>SUBTOTAL(9,Y135:Y135)</f>
        <v>6240</v>
      </c>
      <c r="Z161" s="191"/>
      <c r="AA161" s="197">
        <f>SUBTOTAL(9,AA135:AA135)</f>
        <v>4875</v>
      </c>
      <c r="AB161" s="191"/>
      <c r="AC161" s="191"/>
      <c r="AD161" s="198"/>
      <c r="AE161" s="198"/>
      <c r="AF161" s="199"/>
      <c r="AG161" s="200"/>
      <c r="AH161" s="200"/>
      <c r="AI161" s="243">
        <f>SUBTOTAL(9,AI135:AI159)</f>
        <v>108640</v>
      </c>
      <c r="AJ161" s="191"/>
      <c r="AK161" s="310">
        <f>SUBTOTAL(9,AK135:AK135)</f>
        <v>12480</v>
      </c>
      <c r="AL161" s="191"/>
      <c r="AM161" s="197">
        <f>SUBTOTAL(9,AM135:AM135)</f>
        <v>9750</v>
      </c>
      <c r="AN161" s="191"/>
      <c r="AO161" s="191"/>
      <c r="AP161" s="191"/>
      <c r="AQ161" s="191"/>
      <c r="AR161" s="201" t="e">
        <f>SUBTOTAL(9,AR135:AR135)</f>
        <v>#NAME?</v>
      </c>
      <c r="AS161" s="201" t="e">
        <f>SUBTOTAL(9,AS135:AS135)</f>
        <v>#NAME?</v>
      </c>
      <c r="AT161" s="201">
        <v>0</v>
      </c>
      <c r="AU161" s="201">
        <v>0</v>
      </c>
      <c r="AV161" s="201">
        <v>0</v>
      </c>
      <c r="AW161" s="201">
        <v>0</v>
      </c>
      <c r="AX161" s="201">
        <v>0</v>
      </c>
      <c r="AY161" s="201">
        <v>0</v>
      </c>
      <c r="AZ161" s="201">
        <v>0</v>
      </c>
      <c r="BA161" s="201">
        <v>0</v>
      </c>
      <c r="BB161" s="201">
        <v>0</v>
      </c>
      <c r="BC161" s="201">
        <v>0</v>
      </c>
      <c r="BD161" s="201">
        <v>1033.19</v>
      </c>
      <c r="BE161" s="201">
        <v>0</v>
      </c>
      <c r="BF161" s="201">
        <v>0</v>
      </c>
      <c r="BG161" s="201">
        <v>0</v>
      </c>
      <c r="BH161" s="201">
        <v>0</v>
      </c>
      <c r="BI161" s="201">
        <v>0</v>
      </c>
      <c r="BJ161" s="201">
        <v>0</v>
      </c>
      <c r="BK161" s="201">
        <v>0</v>
      </c>
      <c r="BL161" s="201">
        <v>0</v>
      </c>
      <c r="BM161" s="201">
        <v>0</v>
      </c>
      <c r="BN161" s="201">
        <v>0</v>
      </c>
      <c r="BO161" s="201">
        <v>0</v>
      </c>
      <c r="BP161" s="201">
        <v>0</v>
      </c>
      <c r="BQ161" s="201">
        <v>0</v>
      </c>
      <c r="BR161" s="201">
        <v>0</v>
      </c>
      <c r="BS161" s="201">
        <v>0</v>
      </c>
      <c r="BT161" s="201">
        <v>0</v>
      </c>
      <c r="BU161" s="201">
        <v>0</v>
      </c>
      <c r="BV161" s="201">
        <v>0</v>
      </c>
      <c r="BW161" s="201">
        <v>0</v>
      </c>
      <c r="BX161" s="201">
        <v>0</v>
      </c>
      <c r="BY161" s="201">
        <v>0</v>
      </c>
    </row>
    <row r="162" spans="1:77" s="86" customFormat="1" ht="15.75">
      <c r="A162" s="79"/>
      <c r="B162" s="102" t="s">
        <v>42</v>
      </c>
      <c r="C162" s="102"/>
      <c r="D162" s="95"/>
      <c r="E162" s="80" t="s">
        <v>46</v>
      </c>
      <c r="F162" s="95"/>
      <c r="G162" s="82"/>
      <c r="H162" s="82"/>
      <c r="I162" s="149"/>
      <c r="J162" s="184" t="str">
        <f>CONCATENATE("Subtotal ",J132)</f>
        <v>Subtotal OTHER COSTS, SERVICES</v>
      </c>
      <c r="K162" s="337">
        <f>SUBTOTAL(9,K135:K161)</f>
        <v>31140</v>
      </c>
      <c r="L162" s="440">
        <f>SUBTOTAL(9,L135:L161)</f>
        <v>28026</v>
      </c>
      <c r="M162" s="405">
        <f>SUBTOTAL(9,M135:M161)</f>
        <v>21895.3125</v>
      </c>
      <c r="N162" s="405" t="e">
        <f>SUBTOTAL(9,N135:N161)</f>
        <v>#NAME?</v>
      </c>
      <c r="O162" s="405" t="e">
        <f>SUBTOTAL(9,O135:O161)</f>
        <v>#NAME?</v>
      </c>
      <c r="P162" s="191"/>
      <c r="Q162" s="191"/>
      <c r="R162" s="207"/>
      <c r="S162" s="207"/>
      <c r="T162" s="221"/>
      <c r="U162" s="221"/>
      <c r="V162" s="221"/>
      <c r="W162" s="334">
        <f>SUBTOTAL(9,W135:W161)</f>
        <v>31140</v>
      </c>
      <c r="X162" s="191"/>
      <c r="Y162" s="305">
        <f>SUBTOTAL(9,Y135:Y161)</f>
        <v>31140</v>
      </c>
      <c r="Z162" s="191"/>
      <c r="AA162" s="205">
        <f>SUBTOTAL(9,AA135:AA161)</f>
        <v>24328.125</v>
      </c>
      <c r="AB162" s="191"/>
      <c r="AC162" s="191"/>
      <c r="AD162" s="207"/>
      <c r="AE162" s="207"/>
      <c r="AF162" s="221"/>
      <c r="AG162" s="221"/>
      <c r="AH162" s="221"/>
      <c r="AI162" s="246">
        <f>SUBTOTAL(9,AI135:AI161)</f>
        <v>108640</v>
      </c>
      <c r="AJ162" s="191"/>
      <c r="AK162" s="305">
        <f>SUBTOTAL(9,AK135:AK161)</f>
        <v>108640</v>
      </c>
      <c r="AL162" s="191"/>
      <c r="AM162" s="205">
        <f>SUBTOTAL(9,AM135:AM161)</f>
        <v>84875</v>
      </c>
      <c r="AN162" s="191"/>
      <c r="AO162" s="191"/>
      <c r="AP162" s="191"/>
      <c r="AQ162" s="191"/>
      <c r="AR162" s="209" t="e">
        <f>SUBTOTAL(9,AR135:AR161)</f>
        <v>#NAME?</v>
      </c>
      <c r="AS162" s="209" t="e">
        <f>SUBTOTAL(9,AS135:AS161)</f>
        <v>#NAME?</v>
      </c>
      <c r="AT162" s="209">
        <v>0</v>
      </c>
      <c r="AU162" s="209">
        <v>0</v>
      </c>
      <c r="AV162" s="209">
        <v>0</v>
      </c>
      <c r="AW162" s="209">
        <v>0</v>
      </c>
      <c r="AX162" s="209">
        <v>0</v>
      </c>
      <c r="AY162" s="209">
        <v>0</v>
      </c>
      <c r="AZ162" s="209">
        <v>0</v>
      </c>
      <c r="BA162" s="209">
        <v>0</v>
      </c>
      <c r="BB162" s="209">
        <v>0</v>
      </c>
      <c r="BC162" s="209">
        <v>0</v>
      </c>
      <c r="BD162" s="209">
        <v>1040.3300000000002</v>
      </c>
      <c r="BE162" s="209">
        <v>0</v>
      </c>
      <c r="BF162" s="209">
        <v>24.64</v>
      </c>
      <c r="BG162" s="209">
        <v>0</v>
      </c>
      <c r="BH162" s="209">
        <v>24.64</v>
      </c>
      <c r="BI162" s="209">
        <v>0</v>
      </c>
      <c r="BJ162" s="209">
        <v>24.64</v>
      </c>
      <c r="BK162" s="209">
        <v>24.64</v>
      </c>
      <c r="BL162" s="209">
        <v>24.64</v>
      </c>
      <c r="BM162" s="209">
        <v>0</v>
      </c>
      <c r="BN162" s="209">
        <v>24.64</v>
      </c>
      <c r="BO162" s="209">
        <v>24.64</v>
      </c>
      <c r="BP162" s="209">
        <v>24.64</v>
      </c>
      <c r="BQ162" s="209">
        <v>0</v>
      </c>
      <c r="BR162" s="209">
        <v>24.64</v>
      </c>
      <c r="BS162" s="209">
        <v>24.64</v>
      </c>
      <c r="BT162" s="209">
        <v>24.64</v>
      </c>
      <c r="BU162" s="209">
        <v>0</v>
      </c>
      <c r="BV162" s="209">
        <v>24.64</v>
      </c>
      <c r="BW162" s="209">
        <v>24.64</v>
      </c>
      <c r="BX162" s="209">
        <v>24.64</v>
      </c>
      <c r="BY162" s="209">
        <v>0</v>
      </c>
    </row>
    <row r="163" spans="1:77" s="86" customFormat="1" ht="15">
      <c r="A163" s="79"/>
      <c r="B163" s="98"/>
      <c r="C163" s="98"/>
      <c r="D163" s="95"/>
      <c r="E163" s="98"/>
      <c r="F163" s="95"/>
      <c r="G163" s="82"/>
      <c r="H163" s="82"/>
      <c r="I163" s="150"/>
      <c r="J163" s="131"/>
      <c r="K163" s="331"/>
      <c r="L163" s="437"/>
      <c r="M163" s="400"/>
      <c r="N163" s="400"/>
      <c r="O163" s="400"/>
      <c r="P163" s="191"/>
      <c r="Q163" s="191"/>
      <c r="R163" s="191"/>
      <c r="S163" s="191"/>
      <c r="T163" s="191"/>
      <c r="U163" s="191"/>
      <c r="V163" s="191"/>
      <c r="W163" s="331"/>
      <c r="X163" s="191"/>
      <c r="Y163" s="302"/>
      <c r="Z163" s="191"/>
      <c r="AA163" s="202"/>
      <c r="AB163" s="191"/>
      <c r="AC163" s="191"/>
      <c r="AD163" s="191"/>
      <c r="AE163" s="191"/>
      <c r="AF163" s="191"/>
      <c r="AG163" s="191"/>
      <c r="AH163" s="191"/>
      <c r="AI163" s="244"/>
      <c r="AJ163" s="191"/>
      <c r="AK163" s="302"/>
      <c r="AL163" s="191"/>
      <c r="AM163" s="202"/>
      <c r="AN163" s="191"/>
      <c r="AO163" s="191"/>
      <c r="AP163" s="191"/>
      <c r="AQ163" s="191"/>
      <c r="AR163" s="191"/>
      <c r="AS163" s="191"/>
      <c r="AT163" s="191"/>
      <c r="AU163" s="191"/>
      <c r="AV163" s="191"/>
      <c r="AW163" s="191"/>
      <c r="AX163" s="191"/>
      <c r="AY163" s="191"/>
      <c r="AZ163" s="191"/>
      <c r="BA163" s="191"/>
      <c r="BB163" s="191"/>
      <c r="BC163" s="191"/>
      <c r="BD163" s="191"/>
      <c r="BE163" s="191"/>
      <c r="BF163" s="191"/>
      <c r="BG163" s="191"/>
      <c r="BH163" s="191"/>
      <c r="BI163" s="191"/>
      <c r="BJ163" s="191"/>
      <c r="BK163" s="191"/>
      <c r="BL163" s="191"/>
      <c r="BM163" s="191"/>
      <c r="BN163" s="191"/>
      <c r="BO163" s="191"/>
      <c r="BP163" s="191"/>
      <c r="BQ163" s="191"/>
      <c r="BR163" s="191"/>
      <c r="BS163" s="191"/>
      <c r="BT163" s="191"/>
      <c r="BU163" s="191"/>
      <c r="BV163" s="191"/>
      <c r="BW163" s="191"/>
      <c r="BX163" s="191"/>
      <c r="BY163" s="191"/>
    </row>
    <row r="164" spans="1:77" s="86" customFormat="1" ht="15.75">
      <c r="A164" s="79"/>
      <c r="B164" s="80" t="s">
        <v>43</v>
      </c>
      <c r="C164" s="80" t="s">
        <v>44</v>
      </c>
      <c r="D164" s="95"/>
      <c r="E164" s="80" t="s">
        <v>44</v>
      </c>
      <c r="F164" s="95"/>
      <c r="G164" s="82"/>
      <c r="H164" s="82"/>
      <c r="I164" s="149" t="s">
        <v>5</v>
      </c>
      <c r="J164" s="184" t="s">
        <v>120</v>
      </c>
      <c r="K164" s="369"/>
      <c r="L164" s="444"/>
      <c r="M164" s="410"/>
      <c r="N164" s="410"/>
      <c r="O164" s="410"/>
      <c r="P164" s="191"/>
      <c r="Q164" s="191"/>
      <c r="R164" s="207"/>
      <c r="S164" s="208"/>
      <c r="T164" s="208"/>
      <c r="U164" s="208"/>
      <c r="V164" s="208"/>
      <c r="W164" s="338"/>
      <c r="X164" s="191"/>
      <c r="Y164" s="309"/>
      <c r="Z164" s="191"/>
      <c r="AA164" s="218"/>
      <c r="AB164" s="191"/>
      <c r="AC164" s="191"/>
      <c r="AD164" s="207"/>
      <c r="AE164" s="208"/>
      <c r="AF164" s="208"/>
      <c r="AG164" s="208"/>
      <c r="AH164" s="208"/>
      <c r="AI164" s="250"/>
      <c r="AJ164" s="191"/>
      <c r="AK164" s="309"/>
      <c r="AL164" s="191"/>
      <c r="AM164" s="218"/>
      <c r="AN164" s="191"/>
      <c r="AO164" s="191"/>
      <c r="AP164" s="191"/>
      <c r="AQ164" s="191"/>
      <c r="AR164" s="219"/>
      <c r="AS164" s="219"/>
      <c r="AT164" s="219"/>
      <c r="AU164" s="219"/>
      <c r="AV164" s="219"/>
      <c r="AW164" s="219"/>
      <c r="AX164" s="219"/>
      <c r="AY164" s="219"/>
      <c r="AZ164" s="219"/>
      <c r="BA164" s="219"/>
      <c r="BB164" s="219"/>
      <c r="BC164" s="219"/>
      <c r="BD164" s="219"/>
      <c r="BE164" s="219"/>
      <c r="BF164" s="219"/>
      <c r="BG164" s="219"/>
      <c r="BH164" s="219"/>
      <c r="BI164" s="219"/>
      <c r="BJ164" s="219"/>
      <c r="BK164" s="219"/>
      <c r="BL164" s="219"/>
      <c r="BM164" s="219"/>
      <c r="BN164" s="219"/>
      <c r="BO164" s="219"/>
      <c r="BP164" s="219"/>
      <c r="BQ164" s="219"/>
      <c r="BR164" s="219"/>
      <c r="BS164" s="219"/>
      <c r="BT164" s="219"/>
      <c r="BU164" s="219"/>
      <c r="BV164" s="219"/>
      <c r="BW164" s="219"/>
      <c r="BX164" s="219"/>
      <c r="BY164" s="219"/>
    </row>
    <row r="165" spans="1:77" s="86" customFormat="1" ht="22.5" customHeight="1">
      <c r="A165" s="79"/>
      <c r="B165" s="87"/>
      <c r="C165" s="87"/>
      <c r="D165" s="81"/>
      <c r="E165" s="88"/>
      <c r="F165" s="81"/>
      <c r="G165" s="82"/>
      <c r="H165" s="82"/>
      <c r="I165" s="123" t="s">
        <v>19</v>
      </c>
      <c r="J165" s="183" t="s">
        <v>137</v>
      </c>
      <c r="K165" s="370"/>
      <c r="L165" s="445"/>
      <c r="M165" s="411"/>
      <c r="N165" s="409"/>
      <c r="O165" s="409"/>
      <c r="P165" s="191"/>
      <c r="Q165" s="191"/>
      <c r="R165" s="198"/>
      <c r="S165" s="200"/>
      <c r="T165" s="200"/>
      <c r="U165" s="200"/>
      <c r="V165" s="200"/>
      <c r="W165" s="339"/>
      <c r="X165" s="191"/>
      <c r="Y165" s="308"/>
      <c r="Z165" s="191"/>
      <c r="AA165" s="215" t="str">
        <f>$M$28</f>
        <v>GBP</v>
      </c>
      <c r="AB165" s="191"/>
      <c r="AC165" s="191"/>
      <c r="AD165" s="198"/>
      <c r="AE165" s="200"/>
      <c r="AF165" s="200"/>
      <c r="AG165" s="200"/>
      <c r="AH165" s="200"/>
      <c r="AI165" s="251"/>
      <c r="AJ165" s="191"/>
      <c r="AK165" s="308" t="e">
        <f>#REF!</f>
        <v>#REF!</v>
      </c>
      <c r="AL165" s="191"/>
      <c r="AM165" s="215" t="str">
        <f>$M$28</f>
        <v>GBP</v>
      </c>
      <c r="AN165" s="191"/>
      <c r="AO165" s="191"/>
      <c r="AP165" s="191"/>
      <c r="AQ165" s="191"/>
      <c r="AR165" s="217"/>
      <c r="AS165" s="217"/>
      <c r="AT165" s="217"/>
      <c r="AU165" s="217"/>
      <c r="AV165" s="217"/>
      <c r="AW165" s="217"/>
      <c r="AX165" s="217"/>
      <c r="AY165" s="217"/>
      <c r="AZ165" s="217"/>
      <c r="BA165" s="217"/>
      <c r="BB165" s="217"/>
      <c r="BC165" s="217"/>
      <c r="BD165" s="217"/>
      <c r="BE165" s="217"/>
      <c r="BF165" s="217"/>
      <c r="BG165" s="217"/>
      <c r="BH165" s="217"/>
      <c r="BI165" s="217"/>
      <c r="BJ165" s="217"/>
      <c r="BK165" s="217"/>
      <c r="BL165" s="217"/>
      <c r="BM165" s="217"/>
      <c r="BN165" s="217"/>
      <c r="BO165" s="217"/>
      <c r="BP165" s="217"/>
      <c r="BQ165" s="217"/>
      <c r="BR165" s="217"/>
      <c r="BS165" s="217"/>
      <c r="BT165" s="217"/>
      <c r="BU165" s="217"/>
      <c r="BV165" s="217"/>
      <c r="BW165" s="217"/>
      <c r="BX165" s="217"/>
      <c r="BY165" s="217"/>
    </row>
    <row r="166" spans="1:77" s="89" customFormat="1" ht="15.75">
      <c r="A166" s="180"/>
      <c r="B166" s="181"/>
      <c r="C166" s="181"/>
      <c r="D166" s="181"/>
      <c r="E166" s="181"/>
      <c r="F166" s="181"/>
      <c r="G166" s="182"/>
      <c r="H166" s="182"/>
      <c r="I166" s="173"/>
      <c r="J166" s="186"/>
      <c r="K166" s="363"/>
      <c r="L166" s="436"/>
      <c r="M166" s="399"/>
      <c r="N166" s="399"/>
      <c r="O166" s="399"/>
      <c r="P166" s="193"/>
      <c r="Q166" s="193"/>
      <c r="R166" s="225"/>
      <c r="S166" s="193"/>
      <c r="T166" s="193"/>
      <c r="U166" s="224"/>
      <c r="V166" s="224"/>
      <c r="W166" s="330"/>
      <c r="X166" s="193"/>
      <c r="Y166" s="301"/>
      <c r="Z166" s="193"/>
      <c r="AA166" s="223"/>
      <c r="AB166" s="193"/>
      <c r="AC166" s="193"/>
      <c r="AD166" s="225"/>
      <c r="AE166" s="193"/>
      <c r="AF166" s="193"/>
      <c r="AG166" s="224"/>
      <c r="AH166" s="224"/>
      <c r="AI166" s="242"/>
      <c r="AJ166" s="193"/>
      <c r="AK166" s="301"/>
      <c r="AL166" s="193"/>
      <c r="AM166" s="223"/>
      <c r="AN166" s="193"/>
      <c r="AO166" s="193"/>
      <c r="AP166" s="193"/>
      <c r="AQ166" s="193"/>
      <c r="AR166" s="224"/>
      <c r="AS166" s="224"/>
      <c r="AT166" s="224"/>
      <c r="AU166" s="224"/>
      <c r="AV166" s="224"/>
      <c r="AW166" s="224"/>
      <c r="AX166" s="224"/>
      <c r="AY166" s="224"/>
      <c r="AZ166" s="224"/>
      <c r="BA166" s="224"/>
      <c r="BB166" s="224"/>
      <c r="BC166" s="224"/>
      <c r="BD166" s="224"/>
      <c r="BE166" s="224"/>
      <c r="BF166" s="224"/>
      <c r="BG166" s="224"/>
      <c r="BH166" s="224"/>
      <c r="BI166" s="224"/>
      <c r="BJ166" s="224"/>
      <c r="BK166" s="224"/>
      <c r="BL166" s="224"/>
      <c r="BM166" s="224"/>
      <c r="BN166" s="224"/>
      <c r="BO166" s="224"/>
      <c r="BP166" s="224"/>
      <c r="BQ166" s="224"/>
      <c r="BR166" s="224"/>
      <c r="BS166" s="224"/>
      <c r="BT166" s="224"/>
      <c r="BU166" s="224"/>
      <c r="BV166" s="224"/>
      <c r="BW166" s="224"/>
      <c r="BX166" s="224"/>
      <c r="BY166" s="224"/>
    </row>
    <row r="167" spans="1:77" s="89" customFormat="1" ht="25.5">
      <c r="A167" s="171"/>
      <c r="B167" s="172"/>
      <c r="C167" s="172"/>
      <c r="D167" s="172"/>
      <c r="E167" s="172"/>
      <c r="F167" s="172"/>
      <c r="I167" s="173"/>
      <c r="J167" s="284" t="s">
        <v>250</v>
      </c>
      <c r="K167" s="363"/>
      <c r="L167" s="436"/>
      <c r="M167" s="399"/>
      <c r="N167" s="399"/>
      <c r="O167" s="399"/>
      <c r="P167" s="193"/>
      <c r="Q167" s="193"/>
      <c r="R167" s="225"/>
      <c r="S167" s="193"/>
      <c r="T167" s="193"/>
      <c r="U167" s="224"/>
      <c r="V167" s="224"/>
      <c r="W167" s="330"/>
      <c r="X167" s="193"/>
      <c r="Y167" s="301"/>
      <c r="Z167" s="193"/>
      <c r="AA167" s="223"/>
      <c r="AB167" s="193"/>
      <c r="AC167" s="193"/>
      <c r="AD167" s="225"/>
      <c r="AE167" s="193"/>
      <c r="AF167" s="193"/>
      <c r="AG167" s="224"/>
      <c r="AH167" s="224"/>
      <c r="AI167" s="242"/>
      <c r="AJ167" s="193"/>
      <c r="AK167" s="301"/>
      <c r="AL167" s="193"/>
      <c r="AM167" s="223"/>
      <c r="AN167" s="193"/>
      <c r="AO167" s="193"/>
      <c r="AP167" s="193"/>
      <c r="AQ167" s="193"/>
      <c r="AR167" s="224"/>
      <c r="AS167" s="224"/>
      <c r="AT167" s="224"/>
      <c r="AU167" s="224"/>
      <c r="AV167" s="224"/>
      <c r="AW167" s="224"/>
      <c r="AX167" s="224"/>
      <c r="AY167" s="224"/>
      <c r="AZ167" s="224"/>
      <c r="BA167" s="224"/>
      <c r="BB167" s="224"/>
      <c r="BC167" s="224"/>
      <c r="BD167" s="224"/>
      <c r="BE167" s="224"/>
      <c r="BF167" s="224"/>
      <c r="BG167" s="224"/>
      <c r="BH167" s="224"/>
      <c r="BI167" s="224"/>
      <c r="BJ167" s="224"/>
      <c r="BK167" s="224"/>
      <c r="BL167" s="224"/>
      <c r="BM167" s="224"/>
      <c r="BN167" s="224"/>
      <c r="BO167" s="224"/>
      <c r="BP167" s="224"/>
      <c r="BQ167" s="224"/>
      <c r="BR167" s="224"/>
      <c r="BS167" s="224"/>
      <c r="BT167" s="224"/>
      <c r="BU167" s="224"/>
      <c r="BV167" s="224"/>
      <c r="BW167" s="224"/>
      <c r="BX167" s="224"/>
      <c r="BY167" s="224"/>
    </row>
    <row r="168" spans="1:77" s="89" customFormat="1" ht="25.5">
      <c r="A168" s="124" t="s">
        <v>280</v>
      </c>
      <c r="B168" s="124"/>
      <c r="C168" s="124"/>
      <c r="D168" s="124"/>
      <c r="E168" s="124"/>
      <c r="F168" s="124"/>
      <c r="G168" s="124"/>
      <c r="H168" s="124"/>
      <c r="I168" s="166"/>
      <c r="J168" s="278" t="s">
        <v>251</v>
      </c>
      <c r="K168" s="329">
        <f>Y168</f>
        <v>21000</v>
      </c>
      <c r="L168" s="435">
        <f>K168*0.9</f>
        <v>18900</v>
      </c>
      <c r="M168" s="398">
        <f>L168/$M$4</f>
        <v>14765.625</v>
      </c>
      <c r="N168" s="398" t="e">
        <f aca="true" t="shared" si="83" ref="N168:O172">L168-AR168</f>
        <v>#NAME?</v>
      </c>
      <c r="O168" s="398" t="e">
        <f t="shared" si="83"/>
        <v>#NAME?</v>
      </c>
      <c r="P168" s="191"/>
      <c r="Q168" s="191"/>
      <c r="R168" s="192"/>
      <c r="S168" s="268" t="s">
        <v>270</v>
      </c>
      <c r="T168" s="280">
        <v>35</v>
      </c>
      <c r="U168" s="281">
        <v>600</v>
      </c>
      <c r="V168" s="193"/>
      <c r="W168" s="329">
        <f>(T168*U168)</f>
        <v>21000</v>
      </c>
      <c r="X168" s="191"/>
      <c r="Y168" s="290">
        <f>W168</f>
        <v>21000</v>
      </c>
      <c r="Z168" s="191"/>
      <c r="AA168" s="190">
        <f>Y168/M$4</f>
        <v>16406.25</v>
      </c>
      <c r="AB168" s="191"/>
      <c r="AC168" s="191"/>
      <c r="AD168" s="192"/>
      <c r="AE168" s="268" t="s">
        <v>270</v>
      </c>
      <c r="AF168" s="280">
        <v>35</v>
      </c>
      <c r="AG168" s="281">
        <v>600</v>
      </c>
      <c r="AH168" s="193"/>
      <c r="AI168" s="241">
        <f>(AF168*AG168)</f>
        <v>21000</v>
      </c>
      <c r="AJ168" s="191"/>
      <c r="AK168" s="290">
        <f>AI168</f>
        <v>21000</v>
      </c>
      <c r="AL168" s="191"/>
      <c r="AM168" s="190">
        <f>AK168/M$4</f>
        <v>16406.25</v>
      </c>
      <c r="AN168" s="191"/>
      <c r="AO168" s="191"/>
      <c r="AP168" s="191"/>
      <c r="AQ168" s="191"/>
      <c r="AR168" s="194" t="e">
        <f>AS168*$M$4</f>
        <v>#NAME?</v>
      </c>
      <c r="AS168" s="194" t="e">
        <f>AW168+BA168+BE168+BI168+BM168+BQ168+BU168+BY168</f>
        <v>#NAME?</v>
      </c>
      <c r="AT168" s="195" t="e">
        <v>#NAME?</v>
      </c>
      <c r="AU168" s="195" t="e">
        <v>#NAME?</v>
      </c>
      <c r="AV168" s="195" t="e">
        <v>#NAME?</v>
      </c>
      <c r="AW168" s="196" t="e">
        <f>SUM(AT168:AV168)</f>
        <v>#NAME?</v>
      </c>
      <c r="AX168" s="195" t="e">
        <v>#NAME?</v>
      </c>
      <c r="AY168" s="195" t="e">
        <v>#NAME?</v>
      </c>
      <c r="AZ168" s="195" t="e">
        <v>#NAME?</v>
      </c>
      <c r="BA168" s="196" t="e">
        <f>SUM(AX168:AZ168)</f>
        <v>#NAME?</v>
      </c>
      <c r="BB168" s="195" t="e">
        <v>#NAME?</v>
      </c>
      <c r="BC168" s="195" t="e">
        <v>#NAME?</v>
      </c>
      <c r="BD168" s="195" t="e">
        <v>#NAME?</v>
      </c>
      <c r="BE168" s="196" t="e">
        <f>SUM(BB168:BD168)</f>
        <v>#NAME?</v>
      </c>
      <c r="BF168" s="195" t="e">
        <v>#NAME?</v>
      </c>
      <c r="BG168" s="195" t="e">
        <v>#NAME?</v>
      </c>
      <c r="BH168" s="195" t="e">
        <v>#NAME?</v>
      </c>
      <c r="BI168" s="196" t="e">
        <f>SUM(BF168:BH168)</f>
        <v>#NAME?</v>
      </c>
      <c r="BJ168" s="195" t="e">
        <v>#NAME?</v>
      </c>
      <c r="BK168" s="195" t="e">
        <v>#NAME?</v>
      </c>
      <c r="BL168" s="195" t="e">
        <v>#NAME?</v>
      </c>
      <c r="BM168" s="196" t="e">
        <f>SUM(BJ168:BL168)</f>
        <v>#NAME?</v>
      </c>
      <c r="BN168" s="195" t="e">
        <v>#NAME?</v>
      </c>
      <c r="BO168" s="195" t="e">
        <v>#NAME?</v>
      </c>
      <c r="BP168" s="195" t="e">
        <v>#NAME?</v>
      </c>
      <c r="BQ168" s="196" t="e">
        <f>SUM(BM168:BP168)</f>
        <v>#NAME?</v>
      </c>
      <c r="BR168" s="195" t="e">
        <v>#NAME?</v>
      </c>
      <c r="BS168" s="195" t="e">
        <v>#NAME?</v>
      </c>
      <c r="BT168" s="195" t="e">
        <v>#NAME?</v>
      </c>
      <c r="BU168" s="196" t="e">
        <f>SUM(BQ168:BT168)</f>
        <v>#NAME?</v>
      </c>
      <c r="BV168" s="195" t="e">
        <v>#NAME?</v>
      </c>
      <c r="BW168" s="195" t="e">
        <v>#NAME?</v>
      </c>
      <c r="BX168" s="195" t="e">
        <v>#NAME?</v>
      </c>
      <c r="BY168" s="196" t="e">
        <f>SUM(BU168:BX168)</f>
        <v>#NAME?</v>
      </c>
    </row>
    <row r="169" spans="1:77" s="89" customFormat="1" ht="15.75">
      <c r="A169" s="124" t="s">
        <v>281</v>
      </c>
      <c r="B169" s="124"/>
      <c r="C169" s="124"/>
      <c r="D169" s="124"/>
      <c r="E169" s="124"/>
      <c r="F169" s="124"/>
      <c r="G169" s="124"/>
      <c r="H169" s="124"/>
      <c r="I169" s="166"/>
      <c r="J169" s="278" t="s">
        <v>252</v>
      </c>
      <c r="K169" s="329">
        <f>Y169</f>
        <v>0</v>
      </c>
      <c r="L169" s="435">
        <f>K169*0.9</f>
        <v>0</v>
      </c>
      <c r="M169" s="398">
        <f>L169/$M$4</f>
        <v>0</v>
      </c>
      <c r="N169" s="398" t="e">
        <f t="shared" si="83"/>
        <v>#NAME?</v>
      </c>
      <c r="O169" s="398" t="e">
        <f t="shared" si="83"/>
        <v>#NAME?</v>
      </c>
      <c r="P169" s="191"/>
      <c r="Q169" s="191"/>
      <c r="R169" s="192"/>
      <c r="S169" s="268"/>
      <c r="T169" s="280"/>
      <c r="U169" s="281"/>
      <c r="V169" s="193"/>
      <c r="W169" s="329">
        <f>(T169*U169)</f>
        <v>0</v>
      </c>
      <c r="X169" s="191"/>
      <c r="Y169" s="290">
        <f>W169</f>
        <v>0</v>
      </c>
      <c r="Z169" s="191"/>
      <c r="AA169" s="190">
        <f>Y169/M$4</f>
        <v>0</v>
      </c>
      <c r="AB169" s="191"/>
      <c r="AC169" s="191"/>
      <c r="AD169" s="192"/>
      <c r="AE169" s="268"/>
      <c r="AF169" s="280"/>
      <c r="AG169" s="281"/>
      <c r="AH169" s="193"/>
      <c r="AI169" s="241">
        <f>(AF169*AG169)</f>
        <v>0</v>
      </c>
      <c r="AJ169" s="191"/>
      <c r="AK169" s="290">
        <f>AI169</f>
        <v>0</v>
      </c>
      <c r="AL169" s="191"/>
      <c r="AM169" s="190">
        <f>AK169/M$4</f>
        <v>0</v>
      </c>
      <c r="AN169" s="191"/>
      <c r="AO169" s="191"/>
      <c r="AP169" s="191"/>
      <c r="AQ169" s="191"/>
      <c r="AR169" s="194" t="e">
        <f>AS169*$M$4</f>
        <v>#NAME?</v>
      </c>
      <c r="AS169" s="194" t="e">
        <f>AW169+BA169+BE169+BI169+BM169+BQ169+BU169+BY169</f>
        <v>#NAME?</v>
      </c>
      <c r="AT169" s="195" t="e">
        <v>#NAME?</v>
      </c>
      <c r="AU169" s="195" t="e">
        <v>#NAME?</v>
      </c>
      <c r="AV169" s="195" t="e">
        <v>#NAME?</v>
      </c>
      <c r="AW169" s="196" t="e">
        <f>SUM(AT169:AV169)</f>
        <v>#NAME?</v>
      </c>
      <c r="AX169" s="195" t="e">
        <v>#NAME?</v>
      </c>
      <c r="AY169" s="195" t="e">
        <v>#NAME?</v>
      </c>
      <c r="AZ169" s="195" t="e">
        <v>#NAME?</v>
      </c>
      <c r="BA169" s="196" t="e">
        <f>SUM(AX169:AZ169)</f>
        <v>#NAME?</v>
      </c>
      <c r="BB169" s="195" t="e">
        <v>#NAME?</v>
      </c>
      <c r="BC169" s="195" t="e">
        <v>#NAME?</v>
      </c>
      <c r="BD169" s="195" t="e">
        <v>#NAME?</v>
      </c>
      <c r="BE169" s="196" t="e">
        <f>SUM(BB169:BD169)</f>
        <v>#NAME?</v>
      </c>
      <c r="BF169" s="195" t="e">
        <v>#NAME?</v>
      </c>
      <c r="BG169" s="195" t="e">
        <v>#NAME?</v>
      </c>
      <c r="BH169" s="195" t="e">
        <v>#NAME?</v>
      </c>
      <c r="BI169" s="196" t="e">
        <f>SUM(BF169:BH169)</f>
        <v>#NAME?</v>
      </c>
      <c r="BJ169" s="195" t="e">
        <v>#NAME?</v>
      </c>
      <c r="BK169" s="195" t="e">
        <v>#NAME?</v>
      </c>
      <c r="BL169" s="195" t="e">
        <v>#NAME?</v>
      </c>
      <c r="BM169" s="196" t="e">
        <f>SUM(BJ169:BL169)</f>
        <v>#NAME?</v>
      </c>
      <c r="BN169" s="195" t="e">
        <v>#NAME?</v>
      </c>
      <c r="BO169" s="195" t="e">
        <v>#NAME?</v>
      </c>
      <c r="BP169" s="195" t="e">
        <v>#NAME?</v>
      </c>
      <c r="BQ169" s="196" t="e">
        <f>SUM(BM169:BP169)</f>
        <v>#NAME?</v>
      </c>
      <c r="BR169" s="195" t="e">
        <v>#NAME?</v>
      </c>
      <c r="BS169" s="195" t="e">
        <v>#NAME?</v>
      </c>
      <c r="BT169" s="195" t="e">
        <v>#NAME?</v>
      </c>
      <c r="BU169" s="196" t="e">
        <f>SUM(BQ169:BT169)</f>
        <v>#NAME?</v>
      </c>
      <c r="BV169" s="195" t="e">
        <v>#NAME?</v>
      </c>
      <c r="BW169" s="195" t="e">
        <v>#NAME?</v>
      </c>
      <c r="BX169" s="195" t="e">
        <v>#NAME?</v>
      </c>
      <c r="BY169" s="196" t="e">
        <f>SUM(BU169:BX169)</f>
        <v>#NAME?</v>
      </c>
    </row>
    <row r="170" spans="1:77" s="89" customFormat="1" ht="15.75">
      <c r="A170" s="124" t="s">
        <v>282</v>
      </c>
      <c r="B170" s="124"/>
      <c r="C170" s="124"/>
      <c r="D170" s="124"/>
      <c r="E170" s="124"/>
      <c r="F170" s="124"/>
      <c r="G170" s="124"/>
      <c r="H170" s="124"/>
      <c r="I170" s="166"/>
      <c r="J170" s="277" t="s">
        <v>253</v>
      </c>
      <c r="K170" s="329">
        <f>Y170</f>
        <v>19500</v>
      </c>
      <c r="L170" s="435">
        <f>K170*0.9</f>
        <v>17550</v>
      </c>
      <c r="M170" s="398">
        <f>L170/$M$4</f>
        <v>13710.9375</v>
      </c>
      <c r="N170" s="398" t="e">
        <f t="shared" si="83"/>
        <v>#NAME?</v>
      </c>
      <c r="O170" s="398" t="e">
        <f t="shared" si="83"/>
        <v>#NAME?</v>
      </c>
      <c r="P170" s="191"/>
      <c r="Q170" s="191"/>
      <c r="R170" s="192"/>
      <c r="S170" s="268" t="s">
        <v>271</v>
      </c>
      <c r="T170" s="280">
        <v>3</v>
      </c>
      <c r="U170" s="281">
        <v>6500</v>
      </c>
      <c r="V170" s="193"/>
      <c r="W170" s="329">
        <f>(T170*U170)</f>
        <v>19500</v>
      </c>
      <c r="X170" s="191"/>
      <c r="Y170" s="290">
        <f>W170</f>
        <v>19500</v>
      </c>
      <c r="Z170" s="191"/>
      <c r="AA170" s="190">
        <f>Y170/M$4</f>
        <v>15234.375</v>
      </c>
      <c r="AB170" s="191"/>
      <c r="AC170" s="191"/>
      <c r="AD170" s="192"/>
      <c r="AE170" s="268" t="s">
        <v>271</v>
      </c>
      <c r="AF170" s="280">
        <v>7</v>
      </c>
      <c r="AG170" s="281">
        <v>10560</v>
      </c>
      <c r="AH170" s="193"/>
      <c r="AI170" s="241">
        <f>(AF170*AG170)</f>
        <v>73920</v>
      </c>
      <c r="AJ170" s="191"/>
      <c r="AK170" s="290">
        <f>AI170</f>
        <v>73920</v>
      </c>
      <c r="AL170" s="191"/>
      <c r="AM170" s="190">
        <f>AK170/M$4</f>
        <v>57750</v>
      </c>
      <c r="AN170" s="191"/>
      <c r="AO170" s="191"/>
      <c r="AP170" s="191"/>
      <c r="AQ170" s="191"/>
      <c r="AR170" s="194" t="e">
        <f>AS170*$M$4</f>
        <v>#NAME?</v>
      </c>
      <c r="AS170" s="194" t="e">
        <f>AW170+BA170+BE170+BI170+BM170+BQ170+BU170+BY170</f>
        <v>#NAME?</v>
      </c>
      <c r="AT170" s="195" t="e">
        <v>#NAME?</v>
      </c>
      <c r="AU170" s="195" t="e">
        <v>#NAME?</v>
      </c>
      <c r="AV170" s="195" t="e">
        <v>#NAME?</v>
      </c>
      <c r="AW170" s="196" t="e">
        <f>SUM(AT170:AV170)</f>
        <v>#NAME?</v>
      </c>
      <c r="AX170" s="195" t="e">
        <v>#NAME?</v>
      </c>
      <c r="AY170" s="195" t="e">
        <v>#NAME?</v>
      </c>
      <c r="AZ170" s="195" t="e">
        <v>#NAME?</v>
      </c>
      <c r="BA170" s="196" t="e">
        <f>SUM(AX170:AZ170)</f>
        <v>#NAME?</v>
      </c>
      <c r="BB170" s="195" t="e">
        <v>#NAME?</v>
      </c>
      <c r="BC170" s="195" t="e">
        <v>#NAME?</v>
      </c>
      <c r="BD170" s="195" t="e">
        <v>#NAME?</v>
      </c>
      <c r="BE170" s="196" t="e">
        <f>SUM(BB170:BD170)</f>
        <v>#NAME?</v>
      </c>
      <c r="BF170" s="195" t="e">
        <v>#NAME?</v>
      </c>
      <c r="BG170" s="195" t="e">
        <v>#NAME?</v>
      </c>
      <c r="BH170" s="195" t="e">
        <v>#NAME?</v>
      </c>
      <c r="BI170" s="196" t="e">
        <f>SUM(BF170:BH170)</f>
        <v>#NAME?</v>
      </c>
      <c r="BJ170" s="195" t="e">
        <v>#NAME?</v>
      </c>
      <c r="BK170" s="195" t="e">
        <v>#NAME?</v>
      </c>
      <c r="BL170" s="195" t="e">
        <v>#NAME?</v>
      </c>
      <c r="BM170" s="196" t="e">
        <f>SUM(BJ170:BL170)</f>
        <v>#NAME?</v>
      </c>
      <c r="BN170" s="195" t="e">
        <v>#NAME?</v>
      </c>
      <c r="BO170" s="195" t="e">
        <v>#NAME?</v>
      </c>
      <c r="BP170" s="195" t="e">
        <v>#NAME?</v>
      </c>
      <c r="BQ170" s="196" t="e">
        <f>SUM(BM170:BP170)</f>
        <v>#NAME?</v>
      </c>
      <c r="BR170" s="195" t="e">
        <v>#NAME?</v>
      </c>
      <c r="BS170" s="195" t="e">
        <v>#NAME?</v>
      </c>
      <c r="BT170" s="195" t="e">
        <v>#NAME?</v>
      </c>
      <c r="BU170" s="196" t="e">
        <f>SUM(BQ170:BT170)</f>
        <v>#NAME?</v>
      </c>
      <c r="BV170" s="195" t="e">
        <v>#NAME?</v>
      </c>
      <c r="BW170" s="195" t="e">
        <v>#NAME?</v>
      </c>
      <c r="BX170" s="195" t="e">
        <v>#NAME?</v>
      </c>
      <c r="BY170" s="196" t="e">
        <f>SUM(BU170:BX170)</f>
        <v>#NAME?</v>
      </c>
    </row>
    <row r="171" spans="1:77" s="89" customFormat="1" ht="15.75">
      <c r="A171" s="124" t="s">
        <v>283</v>
      </c>
      <c r="B171" s="124"/>
      <c r="C171" s="124"/>
      <c r="D171" s="124"/>
      <c r="E171" s="124"/>
      <c r="F171" s="124"/>
      <c r="G171" s="124"/>
      <c r="H171" s="124"/>
      <c r="I171" s="166"/>
      <c r="J171" s="277" t="s">
        <v>254</v>
      </c>
      <c r="K171" s="329">
        <f>Y171</f>
        <v>6300</v>
      </c>
      <c r="L171" s="435">
        <f>K171*0.9</f>
        <v>5670</v>
      </c>
      <c r="M171" s="398">
        <f>L171/$M$4</f>
        <v>4429.6875</v>
      </c>
      <c r="N171" s="398" t="e">
        <f t="shared" si="83"/>
        <v>#NAME?</v>
      </c>
      <c r="O171" s="398" t="e">
        <f t="shared" si="83"/>
        <v>#NAME?</v>
      </c>
      <c r="P171" s="191"/>
      <c r="Q171" s="191"/>
      <c r="R171" s="192"/>
      <c r="S171" s="268" t="s">
        <v>271</v>
      </c>
      <c r="T171" s="280">
        <v>3</v>
      </c>
      <c r="U171" s="281">
        <v>2100</v>
      </c>
      <c r="V171" s="193"/>
      <c r="W171" s="329">
        <f>(T171*U171)</f>
        <v>6300</v>
      </c>
      <c r="X171" s="191"/>
      <c r="Y171" s="290">
        <f>W171</f>
        <v>6300</v>
      </c>
      <c r="Z171" s="191"/>
      <c r="AA171" s="190">
        <f>Y171/M$4</f>
        <v>4921.875</v>
      </c>
      <c r="AB171" s="191"/>
      <c r="AC171" s="191"/>
      <c r="AD171" s="192"/>
      <c r="AE171" s="268" t="s">
        <v>271</v>
      </c>
      <c r="AF171" s="280">
        <v>7</v>
      </c>
      <c r="AG171" s="281">
        <v>2100</v>
      </c>
      <c r="AH171" s="193"/>
      <c r="AI171" s="241">
        <f>(AF171*AG171)</f>
        <v>14700</v>
      </c>
      <c r="AJ171" s="191"/>
      <c r="AK171" s="290">
        <f>AI171</f>
        <v>14700</v>
      </c>
      <c r="AL171" s="191"/>
      <c r="AM171" s="190">
        <f>AK171/M$4</f>
        <v>11484.375</v>
      </c>
      <c r="AN171" s="191"/>
      <c r="AO171" s="191"/>
      <c r="AP171" s="191"/>
      <c r="AQ171" s="191"/>
      <c r="AR171" s="194" t="e">
        <f>AS171*$M$4</f>
        <v>#NAME?</v>
      </c>
      <c r="AS171" s="194" t="e">
        <f>AW171+BA171+BE171+BI171+BM171+BQ171+BU171+BY171</f>
        <v>#NAME?</v>
      </c>
      <c r="AT171" s="195" t="e">
        <v>#NAME?</v>
      </c>
      <c r="AU171" s="195" t="e">
        <v>#NAME?</v>
      </c>
      <c r="AV171" s="195" t="e">
        <v>#NAME?</v>
      </c>
      <c r="AW171" s="196" t="e">
        <f>SUM(AT171:AV171)</f>
        <v>#NAME?</v>
      </c>
      <c r="AX171" s="195" t="e">
        <v>#NAME?</v>
      </c>
      <c r="AY171" s="195" t="e">
        <v>#NAME?</v>
      </c>
      <c r="AZ171" s="195" t="e">
        <v>#NAME?</v>
      </c>
      <c r="BA171" s="196" t="e">
        <f>SUM(AX171:AZ171)</f>
        <v>#NAME?</v>
      </c>
      <c r="BB171" s="195" t="e">
        <v>#NAME?</v>
      </c>
      <c r="BC171" s="195" t="e">
        <v>#NAME?</v>
      </c>
      <c r="BD171" s="195" t="e">
        <v>#NAME?</v>
      </c>
      <c r="BE171" s="196" t="e">
        <f>SUM(BB171:BD171)</f>
        <v>#NAME?</v>
      </c>
      <c r="BF171" s="195" t="e">
        <v>#NAME?</v>
      </c>
      <c r="BG171" s="195" t="e">
        <v>#NAME?</v>
      </c>
      <c r="BH171" s="195" t="e">
        <v>#NAME?</v>
      </c>
      <c r="BI171" s="196" t="e">
        <f>SUM(BF171:BH171)</f>
        <v>#NAME?</v>
      </c>
      <c r="BJ171" s="195" t="e">
        <v>#NAME?</v>
      </c>
      <c r="BK171" s="195" t="e">
        <v>#NAME?</v>
      </c>
      <c r="BL171" s="195" t="e">
        <v>#NAME?</v>
      </c>
      <c r="BM171" s="196" t="e">
        <f>SUM(BJ171:BL171)</f>
        <v>#NAME?</v>
      </c>
      <c r="BN171" s="195" t="e">
        <v>#NAME?</v>
      </c>
      <c r="BO171" s="195" t="e">
        <v>#NAME?</v>
      </c>
      <c r="BP171" s="195" t="e">
        <v>#NAME?</v>
      </c>
      <c r="BQ171" s="196" t="e">
        <f>SUM(BM171:BP171)</f>
        <v>#NAME?</v>
      </c>
      <c r="BR171" s="195" t="e">
        <v>#NAME?</v>
      </c>
      <c r="BS171" s="195" t="e">
        <v>#NAME?</v>
      </c>
      <c r="BT171" s="195" t="e">
        <v>#NAME?</v>
      </c>
      <c r="BU171" s="196" t="e">
        <f>SUM(BQ171:BT171)</f>
        <v>#NAME?</v>
      </c>
      <c r="BV171" s="195" t="e">
        <v>#NAME?</v>
      </c>
      <c r="BW171" s="195" t="e">
        <v>#NAME?</v>
      </c>
      <c r="BX171" s="195" t="e">
        <v>#NAME?</v>
      </c>
      <c r="BY171" s="196" t="e">
        <f>SUM(BU171:BX171)</f>
        <v>#NAME?</v>
      </c>
    </row>
    <row r="172" spans="1:77" s="89" customFormat="1" ht="25.5">
      <c r="A172" s="124" t="s">
        <v>284</v>
      </c>
      <c r="B172" s="124"/>
      <c r="C172" s="124"/>
      <c r="D172" s="124"/>
      <c r="E172" s="124"/>
      <c r="F172" s="124"/>
      <c r="G172" s="124"/>
      <c r="H172" s="124"/>
      <c r="I172" s="166"/>
      <c r="J172" s="278" t="s">
        <v>255</v>
      </c>
      <c r="K172" s="329">
        <f>Y172</f>
        <v>40000</v>
      </c>
      <c r="L172" s="435">
        <f>K172*0.9</f>
        <v>36000</v>
      </c>
      <c r="M172" s="398">
        <f>L172/$M$4</f>
        <v>28125</v>
      </c>
      <c r="N172" s="398" t="e">
        <f t="shared" si="83"/>
        <v>#NAME?</v>
      </c>
      <c r="O172" s="398" t="e">
        <f t="shared" si="83"/>
        <v>#NAME?</v>
      </c>
      <c r="P172" s="191"/>
      <c r="Q172" s="191"/>
      <c r="R172" s="192"/>
      <c r="S172" s="344" t="s">
        <v>320</v>
      </c>
      <c r="T172" s="280">
        <v>1</v>
      </c>
      <c r="U172" s="281">
        <v>40000</v>
      </c>
      <c r="V172" s="193"/>
      <c r="W172" s="329">
        <f>(T172*U172)</f>
        <v>40000</v>
      </c>
      <c r="X172" s="191"/>
      <c r="Y172" s="290">
        <f>W172</f>
        <v>40000</v>
      </c>
      <c r="Z172" s="191"/>
      <c r="AA172" s="190">
        <f>Y172/M$4</f>
        <v>31250</v>
      </c>
      <c r="AB172" s="191"/>
      <c r="AC172" s="191"/>
      <c r="AD172" s="192"/>
      <c r="AE172" s="268" t="s">
        <v>206</v>
      </c>
      <c r="AF172" s="280">
        <v>3</v>
      </c>
      <c r="AG172" s="281">
        <v>50000</v>
      </c>
      <c r="AH172" s="193"/>
      <c r="AI172" s="241">
        <f>(AF172*AG172)</f>
        <v>150000</v>
      </c>
      <c r="AJ172" s="191"/>
      <c r="AK172" s="290">
        <f>AI172</f>
        <v>150000</v>
      </c>
      <c r="AL172" s="191"/>
      <c r="AM172" s="190">
        <f>AK172/M$4</f>
        <v>117187.5</v>
      </c>
      <c r="AN172" s="191"/>
      <c r="AO172" s="191"/>
      <c r="AP172" s="191"/>
      <c r="AQ172" s="191"/>
      <c r="AR172" s="194" t="e">
        <f>AS172*$M$4</f>
        <v>#NAME?</v>
      </c>
      <c r="AS172" s="194" t="e">
        <f>AW172+BA172+BE172+BI172+BM172+BQ172+BU172+BY172</f>
        <v>#NAME?</v>
      </c>
      <c r="AT172" s="195" t="e">
        <v>#NAME?</v>
      </c>
      <c r="AU172" s="195" t="e">
        <v>#NAME?</v>
      </c>
      <c r="AV172" s="195" t="e">
        <v>#NAME?</v>
      </c>
      <c r="AW172" s="196" t="e">
        <f>SUM(AT172:AV172)</f>
        <v>#NAME?</v>
      </c>
      <c r="AX172" s="195" t="e">
        <v>#NAME?</v>
      </c>
      <c r="AY172" s="195" t="e">
        <v>#NAME?</v>
      </c>
      <c r="AZ172" s="195" t="e">
        <v>#NAME?</v>
      </c>
      <c r="BA172" s="196" t="e">
        <f>SUM(AX172:AZ172)</f>
        <v>#NAME?</v>
      </c>
      <c r="BB172" s="195" t="e">
        <v>#NAME?</v>
      </c>
      <c r="BC172" s="195" t="e">
        <v>#NAME?</v>
      </c>
      <c r="BD172" s="195" t="e">
        <v>#NAME?</v>
      </c>
      <c r="BE172" s="196" t="e">
        <f>SUM(BB172:BD172)</f>
        <v>#NAME?</v>
      </c>
      <c r="BF172" s="195" t="e">
        <v>#NAME?</v>
      </c>
      <c r="BG172" s="195" t="e">
        <v>#NAME?</v>
      </c>
      <c r="BH172" s="195" t="e">
        <v>#NAME?</v>
      </c>
      <c r="BI172" s="196" t="e">
        <f>SUM(BF172:BH172)</f>
        <v>#NAME?</v>
      </c>
      <c r="BJ172" s="195" t="e">
        <v>#NAME?</v>
      </c>
      <c r="BK172" s="195" t="e">
        <v>#NAME?</v>
      </c>
      <c r="BL172" s="195" t="e">
        <v>#NAME?</v>
      </c>
      <c r="BM172" s="196" t="e">
        <f>SUM(BJ172:BL172)</f>
        <v>#NAME?</v>
      </c>
      <c r="BN172" s="195" t="e">
        <v>#NAME?</v>
      </c>
      <c r="BO172" s="195" t="e">
        <v>#NAME?</v>
      </c>
      <c r="BP172" s="195" t="e">
        <v>#NAME?</v>
      </c>
      <c r="BQ172" s="196" t="e">
        <f>SUM(BM172:BP172)</f>
        <v>#NAME?</v>
      </c>
      <c r="BR172" s="195" t="e">
        <v>#NAME?</v>
      </c>
      <c r="BS172" s="195" t="e">
        <v>#NAME?</v>
      </c>
      <c r="BT172" s="195" t="e">
        <v>#NAME?</v>
      </c>
      <c r="BU172" s="196" t="e">
        <f>SUM(BQ172:BT172)</f>
        <v>#NAME?</v>
      </c>
      <c r="BV172" s="195" t="e">
        <v>#NAME?</v>
      </c>
      <c r="BW172" s="195" t="e">
        <v>#NAME?</v>
      </c>
      <c r="BX172" s="195" t="e">
        <v>#NAME?</v>
      </c>
      <c r="BY172" s="196" t="e">
        <f>SUM(BU172:BX172)</f>
        <v>#NAME?</v>
      </c>
    </row>
    <row r="173" spans="1:77" s="89" customFormat="1" ht="26.25">
      <c r="A173" s="171"/>
      <c r="B173" s="172"/>
      <c r="C173" s="172"/>
      <c r="D173" s="172"/>
      <c r="E173" s="172"/>
      <c r="F173" s="172"/>
      <c r="I173" s="173"/>
      <c r="J173" s="186" t="str">
        <f>CONCATENATE("Subtotal ",J167)</f>
        <v>Subtotal Result 1: Increased capacity of and action by identified peace actors and initiatives to address causes of conflict at the local level</v>
      </c>
      <c r="K173" s="363">
        <f>SUBTOTAL(9,K172:K172)</f>
        <v>40000</v>
      </c>
      <c r="L173" s="436">
        <f>SUBTOTAL(9,L172:L172)</f>
        <v>36000</v>
      </c>
      <c r="M173" s="399">
        <f>SUBTOTAL(9,M172:M172)</f>
        <v>28125</v>
      </c>
      <c r="N173" s="399" t="e">
        <f>SUBTOTAL(9,N172:N172)</f>
        <v>#NAME?</v>
      </c>
      <c r="O173" s="399" t="e">
        <f>SUBTOTAL(9,O172:O172)</f>
        <v>#NAME?</v>
      </c>
      <c r="P173" s="193"/>
      <c r="Q173" s="193"/>
      <c r="R173" s="225"/>
      <c r="S173" s="193"/>
      <c r="T173" s="193"/>
      <c r="U173" s="224"/>
      <c r="V173" s="224"/>
      <c r="W173" s="330">
        <f>SUBTOTAL(9,W172:W172)</f>
        <v>40000</v>
      </c>
      <c r="X173" s="193"/>
      <c r="Y173" s="301">
        <f>SUBTOTAL(9,Y172:Y172)</f>
        <v>40000</v>
      </c>
      <c r="Z173" s="193"/>
      <c r="AA173" s="223">
        <f>SUBTOTAL(9,AA172:AA172)</f>
        <v>31250</v>
      </c>
      <c r="AB173" s="193"/>
      <c r="AC173" s="193"/>
      <c r="AD173" s="225"/>
      <c r="AE173" s="193"/>
      <c r="AF173" s="193"/>
      <c r="AG173" s="224"/>
      <c r="AH173" s="224"/>
      <c r="AI173" s="242">
        <f>SUBTOTAL(9,AI172:AI172)</f>
        <v>150000</v>
      </c>
      <c r="AJ173" s="193"/>
      <c r="AK173" s="301">
        <f>SUBTOTAL(9,AK172:AK172)</f>
        <v>150000</v>
      </c>
      <c r="AL173" s="193"/>
      <c r="AM173" s="223">
        <f>SUBTOTAL(9,AM172:AM172)</f>
        <v>117187.5</v>
      </c>
      <c r="AN173" s="193"/>
      <c r="AO173" s="193"/>
      <c r="AP173" s="193"/>
      <c r="AQ173" s="193"/>
      <c r="AR173" s="224" t="e">
        <f aca="true" t="shared" si="84" ref="AR173:BF173">SUBTOTAL(9,AR172:AR172)</f>
        <v>#NAME?</v>
      </c>
      <c r="AS173" s="224" t="e">
        <f t="shared" si="84"/>
        <v>#NAME?</v>
      </c>
      <c r="AT173" s="224" t="e">
        <f t="shared" si="84"/>
        <v>#NAME?</v>
      </c>
      <c r="AU173" s="224" t="e">
        <f t="shared" si="84"/>
        <v>#NAME?</v>
      </c>
      <c r="AV173" s="224" t="e">
        <f t="shared" si="84"/>
        <v>#NAME?</v>
      </c>
      <c r="AW173" s="224" t="e">
        <f t="shared" si="84"/>
        <v>#NAME?</v>
      </c>
      <c r="AX173" s="224" t="e">
        <f t="shared" si="84"/>
        <v>#NAME?</v>
      </c>
      <c r="AY173" s="224" t="e">
        <f t="shared" si="84"/>
        <v>#NAME?</v>
      </c>
      <c r="AZ173" s="224" t="e">
        <f t="shared" si="84"/>
        <v>#NAME?</v>
      </c>
      <c r="BA173" s="224" t="e">
        <f t="shared" si="84"/>
        <v>#NAME?</v>
      </c>
      <c r="BB173" s="224" t="e">
        <f t="shared" si="84"/>
        <v>#NAME?</v>
      </c>
      <c r="BC173" s="224" t="e">
        <f t="shared" si="84"/>
        <v>#NAME?</v>
      </c>
      <c r="BD173" s="224" t="e">
        <f t="shared" si="84"/>
        <v>#NAME?</v>
      </c>
      <c r="BE173" s="224" t="e">
        <f t="shared" si="84"/>
        <v>#NAME?</v>
      </c>
      <c r="BF173" s="224" t="e">
        <f t="shared" si="84"/>
        <v>#NAME?</v>
      </c>
      <c r="BG173" s="224" t="e">
        <f aca="true" t="shared" si="85" ref="BG173:BY173">SUBTOTAL(9,BG172:BG172)</f>
        <v>#NAME?</v>
      </c>
      <c r="BH173" s="224" t="e">
        <f t="shared" si="85"/>
        <v>#NAME?</v>
      </c>
      <c r="BI173" s="224" t="e">
        <f t="shared" si="85"/>
        <v>#NAME?</v>
      </c>
      <c r="BJ173" s="224" t="e">
        <f t="shared" si="85"/>
        <v>#NAME?</v>
      </c>
      <c r="BK173" s="224" t="e">
        <f t="shared" si="85"/>
        <v>#NAME?</v>
      </c>
      <c r="BL173" s="224" t="e">
        <f t="shared" si="85"/>
        <v>#NAME?</v>
      </c>
      <c r="BM173" s="224" t="e">
        <f t="shared" si="85"/>
        <v>#NAME?</v>
      </c>
      <c r="BN173" s="224" t="e">
        <f t="shared" si="85"/>
        <v>#NAME?</v>
      </c>
      <c r="BO173" s="224" t="e">
        <f t="shared" si="85"/>
        <v>#NAME?</v>
      </c>
      <c r="BP173" s="224" t="e">
        <f t="shared" si="85"/>
        <v>#NAME?</v>
      </c>
      <c r="BQ173" s="224" t="e">
        <f t="shared" si="85"/>
        <v>#NAME?</v>
      </c>
      <c r="BR173" s="224" t="e">
        <f t="shared" si="85"/>
        <v>#NAME?</v>
      </c>
      <c r="BS173" s="224" t="e">
        <f t="shared" si="85"/>
        <v>#NAME?</v>
      </c>
      <c r="BT173" s="224" t="e">
        <f t="shared" si="85"/>
        <v>#NAME?</v>
      </c>
      <c r="BU173" s="224" t="e">
        <f t="shared" si="85"/>
        <v>#NAME?</v>
      </c>
      <c r="BV173" s="224" t="e">
        <f t="shared" si="85"/>
        <v>#NAME?</v>
      </c>
      <c r="BW173" s="224" t="e">
        <f t="shared" si="85"/>
        <v>#NAME?</v>
      </c>
      <c r="BX173" s="224" t="e">
        <f t="shared" si="85"/>
        <v>#NAME?</v>
      </c>
      <c r="BY173" s="224" t="e">
        <f t="shared" si="85"/>
        <v>#NAME?</v>
      </c>
    </row>
    <row r="174" spans="1:77" s="89" customFormat="1" ht="15.75">
      <c r="A174" s="171"/>
      <c r="B174" s="172"/>
      <c r="C174" s="172"/>
      <c r="D174" s="172"/>
      <c r="E174" s="172"/>
      <c r="F174" s="172"/>
      <c r="I174" s="173"/>
      <c r="J174" s="186"/>
      <c r="K174" s="363"/>
      <c r="L174" s="436"/>
      <c r="M174" s="399"/>
      <c r="N174" s="399"/>
      <c r="O174" s="399"/>
      <c r="P174" s="193"/>
      <c r="Q174" s="193"/>
      <c r="R174" s="225"/>
      <c r="S174" s="193"/>
      <c r="T174" s="193"/>
      <c r="U174" s="224"/>
      <c r="V174" s="224"/>
      <c r="W174" s="330"/>
      <c r="X174" s="193"/>
      <c r="Y174" s="301"/>
      <c r="Z174" s="193"/>
      <c r="AA174" s="223"/>
      <c r="AB174" s="193"/>
      <c r="AC174" s="193"/>
      <c r="AD174" s="225"/>
      <c r="AE174" s="193"/>
      <c r="AF174" s="193"/>
      <c r="AG174" s="224"/>
      <c r="AH174" s="224"/>
      <c r="AI174" s="242"/>
      <c r="AJ174" s="193"/>
      <c r="AK174" s="301"/>
      <c r="AL174" s="193"/>
      <c r="AM174" s="223"/>
      <c r="AN174" s="193"/>
      <c r="AO174" s="193"/>
      <c r="AP174" s="193"/>
      <c r="AQ174" s="193"/>
      <c r="AR174" s="224"/>
      <c r="AS174" s="224"/>
      <c r="AT174" s="224"/>
      <c r="AU174" s="224"/>
      <c r="AV174" s="224"/>
      <c r="AW174" s="224"/>
      <c r="AX174" s="224"/>
      <c r="AY174" s="224"/>
      <c r="AZ174" s="224"/>
      <c r="BA174" s="224"/>
      <c r="BB174" s="224"/>
      <c r="BC174" s="224"/>
      <c r="BD174" s="224"/>
      <c r="BE174" s="224"/>
      <c r="BF174" s="224"/>
      <c r="BG174" s="224"/>
      <c r="BH174" s="224"/>
      <c r="BI174" s="224"/>
      <c r="BJ174" s="224"/>
      <c r="BK174" s="224"/>
      <c r="BL174" s="224"/>
      <c r="BM174" s="224"/>
      <c r="BN174" s="224"/>
      <c r="BO174" s="224"/>
      <c r="BP174" s="224"/>
      <c r="BQ174" s="224"/>
      <c r="BR174" s="224"/>
      <c r="BS174" s="224"/>
      <c r="BT174" s="224"/>
      <c r="BU174" s="224"/>
      <c r="BV174" s="224"/>
      <c r="BW174" s="224"/>
      <c r="BX174" s="224"/>
      <c r="BY174" s="224"/>
    </row>
    <row r="175" spans="1:77" s="89" customFormat="1" ht="25.5">
      <c r="A175" s="171"/>
      <c r="B175" s="172"/>
      <c r="C175" s="172"/>
      <c r="D175" s="172"/>
      <c r="E175" s="172"/>
      <c r="F175" s="172"/>
      <c r="I175" s="173"/>
      <c r="J175" s="284" t="s">
        <v>256</v>
      </c>
      <c r="K175" s="363"/>
      <c r="L175" s="436"/>
      <c r="M175" s="399"/>
      <c r="N175" s="399"/>
      <c r="O175" s="399"/>
      <c r="P175" s="193"/>
      <c r="Q175" s="193"/>
      <c r="R175" s="225"/>
      <c r="S175" s="193"/>
      <c r="T175" s="193"/>
      <c r="U175" s="224"/>
      <c r="V175" s="224"/>
      <c r="W175" s="330"/>
      <c r="X175" s="193"/>
      <c r="Y175" s="301"/>
      <c r="Z175" s="193"/>
      <c r="AA175" s="223"/>
      <c r="AB175" s="193"/>
      <c r="AC175" s="193"/>
      <c r="AD175" s="225"/>
      <c r="AE175" s="193"/>
      <c r="AF175" s="193"/>
      <c r="AG175" s="224"/>
      <c r="AH175" s="224"/>
      <c r="AI175" s="242"/>
      <c r="AJ175" s="193"/>
      <c r="AK175" s="301"/>
      <c r="AL175" s="193"/>
      <c r="AM175" s="223"/>
      <c r="AN175" s="193"/>
      <c r="AO175" s="193"/>
      <c r="AP175" s="193"/>
      <c r="AQ175" s="193"/>
      <c r="AR175" s="224"/>
      <c r="AS175" s="224"/>
      <c r="AT175" s="224"/>
      <c r="AU175" s="224"/>
      <c r="AV175" s="224"/>
      <c r="AW175" s="224"/>
      <c r="AX175" s="224"/>
      <c r="AY175" s="224"/>
      <c r="AZ175" s="224"/>
      <c r="BA175" s="224"/>
      <c r="BB175" s="224"/>
      <c r="BC175" s="224"/>
      <c r="BD175" s="224"/>
      <c r="BE175" s="224"/>
      <c r="BF175" s="224"/>
      <c r="BG175" s="224"/>
      <c r="BH175" s="224"/>
      <c r="BI175" s="224"/>
      <c r="BJ175" s="224"/>
      <c r="BK175" s="224"/>
      <c r="BL175" s="224"/>
      <c r="BM175" s="224"/>
      <c r="BN175" s="224"/>
      <c r="BO175" s="224"/>
      <c r="BP175" s="224"/>
      <c r="BQ175" s="224"/>
      <c r="BR175" s="224"/>
      <c r="BS175" s="224"/>
      <c r="BT175" s="224"/>
      <c r="BU175" s="224"/>
      <c r="BV175" s="224"/>
      <c r="BW175" s="224"/>
      <c r="BX175" s="224"/>
      <c r="BY175" s="224"/>
    </row>
    <row r="176" spans="1:77" s="89" customFormat="1" ht="26.25">
      <c r="A176" s="124" t="s">
        <v>285</v>
      </c>
      <c r="B176" s="124"/>
      <c r="C176" s="124"/>
      <c r="D176" s="124"/>
      <c r="E176" s="124"/>
      <c r="F176" s="124"/>
      <c r="G176" s="124"/>
      <c r="H176" s="124"/>
      <c r="I176" s="166"/>
      <c r="J176" s="264" t="s">
        <v>257</v>
      </c>
      <c r="K176" s="329">
        <f>Y176</f>
        <v>8000</v>
      </c>
      <c r="L176" s="435">
        <f>K176*0.9</f>
        <v>7200</v>
      </c>
      <c r="M176" s="398">
        <f>L176/$M$4</f>
        <v>5625</v>
      </c>
      <c r="N176" s="398" t="e">
        <f>L176-AR176</f>
        <v>#NAME?</v>
      </c>
      <c r="O176" s="398" t="e">
        <f>M176-AS176</f>
        <v>#NAME?</v>
      </c>
      <c r="P176" s="191"/>
      <c r="Q176" s="191"/>
      <c r="R176" s="192"/>
      <c r="S176" s="344" t="s">
        <v>224</v>
      </c>
      <c r="T176" s="280">
        <v>1</v>
      </c>
      <c r="U176" s="281">
        <v>8000</v>
      </c>
      <c r="V176" s="193"/>
      <c r="W176" s="329">
        <f>(T176*U176)</f>
        <v>8000</v>
      </c>
      <c r="X176" s="191"/>
      <c r="Y176" s="290">
        <f>W176</f>
        <v>8000</v>
      </c>
      <c r="Z176" s="191"/>
      <c r="AA176" s="190">
        <f>Y176/M$4</f>
        <v>6250</v>
      </c>
      <c r="AB176" s="191"/>
      <c r="AC176" s="191"/>
      <c r="AD176" s="192"/>
      <c r="AE176" s="268" t="s">
        <v>224</v>
      </c>
      <c r="AF176" s="280">
        <v>3</v>
      </c>
      <c r="AG176" s="281">
        <v>6000</v>
      </c>
      <c r="AH176" s="193"/>
      <c r="AI176" s="241">
        <f>(AF176*AG176)</f>
        <v>18000</v>
      </c>
      <c r="AJ176" s="191"/>
      <c r="AK176" s="290">
        <f>AI176</f>
        <v>18000</v>
      </c>
      <c r="AL176" s="191"/>
      <c r="AM176" s="190">
        <f>AK176/M$4</f>
        <v>14062.5</v>
      </c>
      <c r="AN176" s="191"/>
      <c r="AO176" s="191"/>
      <c r="AP176" s="191"/>
      <c r="AQ176" s="191"/>
      <c r="AR176" s="194" t="e">
        <f>AS176*$M$4</f>
        <v>#NAME?</v>
      </c>
      <c r="AS176" s="194" t="e">
        <f>AW176+BA176+BE176+BI176+BM176+BQ176+BU176+BY176</f>
        <v>#NAME?</v>
      </c>
      <c r="AT176" s="195" t="e">
        <v>#NAME?</v>
      </c>
      <c r="AU176" s="195" t="e">
        <v>#NAME?</v>
      </c>
      <c r="AV176" s="195" t="e">
        <v>#NAME?</v>
      </c>
      <c r="AW176" s="196" t="e">
        <f>SUM(AT176:AV176)</f>
        <v>#NAME?</v>
      </c>
      <c r="AX176" s="195" t="e">
        <v>#NAME?</v>
      </c>
      <c r="AY176" s="195" t="e">
        <v>#NAME?</v>
      </c>
      <c r="AZ176" s="195" t="e">
        <v>#NAME?</v>
      </c>
      <c r="BA176" s="196" t="e">
        <f>SUM(AX176:AZ176)</f>
        <v>#NAME?</v>
      </c>
      <c r="BB176" s="195" t="e">
        <v>#NAME?</v>
      </c>
      <c r="BC176" s="195" t="e">
        <v>#NAME?</v>
      </c>
      <c r="BD176" s="195" t="e">
        <v>#NAME?</v>
      </c>
      <c r="BE176" s="196" t="e">
        <f>SUM(BB176:BD176)</f>
        <v>#NAME?</v>
      </c>
      <c r="BF176" s="195" t="e">
        <v>#NAME?</v>
      </c>
      <c r="BG176" s="195" t="e">
        <v>#NAME?</v>
      </c>
      <c r="BH176" s="195" t="e">
        <v>#NAME?</v>
      </c>
      <c r="BI176" s="196" t="e">
        <f>SUM(BF176:BH176)</f>
        <v>#NAME?</v>
      </c>
      <c r="BJ176" s="195" t="e">
        <v>#NAME?</v>
      </c>
      <c r="BK176" s="195" t="e">
        <v>#NAME?</v>
      </c>
      <c r="BL176" s="195" t="e">
        <v>#NAME?</v>
      </c>
      <c r="BM176" s="196" t="e">
        <f>SUM(BJ176:BL176)</f>
        <v>#NAME?</v>
      </c>
      <c r="BN176" s="195" t="e">
        <v>#NAME?</v>
      </c>
      <c r="BO176" s="195" t="e">
        <v>#NAME?</v>
      </c>
      <c r="BP176" s="195" t="e">
        <v>#NAME?</v>
      </c>
      <c r="BQ176" s="196" t="e">
        <f>SUM(BM176:BP176)</f>
        <v>#NAME?</v>
      </c>
      <c r="BR176" s="195" t="e">
        <v>#NAME?</v>
      </c>
      <c r="BS176" s="195" t="e">
        <v>#NAME?</v>
      </c>
      <c r="BT176" s="195" t="e">
        <v>#NAME?</v>
      </c>
      <c r="BU176" s="196" t="e">
        <f>SUM(BQ176:BT176)</f>
        <v>#NAME?</v>
      </c>
      <c r="BV176" s="195" t="e">
        <v>#NAME?</v>
      </c>
      <c r="BW176" s="195" t="e">
        <v>#NAME?</v>
      </c>
      <c r="BX176" s="195" t="e">
        <v>#NAME?</v>
      </c>
      <c r="BY176" s="196" t="e">
        <f>SUM(BU176:BX176)</f>
        <v>#NAME?</v>
      </c>
    </row>
    <row r="177" spans="1:77" s="89" customFormat="1" ht="26.25">
      <c r="A177" s="124" t="s">
        <v>286</v>
      </c>
      <c r="B177" s="124"/>
      <c r="C177" s="124"/>
      <c r="D177" s="124"/>
      <c r="E177" s="124"/>
      <c r="F177" s="124"/>
      <c r="G177" s="124"/>
      <c r="H177" s="124"/>
      <c r="I177" s="166"/>
      <c r="J177" s="263" t="s">
        <v>258</v>
      </c>
      <c r="K177" s="329">
        <f>Y177</f>
        <v>7300</v>
      </c>
      <c r="L177" s="435">
        <f>K177*0.9</f>
        <v>6570</v>
      </c>
      <c r="M177" s="398">
        <f>L177/$M$4</f>
        <v>5132.8125</v>
      </c>
      <c r="N177" s="398" t="e">
        <f>L177-AR177</f>
        <v>#NAME?</v>
      </c>
      <c r="O177" s="398" t="e">
        <f>M177-AS177</f>
        <v>#NAME?</v>
      </c>
      <c r="P177" s="191"/>
      <c r="Q177" s="191"/>
      <c r="R177" s="192"/>
      <c r="S177" s="344" t="s">
        <v>224</v>
      </c>
      <c r="T177" s="280">
        <v>1</v>
      </c>
      <c r="U177" s="281">
        <v>7300</v>
      </c>
      <c r="V177" s="193"/>
      <c r="W177" s="329">
        <f>(T177*U177)</f>
        <v>7300</v>
      </c>
      <c r="X177" s="191"/>
      <c r="Y177" s="290">
        <f>W177</f>
        <v>7300</v>
      </c>
      <c r="Z177" s="191"/>
      <c r="AA177" s="190">
        <f>Y177/M$4</f>
        <v>5703.125</v>
      </c>
      <c r="AB177" s="191"/>
      <c r="AC177" s="191"/>
      <c r="AD177" s="192"/>
      <c r="AE177" s="268" t="s">
        <v>224</v>
      </c>
      <c r="AF177" s="280">
        <v>3</v>
      </c>
      <c r="AG177" s="281">
        <v>5000</v>
      </c>
      <c r="AH177" s="193"/>
      <c r="AI177" s="241">
        <f>(AF177*AG177)</f>
        <v>15000</v>
      </c>
      <c r="AJ177" s="191"/>
      <c r="AK177" s="290">
        <f>AI177</f>
        <v>15000</v>
      </c>
      <c r="AL177" s="191"/>
      <c r="AM177" s="190">
        <f>AK177/M$4</f>
        <v>11718.75</v>
      </c>
      <c r="AN177" s="191"/>
      <c r="AO177" s="191"/>
      <c r="AP177" s="191"/>
      <c r="AQ177" s="191"/>
      <c r="AR177" s="194" t="e">
        <f>AS177*$M$4</f>
        <v>#NAME?</v>
      </c>
      <c r="AS177" s="194" t="e">
        <f>AW177+BA177+BE177+BI177+BM177+BQ177+BU177+BY177</f>
        <v>#NAME?</v>
      </c>
      <c r="AT177" s="195" t="e">
        <v>#NAME?</v>
      </c>
      <c r="AU177" s="195" t="e">
        <v>#NAME?</v>
      </c>
      <c r="AV177" s="195" t="e">
        <v>#NAME?</v>
      </c>
      <c r="AW177" s="196" t="e">
        <f>SUM(AT177:AV177)</f>
        <v>#NAME?</v>
      </c>
      <c r="AX177" s="195" t="e">
        <v>#NAME?</v>
      </c>
      <c r="AY177" s="195" t="e">
        <v>#NAME?</v>
      </c>
      <c r="AZ177" s="195" t="e">
        <v>#NAME?</v>
      </c>
      <c r="BA177" s="196" t="e">
        <f>SUM(AX177:AZ177)</f>
        <v>#NAME?</v>
      </c>
      <c r="BB177" s="195" t="e">
        <v>#NAME?</v>
      </c>
      <c r="BC177" s="195" t="e">
        <v>#NAME?</v>
      </c>
      <c r="BD177" s="195" t="e">
        <v>#NAME?</v>
      </c>
      <c r="BE177" s="196" t="e">
        <f>SUM(BB177:BD177)</f>
        <v>#NAME?</v>
      </c>
      <c r="BF177" s="195" t="e">
        <v>#NAME?</v>
      </c>
      <c r="BG177" s="195" t="e">
        <v>#NAME?</v>
      </c>
      <c r="BH177" s="195" t="e">
        <v>#NAME?</v>
      </c>
      <c r="BI177" s="196" t="e">
        <f>SUM(BF177:BH177)</f>
        <v>#NAME?</v>
      </c>
      <c r="BJ177" s="195" t="e">
        <v>#NAME?</v>
      </c>
      <c r="BK177" s="195" t="e">
        <v>#NAME?</v>
      </c>
      <c r="BL177" s="195" t="e">
        <v>#NAME?</v>
      </c>
      <c r="BM177" s="196" t="e">
        <f>SUM(BJ177:BL177)</f>
        <v>#NAME?</v>
      </c>
      <c r="BN177" s="195" t="e">
        <v>#NAME?</v>
      </c>
      <c r="BO177" s="195" t="e">
        <v>#NAME?</v>
      </c>
      <c r="BP177" s="195" t="e">
        <v>#NAME?</v>
      </c>
      <c r="BQ177" s="196" t="e">
        <f>SUM(BM177:BP177)</f>
        <v>#NAME?</v>
      </c>
      <c r="BR177" s="195" t="e">
        <v>#NAME?</v>
      </c>
      <c r="BS177" s="195" t="e">
        <v>#NAME?</v>
      </c>
      <c r="BT177" s="195" t="e">
        <v>#NAME?</v>
      </c>
      <c r="BU177" s="196" t="e">
        <f>SUM(BQ177:BT177)</f>
        <v>#NAME?</v>
      </c>
      <c r="BV177" s="195" t="e">
        <v>#NAME?</v>
      </c>
      <c r="BW177" s="195" t="e">
        <v>#NAME?</v>
      </c>
      <c r="BX177" s="195" t="e">
        <v>#NAME?</v>
      </c>
      <c r="BY177" s="196" t="e">
        <f>SUM(BU177:BX177)</f>
        <v>#NAME?</v>
      </c>
    </row>
    <row r="178" spans="1:77" s="89" customFormat="1" ht="28.5" customHeight="1">
      <c r="A178" s="171"/>
      <c r="B178" s="172"/>
      <c r="C178" s="172"/>
      <c r="D178" s="172"/>
      <c r="E178" s="172"/>
      <c r="F178" s="172"/>
      <c r="I178" s="173"/>
      <c r="J178" s="186" t="str">
        <f>CONCATENATE("Subtotal ",J175)</f>
        <v>Subtotal Result 2: Peace actors and initiatives across North and South Kivu are connected into an effective network</v>
      </c>
      <c r="K178" s="363">
        <f>SUBTOTAL(9,K176:K177)</f>
        <v>15300</v>
      </c>
      <c r="L178" s="436">
        <f>SUBTOTAL(9,L176:L177)</f>
        <v>13770</v>
      </c>
      <c r="M178" s="399">
        <f>SUBTOTAL(9,M176:M177)</f>
        <v>10757.8125</v>
      </c>
      <c r="N178" s="399" t="e">
        <f>SUBTOTAL(9,N176:N177)</f>
        <v>#NAME?</v>
      </c>
      <c r="O178" s="399" t="e">
        <f>SUBTOTAL(9,O176:O177)</f>
        <v>#NAME?</v>
      </c>
      <c r="P178" s="193"/>
      <c r="Q178" s="193"/>
      <c r="R178" s="225"/>
      <c r="S178" s="193"/>
      <c r="T178" s="193"/>
      <c r="U178" s="224"/>
      <c r="V178" s="224"/>
      <c r="W178" s="330">
        <f>SUBTOTAL(9,W176:W177)</f>
        <v>15300</v>
      </c>
      <c r="X178" s="193"/>
      <c r="Y178" s="301">
        <f>SUBTOTAL(9,Y176:Y177)</f>
        <v>15300</v>
      </c>
      <c r="Z178" s="193"/>
      <c r="AA178" s="223">
        <f>SUBTOTAL(9,AA176:AA177)</f>
        <v>11953.125</v>
      </c>
      <c r="AB178" s="193"/>
      <c r="AC178" s="193"/>
      <c r="AD178" s="225"/>
      <c r="AE178" s="193"/>
      <c r="AF178" s="193"/>
      <c r="AG178" s="224"/>
      <c r="AH178" s="224"/>
      <c r="AI178" s="242">
        <f>SUBTOTAL(9,AI176:AI177)</f>
        <v>33000</v>
      </c>
      <c r="AJ178" s="193"/>
      <c r="AK178" s="301">
        <f>SUBTOTAL(9,AK176:AK177)</f>
        <v>33000</v>
      </c>
      <c r="AL178" s="193"/>
      <c r="AM178" s="223">
        <f>SUBTOTAL(9,AM176:AM177)</f>
        <v>25781.25</v>
      </c>
      <c r="AN178" s="193"/>
      <c r="AO178" s="193"/>
      <c r="AP178" s="193"/>
      <c r="AQ178" s="193"/>
      <c r="AR178" s="224" t="e">
        <f aca="true" t="shared" si="86" ref="AR178:BF178">SUBTOTAL(9,AR176:AR177)</f>
        <v>#NAME?</v>
      </c>
      <c r="AS178" s="224" t="e">
        <f t="shared" si="86"/>
        <v>#NAME?</v>
      </c>
      <c r="AT178" s="224" t="e">
        <f t="shared" si="86"/>
        <v>#NAME?</v>
      </c>
      <c r="AU178" s="224" t="e">
        <f t="shared" si="86"/>
        <v>#NAME?</v>
      </c>
      <c r="AV178" s="224" t="e">
        <f t="shared" si="86"/>
        <v>#NAME?</v>
      </c>
      <c r="AW178" s="224" t="e">
        <f t="shared" si="86"/>
        <v>#NAME?</v>
      </c>
      <c r="AX178" s="224" t="e">
        <f t="shared" si="86"/>
        <v>#NAME?</v>
      </c>
      <c r="AY178" s="224" t="e">
        <f t="shared" si="86"/>
        <v>#NAME?</v>
      </c>
      <c r="AZ178" s="224" t="e">
        <f t="shared" si="86"/>
        <v>#NAME?</v>
      </c>
      <c r="BA178" s="224" t="e">
        <f t="shared" si="86"/>
        <v>#NAME?</v>
      </c>
      <c r="BB178" s="224" t="e">
        <f t="shared" si="86"/>
        <v>#NAME?</v>
      </c>
      <c r="BC178" s="224" t="e">
        <f t="shared" si="86"/>
        <v>#NAME?</v>
      </c>
      <c r="BD178" s="224" t="e">
        <f t="shared" si="86"/>
        <v>#NAME?</v>
      </c>
      <c r="BE178" s="224" t="e">
        <f t="shared" si="86"/>
        <v>#NAME?</v>
      </c>
      <c r="BF178" s="224" t="e">
        <f t="shared" si="86"/>
        <v>#NAME?</v>
      </c>
      <c r="BG178" s="224" t="e">
        <f aca="true" t="shared" si="87" ref="BG178:BY178">SUBTOTAL(9,BG176:BG177)</f>
        <v>#NAME?</v>
      </c>
      <c r="BH178" s="224" t="e">
        <f t="shared" si="87"/>
        <v>#NAME?</v>
      </c>
      <c r="BI178" s="224" t="e">
        <f t="shared" si="87"/>
        <v>#NAME?</v>
      </c>
      <c r="BJ178" s="224" t="e">
        <f t="shared" si="87"/>
        <v>#NAME?</v>
      </c>
      <c r="BK178" s="224" t="e">
        <f t="shared" si="87"/>
        <v>#NAME?</v>
      </c>
      <c r="BL178" s="224" t="e">
        <f t="shared" si="87"/>
        <v>#NAME?</v>
      </c>
      <c r="BM178" s="224" t="e">
        <f t="shared" si="87"/>
        <v>#NAME?</v>
      </c>
      <c r="BN178" s="224" t="e">
        <f t="shared" si="87"/>
        <v>#NAME?</v>
      </c>
      <c r="BO178" s="224" t="e">
        <f t="shared" si="87"/>
        <v>#NAME?</v>
      </c>
      <c r="BP178" s="224" t="e">
        <f t="shared" si="87"/>
        <v>#NAME?</v>
      </c>
      <c r="BQ178" s="224" t="e">
        <f t="shared" si="87"/>
        <v>#NAME?</v>
      </c>
      <c r="BR178" s="224" t="e">
        <f t="shared" si="87"/>
        <v>#NAME?</v>
      </c>
      <c r="BS178" s="224" t="e">
        <f t="shared" si="87"/>
        <v>#NAME?</v>
      </c>
      <c r="BT178" s="224" t="e">
        <f t="shared" si="87"/>
        <v>#NAME?</v>
      </c>
      <c r="BU178" s="224" t="e">
        <f t="shared" si="87"/>
        <v>#NAME?</v>
      </c>
      <c r="BV178" s="224" t="e">
        <f t="shared" si="87"/>
        <v>#NAME?</v>
      </c>
      <c r="BW178" s="224" t="e">
        <f t="shared" si="87"/>
        <v>#NAME?</v>
      </c>
      <c r="BX178" s="224" t="e">
        <f t="shared" si="87"/>
        <v>#NAME?</v>
      </c>
      <c r="BY178" s="224" t="e">
        <f t="shared" si="87"/>
        <v>#NAME?</v>
      </c>
    </row>
    <row r="179" spans="1:77" s="89" customFormat="1" ht="15.75">
      <c r="A179" s="171"/>
      <c r="B179" s="172"/>
      <c r="C179" s="172"/>
      <c r="D179" s="172"/>
      <c r="E179" s="172"/>
      <c r="F179" s="172"/>
      <c r="I179" s="173"/>
      <c r="J179" s="186"/>
      <c r="K179" s="363"/>
      <c r="L179" s="436"/>
      <c r="M179" s="399"/>
      <c r="N179" s="399"/>
      <c r="O179" s="399"/>
      <c r="P179" s="193"/>
      <c r="Q179" s="193"/>
      <c r="R179" s="225"/>
      <c r="S179" s="193"/>
      <c r="T179" s="193"/>
      <c r="U179" s="224"/>
      <c r="V179" s="224"/>
      <c r="W179" s="330"/>
      <c r="X179" s="193"/>
      <c r="Y179" s="301"/>
      <c r="Z179" s="193"/>
      <c r="AA179" s="223"/>
      <c r="AB179" s="193"/>
      <c r="AC179" s="193"/>
      <c r="AD179" s="225"/>
      <c r="AE179" s="193"/>
      <c r="AF179" s="193"/>
      <c r="AG179" s="224"/>
      <c r="AH179" s="224"/>
      <c r="AI179" s="242"/>
      <c r="AJ179" s="193"/>
      <c r="AK179" s="301"/>
      <c r="AL179" s="193"/>
      <c r="AM179" s="223"/>
      <c r="AN179" s="193"/>
      <c r="AO179" s="193"/>
      <c r="AP179" s="193"/>
      <c r="AQ179" s="193"/>
      <c r="AR179" s="224"/>
      <c r="AS179" s="224"/>
      <c r="AT179" s="224"/>
      <c r="AU179" s="224"/>
      <c r="AV179" s="224"/>
      <c r="AW179" s="224"/>
      <c r="AX179" s="224"/>
      <c r="AY179" s="224"/>
      <c r="AZ179" s="224"/>
      <c r="BA179" s="224"/>
      <c r="BB179" s="224"/>
      <c r="BC179" s="224"/>
      <c r="BD179" s="224"/>
      <c r="BE179" s="224"/>
      <c r="BF179" s="224"/>
      <c r="BG179" s="224"/>
      <c r="BH179" s="224"/>
      <c r="BI179" s="224"/>
      <c r="BJ179" s="224"/>
      <c r="BK179" s="224"/>
      <c r="BL179" s="224"/>
      <c r="BM179" s="224"/>
      <c r="BN179" s="224"/>
      <c r="BO179" s="224"/>
      <c r="BP179" s="224"/>
      <c r="BQ179" s="224"/>
      <c r="BR179" s="224"/>
      <c r="BS179" s="224"/>
      <c r="BT179" s="224"/>
      <c r="BU179" s="224"/>
      <c r="BV179" s="224"/>
      <c r="BW179" s="224"/>
      <c r="BX179" s="224"/>
      <c r="BY179" s="224"/>
    </row>
    <row r="180" spans="1:77" s="89" customFormat="1" ht="26.25">
      <c r="A180" s="171"/>
      <c r="B180" s="172"/>
      <c r="C180" s="172"/>
      <c r="D180" s="172"/>
      <c r="E180" s="172"/>
      <c r="F180" s="172"/>
      <c r="I180" s="173"/>
      <c r="J180" s="285" t="s">
        <v>259</v>
      </c>
      <c r="K180" s="363"/>
      <c r="L180" s="436"/>
      <c r="M180" s="399"/>
      <c r="N180" s="399"/>
      <c r="O180" s="399"/>
      <c r="P180" s="193"/>
      <c r="Q180" s="193"/>
      <c r="R180" s="225"/>
      <c r="S180" s="193"/>
      <c r="T180" s="193"/>
      <c r="U180" s="224"/>
      <c r="V180" s="224"/>
      <c r="W180" s="330"/>
      <c r="X180" s="193"/>
      <c r="Y180" s="301"/>
      <c r="Z180" s="193"/>
      <c r="AA180" s="223"/>
      <c r="AB180" s="193"/>
      <c r="AC180" s="193"/>
      <c r="AD180" s="225"/>
      <c r="AE180" s="193"/>
      <c r="AF180" s="193"/>
      <c r="AG180" s="224"/>
      <c r="AH180" s="224"/>
      <c r="AI180" s="242"/>
      <c r="AJ180" s="193"/>
      <c r="AK180" s="301"/>
      <c r="AL180" s="193"/>
      <c r="AM180" s="223"/>
      <c r="AN180" s="193"/>
      <c r="AO180" s="193"/>
      <c r="AP180" s="193"/>
      <c r="AQ180" s="193"/>
      <c r="AR180" s="224"/>
      <c r="AS180" s="224"/>
      <c r="AT180" s="224"/>
      <c r="AU180" s="224"/>
      <c r="AV180" s="224"/>
      <c r="AW180" s="224"/>
      <c r="AX180" s="224"/>
      <c r="AY180" s="224"/>
      <c r="AZ180" s="224"/>
      <c r="BA180" s="224"/>
      <c r="BB180" s="224"/>
      <c r="BC180" s="224"/>
      <c r="BD180" s="224"/>
      <c r="BE180" s="224"/>
      <c r="BF180" s="224"/>
      <c r="BG180" s="224"/>
      <c r="BH180" s="224"/>
      <c r="BI180" s="224"/>
      <c r="BJ180" s="224"/>
      <c r="BK180" s="224"/>
      <c r="BL180" s="224"/>
      <c r="BM180" s="224"/>
      <c r="BN180" s="224"/>
      <c r="BO180" s="224"/>
      <c r="BP180" s="224"/>
      <c r="BQ180" s="224"/>
      <c r="BR180" s="224"/>
      <c r="BS180" s="224"/>
      <c r="BT180" s="224"/>
      <c r="BU180" s="224"/>
      <c r="BV180" s="224"/>
      <c r="BW180" s="224"/>
      <c r="BX180" s="224"/>
      <c r="BY180" s="224"/>
    </row>
    <row r="181" spans="1:77" s="89" customFormat="1" ht="15.75">
      <c r="A181" s="124" t="s">
        <v>287</v>
      </c>
      <c r="B181" s="104"/>
      <c r="C181" s="104"/>
      <c r="D181" s="81"/>
      <c r="E181" s="105"/>
      <c r="F181" s="95"/>
      <c r="G181" s="82"/>
      <c r="H181" s="82"/>
      <c r="I181" s="166"/>
      <c r="J181" s="264" t="s">
        <v>260</v>
      </c>
      <c r="K181" s="329">
        <f aca="true" t="shared" si="88" ref="K181:K189">Y181</f>
        <v>2000</v>
      </c>
      <c r="L181" s="435">
        <f aca="true" t="shared" si="89" ref="L181:L190">K181*0.9</f>
        <v>1800</v>
      </c>
      <c r="M181" s="398">
        <f aca="true" t="shared" si="90" ref="M181:M190">L181/$M$4</f>
        <v>1406.25</v>
      </c>
      <c r="N181" s="398" t="e">
        <f aca="true" t="shared" si="91" ref="N181:N190">L181-AR181</f>
        <v>#NAME?</v>
      </c>
      <c r="O181" s="398" t="e">
        <f aca="true" t="shared" si="92" ref="O181:O190">M181-AS181</f>
        <v>#NAME?</v>
      </c>
      <c r="P181" s="191"/>
      <c r="Q181" s="191"/>
      <c r="R181" s="192"/>
      <c r="S181" s="268" t="s">
        <v>272</v>
      </c>
      <c r="T181" s="280">
        <v>1</v>
      </c>
      <c r="U181" s="281">
        <v>2000</v>
      </c>
      <c r="V181" s="193"/>
      <c r="W181" s="329">
        <f aca="true" t="shared" si="93" ref="W181:W188">(T181*U181)</f>
        <v>2000</v>
      </c>
      <c r="X181" s="191"/>
      <c r="Y181" s="290">
        <f aca="true" t="shared" si="94" ref="Y181:Y190">W181</f>
        <v>2000</v>
      </c>
      <c r="Z181" s="191"/>
      <c r="AA181" s="190">
        <f aca="true" t="shared" si="95" ref="AA181:AA190">Y181/M$4</f>
        <v>1562.5</v>
      </c>
      <c r="AB181" s="191"/>
      <c r="AC181" s="191"/>
      <c r="AD181" s="192"/>
      <c r="AE181" s="268" t="s">
        <v>272</v>
      </c>
      <c r="AF181" s="280">
        <v>3</v>
      </c>
      <c r="AG181" s="281">
        <v>2000</v>
      </c>
      <c r="AH181" s="193"/>
      <c r="AI181" s="241">
        <f aca="true" t="shared" si="96" ref="AI181:AI190">(AF181*AG181)</f>
        <v>6000</v>
      </c>
      <c r="AJ181" s="191"/>
      <c r="AK181" s="290">
        <f aca="true" t="shared" si="97" ref="AK181:AK190">AI181</f>
        <v>6000</v>
      </c>
      <c r="AL181" s="191"/>
      <c r="AM181" s="190">
        <f aca="true" t="shared" si="98" ref="AM181:AM190">AK181/M$4</f>
        <v>4687.5</v>
      </c>
      <c r="AN181" s="191"/>
      <c r="AO181" s="191"/>
      <c r="AP181" s="191"/>
      <c r="AQ181" s="191"/>
      <c r="AR181" s="194" t="e">
        <f aca="true" t="shared" si="99" ref="AR181:AR190">AS181*$M$4</f>
        <v>#NAME?</v>
      </c>
      <c r="AS181" s="194" t="e">
        <f aca="true" t="shared" si="100" ref="AS181:AS190">AW181+BA181+BE181+BI181+BM181+BQ181+BU181+BY181</f>
        <v>#NAME?</v>
      </c>
      <c r="AT181" s="195" t="e">
        <v>#NAME?</v>
      </c>
      <c r="AU181" s="195" t="e">
        <v>#NAME?</v>
      </c>
      <c r="AV181" s="195" t="e">
        <v>#NAME?</v>
      </c>
      <c r="AW181" s="196" t="e">
        <f aca="true" t="shared" si="101" ref="AW181:AW190">SUM(AT181:AV181)</f>
        <v>#NAME?</v>
      </c>
      <c r="AX181" s="195" t="e">
        <v>#NAME?</v>
      </c>
      <c r="AY181" s="195" t="e">
        <v>#NAME?</v>
      </c>
      <c r="AZ181" s="195" t="e">
        <v>#NAME?</v>
      </c>
      <c r="BA181" s="196" t="e">
        <f aca="true" t="shared" si="102" ref="BA181:BA190">SUM(AX181:AZ181)</f>
        <v>#NAME?</v>
      </c>
      <c r="BB181" s="195" t="e">
        <v>#NAME?</v>
      </c>
      <c r="BC181" s="195" t="e">
        <v>#NAME?</v>
      </c>
      <c r="BD181" s="195" t="e">
        <v>#NAME?</v>
      </c>
      <c r="BE181" s="196" t="e">
        <f aca="true" t="shared" si="103" ref="BE181:BE190">SUM(BB181:BD181)</f>
        <v>#NAME?</v>
      </c>
      <c r="BF181" s="195" t="e">
        <v>#NAME?</v>
      </c>
      <c r="BG181" s="195" t="e">
        <v>#NAME?</v>
      </c>
      <c r="BH181" s="195" t="e">
        <v>#NAME?</v>
      </c>
      <c r="BI181" s="196" t="e">
        <f aca="true" t="shared" si="104" ref="BI181:BI190">SUM(BF181:BH181)</f>
        <v>#NAME?</v>
      </c>
      <c r="BJ181" s="195" t="e">
        <v>#NAME?</v>
      </c>
      <c r="BK181" s="195" t="e">
        <v>#NAME?</v>
      </c>
      <c r="BL181" s="195" t="e">
        <v>#NAME?</v>
      </c>
      <c r="BM181" s="196" t="e">
        <f aca="true" t="shared" si="105" ref="BM181:BM190">SUM(BJ181:BL181)</f>
        <v>#NAME?</v>
      </c>
      <c r="BN181" s="195" t="e">
        <v>#NAME?</v>
      </c>
      <c r="BO181" s="195" t="e">
        <v>#NAME?</v>
      </c>
      <c r="BP181" s="195" t="e">
        <v>#NAME?</v>
      </c>
      <c r="BQ181" s="196" t="e">
        <f aca="true" t="shared" si="106" ref="BQ181:BQ190">SUM(BM181:BP181)</f>
        <v>#NAME?</v>
      </c>
      <c r="BR181" s="195" t="e">
        <v>#NAME?</v>
      </c>
      <c r="BS181" s="195" t="e">
        <v>#NAME?</v>
      </c>
      <c r="BT181" s="195" t="e">
        <v>#NAME?</v>
      </c>
      <c r="BU181" s="196" t="e">
        <f aca="true" t="shared" si="107" ref="BU181:BU190">SUM(BQ181:BT181)</f>
        <v>#NAME?</v>
      </c>
      <c r="BV181" s="195" t="e">
        <v>#NAME?</v>
      </c>
      <c r="BW181" s="195" t="e">
        <v>#NAME?</v>
      </c>
      <c r="BX181" s="195" t="e">
        <v>#NAME?</v>
      </c>
      <c r="BY181" s="196" t="e">
        <f aca="true" t="shared" si="108" ref="BY181:BY190">SUM(BU181:BX181)</f>
        <v>#NAME?</v>
      </c>
    </row>
    <row r="182" spans="1:77" s="89" customFormat="1" ht="15.75">
      <c r="A182" s="124" t="s">
        <v>288</v>
      </c>
      <c r="B182" s="104"/>
      <c r="C182" s="104"/>
      <c r="D182" s="81"/>
      <c r="E182" s="105"/>
      <c r="F182" s="95"/>
      <c r="G182" s="82"/>
      <c r="H182" s="82"/>
      <c r="I182" s="166"/>
      <c r="J182" s="263" t="s">
        <v>261</v>
      </c>
      <c r="K182" s="329">
        <f t="shared" si="88"/>
        <v>0</v>
      </c>
      <c r="L182" s="435">
        <f t="shared" si="89"/>
        <v>0</v>
      </c>
      <c r="M182" s="398">
        <f t="shared" si="90"/>
        <v>0</v>
      </c>
      <c r="N182" s="398" t="e">
        <f t="shared" si="91"/>
        <v>#NAME?</v>
      </c>
      <c r="O182" s="398" t="e">
        <f t="shared" si="92"/>
        <v>#NAME?</v>
      </c>
      <c r="P182" s="191"/>
      <c r="Q182" s="191"/>
      <c r="R182" s="192"/>
      <c r="S182" s="268"/>
      <c r="T182" s="280"/>
      <c r="U182" s="281"/>
      <c r="V182" s="193"/>
      <c r="W182" s="329">
        <f t="shared" si="93"/>
        <v>0</v>
      </c>
      <c r="X182" s="191"/>
      <c r="Y182" s="290">
        <f t="shared" si="94"/>
        <v>0</v>
      </c>
      <c r="Z182" s="191"/>
      <c r="AA182" s="190">
        <f t="shared" si="95"/>
        <v>0</v>
      </c>
      <c r="AB182" s="191"/>
      <c r="AC182" s="191"/>
      <c r="AD182" s="192"/>
      <c r="AE182" s="268"/>
      <c r="AF182" s="280"/>
      <c r="AG182" s="281"/>
      <c r="AH182" s="193"/>
      <c r="AI182" s="241">
        <f t="shared" si="96"/>
        <v>0</v>
      </c>
      <c r="AJ182" s="191"/>
      <c r="AK182" s="290">
        <f t="shared" si="97"/>
        <v>0</v>
      </c>
      <c r="AL182" s="191"/>
      <c r="AM182" s="190">
        <f t="shared" si="98"/>
        <v>0</v>
      </c>
      <c r="AN182" s="191"/>
      <c r="AO182" s="191"/>
      <c r="AP182" s="191"/>
      <c r="AQ182" s="191"/>
      <c r="AR182" s="194" t="e">
        <f t="shared" si="99"/>
        <v>#NAME?</v>
      </c>
      <c r="AS182" s="194" t="e">
        <f t="shared" si="100"/>
        <v>#NAME?</v>
      </c>
      <c r="AT182" s="195" t="e">
        <v>#NAME?</v>
      </c>
      <c r="AU182" s="195" t="e">
        <v>#NAME?</v>
      </c>
      <c r="AV182" s="195" t="e">
        <v>#NAME?</v>
      </c>
      <c r="AW182" s="196" t="e">
        <f t="shared" si="101"/>
        <v>#NAME?</v>
      </c>
      <c r="AX182" s="195" t="e">
        <v>#NAME?</v>
      </c>
      <c r="AY182" s="195" t="e">
        <v>#NAME?</v>
      </c>
      <c r="AZ182" s="195" t="e">
        <v>#NAME?</v>
      </c>
      <c r="BA182" s="196" t="e">
        <f t="shared" si="102"/>
        <v>#NAME?</v>
      </c>
      <c r="BB182" s="195" t="e">
        <v>#NAME?</v>
      </c>
      <c r="BC182" s="195" t="e">
        <v>#NAME?</v>
      </c>
      <c r="BD182" s="195" t="e">
        <v>#NAME?</v>
      </c>
      <c r="BE182" s="196" t="e">
        <f t="shared" si="103"/>
        <v>#NAME?</v>
      </c>
      <c r="BF182" s="195" t="e">
        <v>#NAME?</v>
      </c>
      <c r="BG182" s="195" t="e">
        <v>#NAME?</v>
      </c>
      <c r="BH182" s="195" t="e">
        <v>#NAME?</v>
      </c>
      <c r="BI182" s="196" t="e">
        <f t="shared" si="104"/>
        <v>#NAME?</v>
      </c>
      <c r="BJ182" s="195" t="e">
        <v>#NAME?</v>
      </c>
      <c r="BK182" s="195" t="e">
        <v>#NAME?</v>
      </c>
      <c r="BL182" s="195" t="e">
        <v>#NAME?</v>
      </c>
      <c r="BM182" s="196" t="e">
        <f t="shared" si="105"/>
        <v>#NAME?</v>
      </c>
      <c r="BN182" s="195" t="e">
        <v>#NAME?</v>
      </c>
      <c r="BO182" s="195" t="e">
        <v>#NAME?</v>
      </c>
      <c r="BP182" s="195" t="e">
        <v>#NAME?</v>
      </c>
      <c r="BQ182" s="196" t="e">
        <f t="shared" si="106"/>
        <v>#NAME?</v>
      </c>
      <c r="BR182" s="195" t="e">
        <v>#NAME?</v>
      </c>
      <c r="BS182" s="195" t="e">
        <v>#NAME?</v>
      </c>
      <c r="BT182" s="195" t="e">
        <v>#NAME?</v>
      </c>
      <c r="BU182" s="196" t="e">
        <f t="shared" si="107"/>
        <v>#NAME?</v>
      </c>
      <c r="BV182" s="195" t="e">
        <v>#NAME?</v>
      </c>
      <c r="BW182" s="195" t="e">
        <v>#NAME?</v>
      </c>
      <c r="BX182" s="195" t="e">
        <v>#NAME?</v>
      </c>
      <c r="BY182" s="196" t="e">
        <f t="shared" si="108"/>
        <v>#NAME?</v>
      </c>
    </row>
    <row r="183" spans="1:77" s="89" customFormat="1" ht="15.75">
      <c r="A183" s="124" t="s">
        <v>289</v>
      </c>
      <c r="B183" s="104"/>
      <c r="C183" s="104"/>
      <c r="D183" s="81"/>
      <c r="E183" s="105"/>
      <c r="F183" s="95"/>
      <c r="G183" s="82"/>
      <c r="H183" s="82"/>
      <c r="I183" s="166"/>
      <c r="J183" s="277" t="s">
        <v>262</v>
      </c>
      <c r="K183" s="329">
        <f t="shared" si="88"/>
        <v>1600</v>
      </c>
      <c r="L183" s="435">
        <f t="shared" si="89"/>
        <v>1440</v>
      </c>
      <c r="M183" s="398">
        <f t="shared" si="90"/>
        <v>1125</v>
      </c>
      <c r="N183" s="398" t="e">
        <f t="shared" si="91"/>
        <v>#NAME?</v>
      </c>
      <c r="O183" s="398" t="e">
        <f t="shared" si="92"/>
        <v>#NAME?</v>
      </c>
      <c r="P183" s="191"/>
      <c r="Q183" s="191"/>
      <c r="R183" s="192"/>
      <c r="S183" s="268" t="s">
        <v>186</v>
      </c>
      <c r="T183" s="280">
        <v>20</v>
      </c>
      <c r="U183" s="281">
        <v>80</v>
      </c>
      <c r="V183" s="193"/>
      <c r="W183" s="329">
        <f t="shared" si="93"/>
        <v>1600</v>
      </c>
      <c r="X183" s="191"/>
      <c r="Y183" s="290">
        <f t="shared" si="94"/>
        <v>1600</v>
      </c>
      <c r="Z183" s="191"/>
      <c r="AA183" s="190">
        <f t="shared" si="95"/>
        <v>1250</v>
      </c>
      <c r="AB183" s="191"/>
      <c r="AC183" s="191"/>
      <c r="AD183" s="192"/>
      <c r="AE183" s="268" t="s">
        <v>186</v>
      </c>
      <c r="AF183" s="280">
        <v>75</v>
      </c>
      <c r="AG183" s="281">
        <v>80</v>
      </c>
      <c r="AH183" s="193"/>
      <c r="AI183" s="241">
        <f t="shared" si="96"/>
        <v>6000</v>
      </c>
      <c r="AJ183" s="191"/>
      <c r="AK183" s="290">
        <f t="shared" si="97"/>
        <v>6000</v>
      </c>
      <c r="AL183" s="191"/>
      <c r="AM183" s="190">
        <f t="shared" si="98"/>
        <v>4687.5</v>
      </c>
      <c r="AN183" s="191"/>
      <c r="AO183" s="191"/>
      <c r="AP183" s="191"/>
      <c r="AQ183" s="191"/>
      <c r="AR183" s="194" t="e">
        <f t="shared" si="99"/>
        <v>#NAME?</v>
      </c>
      <c r="AS183" s="194" t="e">
        <f t="shared" si="100"/>
        <v>#NAME?</v>
      </c>
      <c r="AT183" s="195" t="e">
        <v>#NAME?</v>
      </c>
      <c r="AU183" s="195" t="e">
        <v>#NAME?</v>
      </c>
      <c r="AV183" s="195" t="e">
        <v>#NAME?</v>
      </c>
      <c r="AW183" s="196" t="e">
        <f t="shared" si="101"/>
        <v>#NAME?</v>
      </c>
      <c r="AX183" s="195" t="e">
        <v>#NAME?</v>
      </c>
      <c r="AY183" s="195" t="e">
        <v>#NAME?</v>
      </c>
      <c r="AZ183" s="195" t="e">
        <v>#NAME?</v>
      </c>
      <c r="BA183" s="196" t="e">
        <f t="shared" si="102"/>
        <v>#NAME?</v>
      </c>
      <c r="BB183" s="195" t="e">
        <v>#NAME?</v>
      </c>
      <c r="BC183" s="195" t="e">
        <v>#NAME?</v>
      </c>
      <c r="BD183" s="195" t="e">
        <v>#NAME?</v>
      </c>
      <c r="BE183" s="196" t="e">
        <f t="shared" si="103"/>
        <v>#NAME?</v>
      </c>
      <c r="BF183" s="195" t="e">
        <v>#NAME?</v>
      </c>
      <c r="BG183" s="195" t="e">
        <v>#NAME?</v>
      </c>
      <c r="BH183" s="195" t="e">
        <v>#NAME?</v>
      </c>
      <c r="BI183" s="196" t="e">
        <f t="shared" si="104"/>
        <v>#NAME?</v>
      </c>
      <c r="BJ183" s="195" t="e">
        <v>#NAME?</v>
      </c>
      <c r="BK183" s="195" t="e">
        <v>#NAME?</v>
      </c>
      <c r="BL183" s="195" t="e">
        <v>#NAME?</v>
      </c>
      <c r="BM183" s="196" t="e">
        <f t="shared" si="105"/>
        <v>#NAME?</v>
      </c>
      <c r="BN183" s="195" t="e">
        <v>#NAME?</v>
      </c>
      <c r="BO183" s="195" t="e">
        <v>#NAME?</v>
      </c>
      <c r="BP183" s="195" t="e">
        <v>#NAME?</v>
      </c>
      <c r="BQ183" s="196" t="e">
        <f t="shared" si="106"/>
        <v>#NAME?</v>
      </c>
      <c r="BR183" s="195" t="e">
        <v>#NAME?</v>
      </c>
      <c r="BS183" s="195" t="e">
        <v>#NAME?</v>
      </c>
      <c r="BT183" s="195" t="e">
        <v>#NAME?</v>
      </c>
      <c r="BU183" s="196" t="e">
        <f t="shared" si="107"/>
        <v>#NAME?</v>
      </c>
      <c r="BV183" s="195" t="e">
        <v>#NAME?</v>
      </c>
      <c r="BW183" s="195" t="e">
        <v>#NAME?</v>
      </c>
      <c r="BX183" s="195" t="e">
        <v>#NAME?</v>
      </c>
      <c r="BY183" s="196" t="e">
        <f t="shared" si="108"/>
        <v>#NAME?</v>
      </c>
    </row>
    <row r="184" spans="1:77" s="89" customFormat="1" ht="26.25">
      <c r="A184" s="124" t="s">
        <v>290</v>
      </c>
      <c r="B184" s="104"/>
      <c r="C184" s="104"/>
      <c r="D184" s="81"/>
      <c r="E184" s="105"/>
      <c r="F184" s="95"/>
      <c r="G184" s="82"/>
      <c r="H184" s="82"/>
      <c r="I184" s="166"/>
      <c r="J184" s="277" t="s">
        <v>263</v>
      </c>
      <c r="K184" s="329">
        <f t="shared" si="88"/>
        <v>6000</v>
      </c>
      <c r="L184" s="435">
        <f t="shared" si="89"/>
        <v>5400</v>
      </c>
      <c r="M184" s="398">
        <f t="shared" si="90"/>
        <v>4218.75</v>
      </c>
      <c r="N184" s="398" t="e">
        <f t="shared" si="91"/>
        <v>#NAME?</v>
      </c>
      <c r="O184" s="398" t="e">
        <f t="shared" si="92"/>
        <v>#NAME?</v>
      </c>
      <c r="P184" s="191"/>
      <c r="Q184" s="191"/>
      <c r="R184" s="192"/>
      <c r="S184" s="288" t="s">
        <v>273</v>
      </c>
      <c r="T184" s="280">
        <v>500</v>
      </c>
      <c r="U184" s="281">
        <v>12</v>
      </c>
      <c r="V184" s="193"/>
      <c r="W184" s="329">
        <f t="shared" si="93"/>
        <v>6000</v>
      </c>
      <c r="X184" s="191"/>
      <c r="Y184" s="290">
        <f t="shared" si="94"/>
        <v>6000</v>
      </c>
      <c r="Z184" s="191"/>
      <c r="AA184" s="190">
        <f t="shared" si="95"/>
        <v>4687.5</v>
      </c>
      <c r="AB184" s="191"/>
      <c r="AC184" s="191"/>
      <c r="AD184" s="192"/>
      <c r="AE184" s="288" t="s">
        <v>273</v>
      </c>
      <c r="AF184" s="280">
        <v>1875</v>
      </c>
      <c r="AG184" s="281">
        <v>12</v>
      </c>
      <c r="AH184" s="193"/>
      <c r="AI184" s="241">
        <f t="shared" si="96"/>
        <v>22500</v>
      </c>
      <c r="AJ184" s="191"/>
      <c r="AK184" s="290">
        <f t="shared" si="97"/>
        <v>22500</v>
      </c>
      <c r="AL184" s="191"/>
      <c r="AM184" s="190">
        <f t="shared" si="98"/>
        <v>17578.125</v>
      </c>
      <c r="AN184" s="191"/>
      <c r="AO184" s="191"/>
      <c r="AP184" s="191"/>
      <c r="AQ184" s="191"/>
      <c r="AR184" s="194" t="e">
        <f t="shared" si="99"/>
        <v>#NAME?</v>
      </c>
      <c r="AS184" s="194" t="e">
        <f t="shared" si="100"/>
        <v>#NAME?</v>
      </c>
      <c r="AT184" s="195" t="e">
        <v>#NAME?</v>
      </c>
      <c r="AU184" s="195" t="e">
        <v>#NAME?</v>
      </c>
      <c r="AV184" s="195" t="e">
        <v>#NAME?</v>
      </c>
      <c r="AW184" s="196" t="e">
        <f t="shared" si="101"/>
        <v>#NAME?</v>
      </c>
      <c r="AX184" s="195" t="e">
        <v>#NAME?</v>
      </c>
      <c r="AY184" s="195" t="e">
        <v>#NAME?</v>
      </c>
      <c r="AZ184" s="195" t="e">
        <v>#NAME?</v>
      </c>
      <c r="BA184" s="196" t="e">
        <f t="shared" si="102"/>
        <v>#NAME?</v>
      </c>
      <c r="BB184" s="195" t="e">
        <v>#NAME?</v>
      </c>
      <c r="BC184" s="195" t="e">
        <v>#NAME?</v>
      </c>
      <c r="BD184" s="195" t="e">
        <v>#NAME?</v>
      </c>
      <c r="BE184" s="196" t="e">
        <f t="shared" si="103"/>
        <v>#NAME?</v>
      </c>
      <c r="BF184" s="195" t="e">
        <v>#NAME?</v>
      </c>
      <c r="BG184" s="195" t="e">
        <v>#NAME?</v>
      </c>
      <c r="BH184" s="195" t="e">
        <v>#NAME?</v>
      </c>
      <c r="BI184" s="196" t="e">
        <f t="shared" si="104"/>
        <v>#NAME?</v>
      </c>
      <c r="BJ184" s="195" t="e">
        <v>#NAME?</v>
      </c>
      <c r="BK184" s="195" t="e">
        <v>#NAME?</v>
      </c>
      <c r="BL184" s="195" t="e">
        <v>#NAME?</v>
      </c>
      <c r="BM184" s="196" t="e">
        <f t="shared" si="105"/>
        <v>#NAME?</v>
      </c>
      <c r="BN184" s="195" t="e">
        <v>#NAME?</v>
      </c>
      <c r="BO184" s="195" t="e">
        <v>#NAME?</v>
      </c>
      <c r="BP184" s="195" t="e">
        <v>#NAME?</v>
      </c>
      <c r="BQ184" s="196" t="e">
        <f t="shared" si="106"/>
        <v>#NAME?</v>
      </c>
      <c r="BR184" s="195" t="e">
        <v>#NAME?</v>
      </c>
      <c r="BS184" s="195" t="e">
        <v>#NAME?</v>
      </c>
      <c r="BT184" s="195" t="e">
        <v>#NAME?</v>
      </c>
      <c r="BU184" s="196" t="e">
        <f t="shared" si="107"/>
        <v>#NAME?</v>
      </c>
      <c r="BV184" s="195" t="e">
        <v>#NAME?</v>
      </c>
      <c r="BW184" s="195" t="e">
        <v>#NAME?</v>
      </c>
      <c r="BX184" s="195" t="e">
        <v>#NAME?</v>
      </c>
      <c r="BY184" s="196" t="e">
        <f t="shared" si="108"/>
        <v>#NAME?</v>
      </c>
    </row>
    <row r="185" spans="1:77" s="89" customFormat="1" ht="26.25">
      <c r="A185" s="124" t="s">
        <v>291</v>
      </c>
      <c r="B185" s="104"/>
      <c r="C185" s="104"/>
      <c r="D185" s="81"/>
      <c r="E185" s="105"/>
      <c r="F185" s="95"/>
      <c r="G185" s="82"/>
      <c r="H185" s="82"/>
      <c r="I185" s="166"/>
      <c r="J185" s="277" t="s">
        <v>264</v>
      </c>
      <c r="K185" s="329">
        <f t="shared" si="88"/>
        <v>2000</v>
      </c>
      <c r="L185" s="435">
        <f t="shared" si="89"/>
        <v>1800</v>
      </c>
      <c r="M185" s="398">
        <f t="shared" si="90"/>
        <v>1406.25</v>
      </c>
      <c r="N185" s="398" t="e">
        <f t="shared" si="91"/>
        <v>#NAME?</v>
      </c>
      <c r="O185" s="398" t="e">
        <f t="shared" si="92"/>
        <v>#NAME?</v>
      </c>
      <c r="P185" s="191"/>
      <c r="Q185" s="191"/>
      <c r="R185" s="192"/>
      <c r="S185" s="288" t="str">
        <f>S184</f>
        <v>Per participant/day</v>
      </c>
      <c r="T185" s="280">
        <v>500</v>
      </c>
      <c r="U185" s="281">
        <v>4</v>
      </c>
      <c r="V185" s="193"/>
      <c r="W185" s="329">
        <f t="shared" si="93"/>
        <v>2000</v>
      </c>
      <c r="X185" s="191"/>
      <c r="Y185" s="290">
        <f t="shared" si="94"/>
        <v>2000</v>
      </c>
      <c r="Z185" s="191"/>
      <c r="AA185" s="190">
        <f t="shared" si="95"/>
        <v>1562.5</v>
      </c>
      <c r="AB185" s="191"/>
      <c r="AC185" s="191"/>
      <c r="AD185" s="192"/>
      <c r="AE185" s="288" t="str">
        <f>AE184</f>
        <v>Per participant/day</v>
      </c>
      <c r="AF185" s="280">
        <v>1875</v>
      </c>
      <c r="AG185" s="281">
        <v>4</v>
      </c>
      <c r="AH185" s="193"/>
      <c r="AI185" s="241">
        <f t="shared" si="96"/>
        <v>7500</v>
      </c>
      <c r="AJ185" s="191"/>
      <c r="AK185" s="290">
        <f t="shared" si="97"/>
        <v>7500</v>
      </c>
      <c r="AL185" s="191"/>
      <c r="AM185" s="190">
        <f t="shared" si="98"/>
        <v>5859.375</v>
      </c>
      <c r="AN185" s="191"/>
      <c r="AO185" s="191"/>
      <c r="AP185" s="191"/>
      <c r="AQ185" s="191"/>
      <c r="AR185" s="194" t="e">
        <f t="shared" si="99"/>
        <v>#NAME?</v>
      </c>
      <c r="AS185" s="194" t="e">
        <f t="shared" si="100"/>
        <v>#NAME?</v>
      </c>
      <c r="AT185" s="195" t="e">
        <v>#NAME?</v>
      </c>
      <c r="AU185" s="195" t="e">
        <v>#NAME?</v>
      </c>
      <c r="AV185" s="195" t="e">
        <v>#NAME?</v>
      </c>
      <c r="AW185" s="196" t="e">
        <f t="shared" si="101"/>
        <v>#NAME?</v>
      </c>
      <c r="AX185" s="195" t="e">
        <v>#NAME?</v>
      </c>
      <c r="AY185" s="195" t="e">
        <v>#NAME?</v>
      </c>
      <c r="AZ185" s="195" t="e">
        <v>#NAME?</v>
      </c>
      <c r="BA185" s="196" t="e">
        <f t="shared" si="102"/>
        <v>#NAME?</v>
      </c>
      <c r="BB185" s="195" t="e">
        <v>#NAME?</v>
      </c>
      <c r="BC185" s="195" t="e">
        <v>#NAME?</v>
      </c>
      <c r="BD185" s="195" t="e">
        <v>#NAME?</v>
      </c>
      <c r="BE185" s="196" t="e">
        <f t="shared" si="103"/>
        <v>#NAME?</v>
      </c>
      <c r="BF185" s="195" t="e">
        <v>#NAME?</v>
      </c>
      <c r="BG185" s="195" t="e">
        <v>#NAME?</v>
      </c>
      <c r="BH185" s="195" t="e">
        <v>#NAME?</v>
      </c>
      <c r="BI185" s="196" t="e">
        <f t="shared" si="104"/>
        <v>#NAME?</v>
      </c>
      <c r="BJ185" s="195" t="e">
        <v>#NAME?</v>
      </c>
      <c r="BK185" s="195" t="e">
        <v>#NAME?</v>
      </c>
      <c r="BL185" s="195" t="e">
        <v>#NAME?</v>
      </c>
      <c r="BM185" s="196" t="e">
        <f t="shared" si="105"/>
        <v>#NAME?</v>
      </c>
      <c r="BN185" s="195" t="e">
        <v>#NAME?</v>
      </c>
      <c r="BO185" s="195" t="e">
        <v>#NAME?</v>
      </c>
      <c r="BP185" s="195" t="e">
        <v>#NAME?</v>
      </c>
      <c r="BQ185" s="196" t="e">
        <f t="shared" si="106"/>
        <v>#NAME?</v>
      </c>
      <c r="BR185" s="195" t="e">
        <v>#NAME?</v>
      </c>
      <c r="BS185" s="195" t="e">
        <v>#NAME?</v>
      </c>
      <c r="BT185" s="195" t="e">
        <v>#NAME?</v>
      </c>
      <c r="BU185" s="196" t="e">
        <f t="shared" si="107"/>
        <v>#NAME?</v>
      </c>
      <c r="BV185" s="195" t="e">
        <v>#NAME?</v>
      </c>
      <c r="BW185" s="195" t="e">
        <v>#NAME?</v>
      </c>
      <c r="BX185" s="195" t="e">
        <v>#NAME?</v>
      </c>
      <c r="BY185" s="196" t="e">
        <f t="shared" si="108"/>
        <v>#NAME?</v>
      </c>
    </row>
    <row r="186" spans="1:77" s="89" customFormat="1" ht="15.75">
      <c r="A186" s="124" t="s">
        <v>292</v>
      </c>
      <c r="B186" s="104"/>
      <c r="C186" s="104"/>
      <c r="D186" s="81"/>
      <c r="E186" s="105"/>
      <c r="F186" s="95"/>
      <c r="G186" s="82"/>
      <c r="H186" s="82"/>
      <c r="I186" s="166"/>
      <c r="J186" s="277" t="s">
        <v>265</v>
      </c>
      <c r="K186" s="329">
        <f t="shared" si="88"/>
        <v>960</v>
      </c>
      <c r="L186" s="435">
        <f t="shared" si="89"/>
        <v>864</v>
      </c>
      <c r="M186" s="398">
        <f t="shared" si="90"/>
        <v>675</v>
      </c>
      <c r="N186" s="398" t="e">
        <f t="shared" si="91"/>
        <v>#NAME?</v>
      </c>
      <c r="O186" s="398" t="e">
        <f t="shared" si="92"/>
        <v>#NAME?</v>
      </c>
      <c r="P186" s="191"/>
      <c r="Q186" s="191"/>
      <c r="R186" s="192"/>
      <c r="S186" s="268" t="s">
        <v>272</v>
      </c>
      <c r="T186" s="280">
        <v>3</v>
      </c>
      <c r="U186" s="281">
        <v>320</v>
      </c>
      <c r="V186" s="193"/>
      <c r="W186" s="329">
        <f t="shared" si="93"/>
        <v>960</v>
      </c>
      <c r="X186" s="191"/>
      <c r="Y186" s="290">
        <f t="shared" si="94"/>
        <v>960</v>
      </c>
      <c r="Z186" s="191"/>
      <c r="AA186" s="190">
        <f t="shared" si="95"/>
        <v>750</v>
      </c>
      <c r="AB186" s="191"/>
      <c r="AC186" s="191"/>
      <c r="AD186" s="192"/>
      <c r="AE186" s="268" t="s">
        <v>272</v>
      </c>
      <c r="AF186" s="280">
        <v>10</v>
      </c>
      <c r="AG186" s="281">
        <v>320</v>
      </c>
      <c r="AH186" s="193"/>
      <c r="AI186" s="241">
        <f t="shared" si="96"/>
        <v>3200</v>
      </c>
      <c r="AJ186" s="191"/>
      <c r="AK186" s="290">
        <f t="shared" si="97"/>
        <v>3200</v>
      </c>
      <c r="AL186" s="191"/>
      <c r="AM186" s="190">
        <f t="shared" si="98"/>
        <v>2500</v>
      </c>
      <c r="AN186" s="191"/>
      <c r="AO186" s="191"/>
      <c r="AP186" s="191"/>
      <c r="AQ186" s="191"/>
      <c r="AR186" s="194" t="e">
        <f t="shared" si="99"/>
        <v>#NAME?</v>
      </c>
      <c r="AS186" s="194" t="e">
        <f t="shared" si="100"/>
        <v>#NAME?</v>
      </c>
      <c r="AT186" s="195" t="e">
        <v>#NAME?</v>
      </c>
      <c r="AU186" s="195" t="e">
        <v>#NAME?</v>
      </c>
      <c r="AV186" s="195" t="e">
        <v>#NAME?</v>
      </c>
      <c r="AW186" s="196" t="e">
        <f t="shared" si="101"/>
        <v>#NAME?</v>
      </c>
      <c r="AX186" s="195" t="e">
        <v>#NAME?</v>
      </c>
      <c r="AY186" s="195" t="e">
        <v>#NAME?</v>
      </c>
      <c r="AZ186" s="195" t="e">
        <v>#NAME?</v>
      </c>
      <c r="BA186" s="196" t="e">
        <f t="shared" si="102"/>
        <v>#NAME?</v>
      </c>
      <c r="BB186" s="195" t="e">
        <v>#NAME?</v>
      </c>
      <c r="BC186" s="195" t="e">
        <v>#NAME?</v>
      </c>
      <c r="BD186" s="195" t="e">
        <v>#NAME?</v>
      </c>
      <c r="BE186" s="196" t="e">
        <f t="shared" si="103"/>
        <v>#NAME?</v>
      </c>
      <c r="BF186" s="195" t="e">
        <v>#NAME?</v>
      </c>
      <c r="BG186" s="195" t="e">
        <v>#NAME?</v>
      </c>
      <c r="BH186" s="195" t="e">
        <v>#NAME?</v>
      </c>
      <c r="BI186" s="196" t="e">
        <f t="shared" si="104"/>
        <v>#NAME?</v>
      </c>
      <c r="BJ186" s="195" t="e">
        <v>#NAME?</v>
      </c>
      <c r="BK186" s="195" t="e">
        <v>#NAME?</v>
      </c>
      <c r="BL186" s="195" t="e">
        <v>#NAME?</v>
      </c>
      <c r="BM186" s="196" t="e">
        <f t="shared" si="105"/>
        <v>#NAME?</v>
      </c>
      <c r="BN186" s="195" t="e">
        <v>#NAME?</v>
      </c>
      <c r="BO186" s="195" t="e">
        <v>#NAME?</v>
      </c>
      <c r="BP186" s="195" t="e">
        <v>#NAME?</v>
      </c>
      <c r="BQ186" s="196" t="e">
        <f t="shared" si="106"/>
        <v>#NAME?</v>
      </c>
      <c r="BR186" s="195" t="e">
        <v>#NAME?</v>
      </c>
      <c r="BS186" s="195" t="e">
        <v>#NAME?</v>
      </c>
      <c r="BT186" s="195" t="e">
        <v>#NAME?</v>
      </c>
      <c r="BU186" s="196" t="e">
        <f t="shared" si="107"/>
        <v>#NAME?</v>
      </c>
      <c r="BV186" s="195" t="e">
        <v>#NAME?</v>
      </c>
      <c r="BW186" s="195" t="e">
        <v>#NAME?</v>
      </c>
      <c r="BX186" s="195" t="e">
        <v>#NAME?</v>
      </c>
      <c r="BY186" s="196" t="e">
        <f t="shared" si="108"/>
        <v>#NAME?</v>
      </c>
    </row>
    <row r="187" spans="1:77" s="89" customFormat="1" ht="25.5">
      <c r="A187" s="124" t="s">
        <v>293</v>
      </c>
      <c r="B187" s="104"/>
      <c r="C187" s="104"/>
      <c r="D187" s="81"/>
      <c r="E187" s="105"/>
      <c r="F187" s="95"/>
      <c r="G187" s="82"/>
      <c r="H187" s="82"/>
      <c r="I187" s="166"/>
      <c r="J187" s="286" t="s">
        <v>266</v>
      </c>
      <c r="K187" s="329">
        <f t="shared" si="88"/>
        <v>0</v>
      </c>
      <c r="L187" s="435">
        <f t="shared" si="89"/>
        <v>0</v>
      </c>
      <c r="M187" s="398">
        <f t="shared" si="90"/>
        <v>0</v>
      </c>
      <c r="N187" s="398" t="e">
        <f t="shared" si="91"/>
        <v>#NAME?</v>
      </c>
      <c r="O187" s="398" t="e">
        <f t="shared" si="92"/>
        <v>#NAME?</v>
      </c>
      <c r="P187" s="191"/>
      <c r="Q187" s="191"/>
      <c r="R187" s="192"/>
      <c r="S187" s="268"/>
      <c r="T187" s="280"/>
      <c r="U187" s="281"/>
      <c r="V187" s="193"/>
      <c r="W187" s="329">
        <f t="shared" si="93"/>
        <v>0</v>
      </c>
      <c r="X187" s="191"/>
      <c r="Y187" s="290">
        <f t="shared" si="94"/>
        <v>0</v>
      </c>
      <c r="Z187" s="191"/>
      <c r="AA187" s="190">
        <f t="shared" si="95"/>
        <v>0</v>
      </c>
      <c r="AB187" s="191"/>
      <c r="AC187" s="191"/>
      <c r="AD187" s="192"/>
      <c r="AE187" s="268"/>
      <c r="AF187" s="280"/>
      <c r="AG187" s="281"/>
      <c r="AH187" s="193"/>
      <c r="AI187" s="241">
        <f t="shared" si="96"/>
        <v>0</v>
      </c>
      <c r="AJ187" s="191"/>
      <c r="AK187" s="290">
        <f t="shared" si="97"/>
        <v>0</v>
      </c>
      <c r="AL187" s="191"/>
      <c r="AM187" s="190">
        <f t="shared" si="98"/>
        <v>0</v>
      </c>
      <c r="AN187" s="191"/>
      <c r="AO187" s="191"/>
      <c r="AP187" s="191"/>
      <c r="AQ187" s="191"/>
      <c r="AR187" s="194" t="e">
        <f t="shared" si="99"/>
        <v>#NAME?</v>
      </c>
      <c r="AS187" s="194" t="e">
        <f t="shared" si="100"/>
        <v>#NAME?</v>
      </c>
      <c r="AT187" s="195" t="e">
        <v>#NAME?</v>
      </c>
      <c r="AU187" s="195" t="e">
        <v>#NAME?</v>
      </c>
      <c r="AV187" s="195" t="e">
        <v>#NAME?</v>
      </c>
      <c r="AW187" s="196" t="e">
        <f t="shared" si="101"/>
        <v>#NAME?</v>
      </c>
      <c r="AX187" s="195" t="e">
        <v>#NAME?</v>
      </c>
      <c r="AY187" s="195" t="e">
        <v>#NAME?</v>
      </c>
      <c r="AZ187" s="195" t="e">
        <v>#NAME?</v>
      </c>
      <c r="BA187" s="196" t="e">
        <f t="shared" si="102"/>
        <v>#NAME?</v>
      </c>
      <c r="BB187" s="195" t="e">
        <v>#NAME?</v>
      </c>
      <c r="BC187" s="195" t="e">
        <v>#NAME?</v>
      </c>
      <c r="BD187" s="195" t="e">
        <v>#NAME?</v>
      </c>
      <c r="BE187" s="196" t="e">
        <f t="shared" si="103"/>
        <v>#NAME?</v>
      </c>
      <c r="BF187" s="195" t="e">
        <v>#NAME?</v>
      </c>
      <c r="BG187" s="195" t="e">
        <v>#NAME?</v>
      </c>
      <c r="BH187" s="195" t="e">
        <v>#NAME?</v>
      </c>
      <c r="BI187" s="196" t="e">
        <f t="shared" si="104"/>
        <v>#NAME?</v>
      </c>
      <c r="BJ187" s="195" t="e">
        <v>#NAME?</v>
      </c>
      <c r="BK187" s="195" t="e">
        <v>#NAME?</v>
      </c>
      <c r="BL187" s="195" t="e">
        <v>#NAME?</v>
      </c>
      <c r="BM187" s="196" t="e">
        <f t="shared" si="105"/>
        <v>#NAME?</v>
      </c>
      <c r="BN187" s="195" t="e">
        <v>#NAME?</v>
      </c>
      <c r="BO187" s="195" t="e">
        <v>#NAME?</v>
      </c>
      <c r="BP187" s="195" t="e">
        <v>#NAME?</v>
      </c>
      <c r="BQ187" s="196" t="e">
        <f t="shared" si="106"/>
        <v>#NAME?</v>
      </c>
      <c r="BR187" s="195" t="e">
        <v>#NAME?</v>
      </c>
      <c r="BS187" s="195" t="e">
        <v>#NAME?</v>
      </c>
      <c r="BT187" s="195" t="e">
        <v>#NAME?</v>
      </c>
      <c r="BU187" s="196" t="e">
        <f t="shared" si="107"/>
        <v>#NAME?</v>
      </c>
      <c r="BV187" s="195" t="e">
        <v>#NAME?</v>
      </c>
      <c r="BW187" s="195" t="e">
        <v>#NAME?</v>
      </c>
      <c r="BX187" s="195" t="e">
        <v>#NAME?</v>
      </c>
      <c r="BY187" s="196" t="e">
        <f t="shared" si="108"/>
        <v>#NAME?</v>
      </c>
    </row>
    <row r="188" spans="1:77" s="89" customFormat="1" ht="15.75">
      <c r="A188" s="124" t="s">
        <v>294</v>
      </c>
      <c r="B188" s="104"/>
      <c r="C188" s="104"/>
      <c r="D188" s="81"/>
      <c r="E188" s="105"/>
      <c r="F188" s="95"/>
      <c r="G188" s="82"/>
      <c r="H188" s="82"/>
      <c r="I188" s="166"/>
      <c r="J188" s="277" t="s">
        <v>267</v>
      </c>
      <c r="K188" s="329">
        <f t="shared" si="88"/>
        <v>2400</v>
      </c>
      <c r="L188" s="435">
        <f t="shared" si="89"/>
        <v>2160</v>
      </c>
      <c r="M188" s="398">
        <f t="shared" si="90"/>
        <v>1687.5</v>
      </c>
      <c r="N188" s="398" t="e">
        <f t="shared" si="91"/>
        <v>#NAME?</v>
      </c>
      <c r="O188" s="398" t="e">
        <f t="shared" si="92"/>
        <v>#NAME?</v>
      </c>
      <c r="P188" s="191"/>
      <c r="Q188" s="191"/>
      <c r="R188" s="192"/>
      <c r="S188" s="268" t="s">
        <v>224</v>
      </c>
      <c r="T188" s="280">
        <v>1</v>
      </c>
      <c r="U188" s="281">
        <v>2400</v>
      </c>
      <c r="V188" s="193"/>
      <c r="W188" s="329">
        <f t="shared" si="93"/>
        <v>2400</v>
      </c>
      <c r="X188" s="191"/>
      <c r="Y188" s="290">
        <f t="shared" si="94"/>
        <v>2400</v>
      </c>
      <c r="Z188" s="191"/>
      <c r="AA188" s="190">
        <f t="shared" si="95"/>
        <v>1875</v>
      </c>
      <c r="AB188" s="191"/>
      <c r="AC188" s="191"/>
      <c r="AD188" s="192"/>
      <c r="AE188" s="268" t="s">
        <v>224</v>
      </c>
      <c r="AF188" s="280">
        <v>3</v>
      </c>
      <c r="AG188" s="281">
        <v>2400</v>
      </c>
      <c r="AH188" s="193"/>
      <c r="AI188" s="241">
        <f t="shared" si="96"/>
        <v>7200</v>
      </c>
      <c r="AJ188" s="191"/>
      <c r="AK188" s="290">
        <f t="shared" si="97"/>
        <v>7200</v>
      </c>
      <c r="AL188" s="191"/>
      <c r="AM188" s="190">
        <f t="shared" si="98"/>
        <v>5625</v>
      </c>
      <c r="AN188" s="191"/>
      <c r="AO188" s="191"/>
      <c r="AP188" s="191"/>
      <c r="AQ188" s="191"/>
      <c r="AR188" s="194" t="e">
        <f t="shared" si="99"/>
        <v>#NAME?</v>
      </c>
      <c r="AS188" s="194" t="e">
        <f t="shared" si="100"/>
        <v>#NAME?</v>
      </c>
      <c r="AT188" s="195" t="e">
        <v>#NAME?</v>
      </c>
      <c r="AU188" s="195" t="e">
        <v>#NAME?</v>
      </c>
      <c r="AV188" s="195" t="e">
        <v>#NAME?</v>
      </c>
      <c r="AW188" s="196" t="e">
        <f t="shared" si="101"/>
        <v>#NAME?</v>
      </c>
      <c r="AX188" s="195" t="e">
        <v>#NAME?</v>
      </c>
      <c r="AY188" s="195" t="e">
        <v>#NAME?</v>
      </c>
      <c r="AZ188" s="195" t="e">
        <v>#NAME?</v>
      </c>
      <c r="BA188" s="196" t="e">
        <f t="shared" si="102"/>
        <v>#NAME?</v>
      </c>
      <c r="BB188" s="195" t="e">
        <v>#NAME?</v>
      </c>
      <c r="BC188" s="195" t="e">
        <v>#NAME?</v>
      </c>
      <c r="BD188" s="195" t="e">
        <v>#NAME?</v>
      </c>
      <c r="BE188" s="196" t="e">
        <f t="shared" si="103"/>
        <v>#NAME?</v>
      </c>
      <c r="BF188" s="195" t="e">
        <v>#NAME?</v>
      </c>
      <c r="BG188" s="195" t="e">
        <v>#NAME?</v>
      </c>
      <c r="BH188" s="195" t="e">
        <v>#NAME?</v>
      </c>
      <c r="BI188" s="196" t="e">
        <f t="shared" si="104"/>
        <v>#NAME?</v>
      </c>
      <c r="BJ188" s="195" t="e">
        <v>#NAME?</v>
      </c>
      <c r="BK188" s="195" t="e">
        <v>#NAME?</v>
      </c>
      <c r="BL188" s="195" t="e">
        <v>#NAME?</v>
      </c>
      <c r="BM188" s="196" t="e">
        <f t="shared" si="105"/>
        <v>#NAME?</v>
      </c>
      <c r="BN188" s="195" t="e">
        <v>#NAME?</v>
      </c>
      <c r="BO188" s="195" t="e">
        <v>#NAME?</v>
      </c>
      <c r="BP188" s="195" t="e">
        <v>#NAME?</v>
      </c>
      <c r="BQ188" s="196" t="e">
        <f t="shared" si="106"/>
        <v>#NAME?</v>
      </c>
      <c r="BR188" s="195" t="e">
        <v>#NAME?</v>
      </c>
      <c r="BS188" s="195" t="e">
        <v>#NAME?</v>
      </c>
      <c r="BT188" s="195" t="e">
        <v>#NAME?</v>
      </c>
      <c r="BU188" s="196" t="e">
        <f t="shared" si="107"/>
        <v>#NAME?</v>
      </c>
      <c r="BV188" s="195" t="e">
        <v>#NAME?</v>
      </c>
      <c r="BW188" s="195" t="e">
        <v>#NAME?</v>
      </c>
      <c r="BX188" s="195" t="e">
        <v>#NAME?</v>
      </c>
      <c r="BY188" s="196" t="e">
        <f t="shared" si="108"/>
        <v>#NAME?</v>
      </c>
    </row>
    <row r="189" spans="1:77" s="89" customFormat="1" ht="15.75">
      <c r="A189" s="124" t="s">
        <v>295</v>
      </c>
      <c r="B189" s="104"/>
      <c r="C189" s="104"/>
      <c r="D189" s="81"/>
      <c r="E189" s="105"/>
      <c r="F189" s="95"/>
      <c r="G189" s="82"/>
      <c r="H189" s="82"/>
      <c r="I189" s="166"/>
      <c r="J189" s="277" t="s">
        <v>268</v>
      </c>
      <c r="K189" s="329">
        <f t="shared" si="88"/>
        <v>3300</v>
      </c>
      <c r="L189" s="435">
        <f t="shared" si="89"/>
        <v>2970</v>
      </c>
      <c r="M189" s="398">
        <f t="shared" si="90"/>
        <v>2320.3125</v>
      </c>
      <c r="N189" s="398" t="e">
        <f t="shared" si="91"/>
        <v>#NAME?</v>
      </c>
      <c r="O189" s="398" t="e">
        <f t="shared" si="92"/>
        <v>#NAME?</v>
      </c>
      <c r="P189" s="191"/>
      <c r="Q189" s="191"/>
      <c r="R189" s="192"/>
      <c r="S189" s="268" t="s">
        <v>186</v>
      </c>
      <c r="T189" s="280">
        <v>30</v>
      </c>
      <c r="U189" s="281">
        <v>110</v>
      </c>
      <c r="V189" s="193"/>
      <c r="W189" s="329">
        <f>(T189*U189)</f>
        <v>3300</v>
      </c>
      <c r="X189" s="191"/>
      <c r="Y189" s="290">
        <f t="shared" si="94"/>
        <v>3300</v>
      </c>
      <c r="Z189" s="191"/>
      <c r="AA189" s="190">
        <f t="shared" si="95"/>
        <v>2578.125</v>
      </c>
      <c r="AB189" s="191"/>
      <c r="AC189" s="191"/>
      <c r="AD189" s="192"/>
      <c r="AE189" s="268" t="s">
        <v>186</v>
      </c>
      <c r="AF189" s="280">
        <v>90</v>
      </c>
      <c r="AG189" s="281">
        <v>110</v>
      </c>
      <c r="AH189" s="193"/>
      <c r="AI189" s="241">
        <f t="shared" si="96"/>
        <v>9900</v>
      </c>
      <c r="AJ189" s="191"/>
      <c r="AK189" s="290">
        <f t="shared" si="97"/>
        <v>9900</v>
      </c>
      <c r="AL189" s="191"/>
      <c r="AM189" s="190">
        <f t="shared" si="98"/>
        <v>7734.375</v>
      </c>
      <c r="AN189" s="191"/>
      <c r="AO189" s="191"/>
      <c r="AP189" s="191"/>
      <c r="AQ189" s="191"/>
      <c r="AR189" s="194" t="e">
        <f t="shared" si="99"/>
        <v>#NAME?</v>
      </c>
      <c r="AS189" s="194" t="e">
        <f t="shared" si="100"/>
        <v>#NAME?</v>
      </c>
      <c r="AT189" s="195" t="e">
        <v>#NAME?</v>
      </c>
      <c r="AU189" s="195" t="e">
        <v>#NAME?</v>
      </c>
      <c r="AV189" s="195" t="e">
        <v>#NAME?</v>
      </c>
      <c r="AW189" s="196" t="e">
        <f t="shared" si="101"/>
        <v>#NAME?</v>
      </c>
      <c r="AX189" s="195" t="e">
        <v>#NAME?</v>
      </c>
      <c r="AY189" s="195" t="e">
        <v>#NAME?</v>
      </c>
      <c r="AZ189" s="195" t="e">
        <v>#NAME?</v>
      </c>
      <c r="BA189" s="196" t="e">
        <f t="shared" si="102"/>
        <v>#NAME?</v>
      </c>
      <c r="BB189" s="195" t="e">
        <v>#NAME?</v>
      </c>
      <c r="BC189" s="195" t="e">
        <v>#NAME?</v>
      </c>
      <c r="BD189" s="195" t="e">
        <v>#NAME?</v>
      </c>
      <c r="BE189" s="196" t="e">
        <f t="shared" si="103"/>
        <v>#NAME?</v>
      </c>
      <c r="BF189" s="195" t="e">
        <v>#NAME?</v>
      </c>
      <c r="BG189" s="195" t="e">
        <v>#NAME?</v>
      </c>
      <c r="BH189" s="195" t="e">
        <v>#NAME?</v>
      </c>
      <c r="BI189" s="196" t="e">
        <f t="shared" si="104"/>
        <v>#NAME?</v>
      </c>
      <c r="BJ189" s="195" t="e">
        <v>#NAME?</v>
      </c>
      <c r="BK189" s="195" t="e">
        <v>#NAME?</v>
      </c>
      <c r="BL189" s="195" t="e">
        <v>#NAME?</v>
      </c>
      <c r="BM189" s="196" t="e">
        <f t="shared" si="105"/>
        <v>#NAME?</v>
      </c>
      <c r="BN189" s="195" t="e">
        <v>#NAME?</v>
      </c>
      <c r="BO189" s="195" t="e">
        <v>#NAME?</v>
      </c>
      <c r="BP189" s="195" t="e">
        <v>#NAME?</v>
      </c>
      <c r="BQ189" s="196" t="e">
        <f t="shared" si="106"/>
        <v>#NAME?</v>
      </c>
      <c r="BR189" s="195" t="e">
        <v>#NAME?</v>
      </c>
      <c r="BS189" s="195" t="e">
        <v>#NAME?</v>
      </c>
      <c r="BT189" s="195" t="e">
        <v>#NAME?</v>
      </c>
      <c r="BU189" s="196" t="e">
        <f t="shared" si="107"/>
        <v>#NAME?</v>
      </c>
      <c r="BV189" s="195" t="e">
        <v>#NAME?</v>
      </c>
      <c r="BW189" s="195" t="e">
        <v>#NAME?</v>
      </c>
      <c r="BX189" s="195" t="e">
        <v>#NAME?</v>
      </c>
      <c r="BY189" s="196" t="e">
        <f t="shared" si="108"/>
        <v>#NAME?</v>
      </c>
    </row>
    <row r="190" spans="1:77" s="89" customFormat="1" ht="25.5">
      <c r="A190" s="124" t="s">
        <v>296</v>
      </c>
      <c r="B190" s="104"/>
      <c r="C190" s="104"/>
      <c r="D190" s="81"/>
      <c r="E190" s="105"/>
      <c r="F190" s="95"/>
      <c r="G190" s="82"/>
      <c r="H190" s="82"/>
      <c r="I190" s="166"/>
      <c r="J190" s="287" t="s">
        <v>269</v>
      </c>
      <c r="K190" s="329">
        <f>Y190</f>
        <v>6000</v>
      </c>
      <c r="L190" s="435">
        <f t="shared" si="89"/>
        <v>5400</v>
      </c>
      <c r="M190" s="398">
        <f t="shared" si="90"/>
        <v>4218.75</v>
      </c>
      <c r="N190" s="398" t="e">
        <f t="shared" si="91"/>
        <v>#NAME?</v>
      </c>
      <c r="O190" s="398" t="e">
        <f t="shared" si="92"/>
        <v>#NAME?</v>
      </c>
      <c r="P190" s="191"/>
      <c r="Q190" s="191"/>
      <c r="R190" s="192"/>
      <c r="S190" s="268" t="s">
        <v>224</v>
      </c>
      <c r="T190" s="280">
        <v>1</v>
      </c>
      <c r="U190" s="281">
        <v>6000</v>
      </c>
      <c r="V190" s="193"/>
      <c r="W190" s="329">
        <f>(T190*U190)</f>
        <v>6000</v>
      </c>
      <c r="X190" s="191"/>
      <c r="Y190" s="290">
        <f t="shared" si="94"/>
        <v>6000</v>
      </c>
      <c r="Z190" s="191"/>
      <c r="AA190" s="190">
        <f t="shared" si="95"/>
        <v>4687.5</v>
      </c>
      <c r="AB190" s="191"/>
      <c r="AC190" s="191"/>
      <c r="AD190" s="192"/>
      <c r="AE190" s="268" t="s">
        <v>224</v>
      </c>
      <c r="AF190" s="280">
        <v>3</v>
      </c>
      <c r="AG190" s="281">
        <v>6000</v>
      </c>
      <c r="AH190" s="193"/>
      <c r="AI190" s="241">
        <f t="shared" si="96"/>
        <v>18000</v>
      </c>
      <c r="AJ190" s="191"/>
      <c r="AK190" s="290">
        <f t="shared" si="97"/>
        <v>18000</v>
      </c>
      <c r="AL190" s="191"/>
      <c r="AM190" s="190">
        <f t="shared" si="98"/>
        <v>14062.5</v>
      </c>
      <c r="AN190" s="191"/>
      <c r="AO190" s="191"/>
      <c r="AP190" s="191"/>
      <c r="AQ190" s="191"/>
      <c r="AR190" s="194" t="e">
        <f t="shared" si="99"/>
        <v>#NAME?</v>
      </c>
      <c r="AS190" s="194" t="e">
        <f t="shared" si="100"/>
        <v>#NAME?</v>
      </c>
      <c r="AT190" s="195" t="e">
        <v>#NAME?</v>
      </c>
      <c r="AU190" s="195" t="e">
        <v>#NAME?</v>
      </c>
      <c r="AV190" s="195" t="e">
        <v>#NAME?</v>
      </c>
      <c r="AW190" s="196" t="e">
        <f t="shared" si="101"/>
        <v>#NAME?</v>
      </c>
      <c r="AX190" s="195" t="e">
        <v>#NAME?</v>
      </c>
      <c r="AY190" s="195" t="e">
        <v>#NAME?</v>
      </c>
      <c r="AZ190" s="195" t="e">
        <v>#NAME?</v>
      </c>
      <c r="BA190" s="196" t="e">
        <f t="shared" si="102"/>
        <v>#NAME?</v>
      </c>
      <c r="BB190" s="195" t="e">
        <v>#NAME?</v>
      </c>
      <c r="BC190" s="195" t="e">
        <v>#NAME?</v>
      </c>
      <c r="BD190" s="195" t="e">
        <v>#NAME?</v>
      </c>
      <c r="BE190" s="196" t="e">
        <f t="shared" si="103"/>
        <v>#NAME?</v>
      </c>
      <c r="BF190" s="195" t="e">
        <v>#NAME?</v>
      </c>
      <c r="BG190" s="195" t="e">
        <v>#NAME?</v>
      </c>
      <c r="BH190" s="195" t="e">
        <v>#NAME?</v>
      </c>
      <c r="BI190" s="196" t="e">
        <f t="shared" si="104"/>
        <v>#NAME?</v>
      </c>
      <c r="BJ190" s="195" t="e">
        <v>#NAME?</v>
      </c>
      <c r="BK190" s="195" t="e">
        <v>#NAME?</v>
      </c>
      <c r="BL190" s="195" t="e">
        <v>#NAME?</v>
      </c>
      <c r="BM190" s="196" t="e">
        <f t="shared" si="105"/>
        <v>#NAME?</v>
      </c>
      <c r="BN190" s="195" t="e">
        <v>#NAME?</v>
      </c>
      <c r="BO190" s="195" t="e">
        <v>#NAME?</v>
      </c>
      <c r="BP190" s="195" t="e">
        <v>#NAME?</v>
      </c>
      <c r="BQ190" s="196" t="e">
        <f t="shared" si="106"/>
        <v>#NAME?</v>
      </c>
      <c r="BR190" s="195" t="e">
        <v>#NAME?</v>
      </c>
      <c r="BS190" s="195" t="e">
        <v>#NAME?</v>
      </c>
      <c r="BT190" s="195" t="e">
        <v>#NAME?</v>
      </c>
      <c r="BU190" s="196" t="e">
        <f t="shared" si="107"/>
        <v>#NAME?</v>
      </c>
      <c r="BV190" s="195" t="e">
        <v>#NAME?</v>
      </c>
      <c r="BW190" s="195" t="e">
        <v>#NAME?</v>
      </c>
      <c r="BX190" s="195" t="e">
        <v>#NAME?</v>
      </c>
      <c r="BY190" s="196" t="e">
        <f t="shared" si="108"/>
        <v>#NAME?</v>
      </c>
    </row>
    <row r="191" spans="1:77" s="89" customFormat="1" ht="26.25">
      <c r="A191" s="171"/>
      <c r="B191" s="172"/>
      <c r="C191" s="172"/>
      <c r="D191" s="172"/>
      <c r="E191" s="172"/>
      <c r="F191" s="172"/>
      <c r="I191" s="173"/>
      <c r="J191" s="186" t="str">
        <f>CONCATENATE("Subtotal ",J180)</f>
        <v>Subtotal Result 3: Peace actors and initiatives engage with higher-level stakeholders at province/territory, national, and international levels</v>
      </c>
      <c r="K191" s="363">
        <f>SUBTOTAL(9,K180:K181)</f>
        <v>2000</v>
      </c>
      <c r="L191" s="436">
        <f>SUBTOTAL(9,L180:L181)</f>
        <v>1800</v>
      </c>
      <c r="M191" s="399">
        <f>SUBTOTAL(9,M180:M181)</f>
        <v>1406.25</v>
      </c>
      <c r="N191" s="399" t="e">
        <f>SUBTOTAL(9,N180:N181)</f>
        <v>#NAME?</v>
      </c>
      <c r="O191" s="399" t="e">
        <f>SUBTOTAL(9,O180:O181)</f>
        <v>#NAME?</v>
      </c>
      <c r="P191" s="193"/>
      <c r="Q191" s="193"/>
      <c r="R191" s="225"/>
      <c r="S191" s="193"/>
      <c r="T191" s="193"/>
      <c r="U191" s="224"/>
      <c r="V191" s="224"/>
      <c r="W191" s="330">
        <f>SUBTOTAL(9,W180:W190)</f>
        <v>24260</v>
      </c>
      <c r="X191" s="193"/>
      <c r="Y191" s="301">
        <f>SUBTOTAL(9,Y180:Y181)</f>
        <v>2000</v>
      </c>
      <c r="Z191" s="193"/>
      <c r="AA191" s="223">
        <f>SUBTOTAL(9,AA180:AA181)</f>
        <v>1562.5</v>
      </c>
      <c r="AB191" s="193"/>
      <c r="AC191" s="193"/>
      <c r="AD191" s="225"/>
      <c r="AE191" s="193"/>
      <c r="AF191" s="193"/>
      <c r="AG191" s="224"/>
      <c r="AH191" s="224"/>
      <c r="AI191" s="242">
        <f>SUBTOTAL(9,AI180:AI190)</f>
        <v>80300</v>
      </c>
      <c r="AJ191" s="193"/>
      <c r="AK191" s="301">
        <f>SUBTOTAL(9,AK180:AK181)</f>
        <v>6000</v>
      </c>
      <c r="AL191" s="193"/>
      <c r="AM191" s="223">
        <f>SUBTOTAL(9,AM180:AM181)</f>
        <v>4687.5</v>
      </c>
      <c r="AN191" s="193"/>
      <c r="AO191" s="193"/>
      <c r="AP191" s="193"/>
      <c r="AQ191" s="193"/>
      <c r="AR191" s="224" t="e">
        <f aca="true" t="shared" si="109" ref="AR191:BF191">SUBTOTAL(9,AR180:AR181)</f>
        <v>#NAME?</v>
      </c>
      <c r="AS191" s="224" t="e">
        <f t="shared" si="109"/>
        <v>#NAME?</v>
      </c>
      <c r="AT191" s="224" t="e">
        <f t="shared" si="109"/>
        <v>#NAME?</v>
      </c>
      <c r="AU191" s="224" t="e">
        <f t="shared" si="109"/>
        <v>#NAME?</v>
      </c>
      <c r="AV191" s="224" t="e">
        <f t="shared" si="109"/>
        <v>#NAME?</v>
      </c>
      <c r="AW191" s="224" t="e">
        <f t="shared" si="109"/>
        <v>#NAME?</v>
      </c>
      <c r="AX191" s="224" t="e">
        <f t="shared" si="109"/>
        <v>#NAME?</v>
      </c>
      <c r="AY191" s="224" t="e">
        <f t="shared" si="109"/>
        <v>#NAME?</v>
      </c>
      <c r="AZ191" s="224" t="e">
        <f t="shared" si="109"/>
        <v>#NAME?</v>
      </c>
      <c r="BA191" s="224" t="e">
        <f t="shared" si="109"/>
        <v>#NAME?</v>
      </c>
      <c r="BB191" s="224" t="e">
        <f t="shared" si="109"/>
        <v>#NAME?</v>
      </c>
      <c r="BC191" s="224" t="e">
        <f t="shared" si="109"/>
        <v>#NAME?</v>
      </c>
      <c r="BD191" s="224" t="e">
        <f t="shared" si="109"/>
        <v>#NAME?</v>
      </c>
      <c r="BE191" s="224" t="e">
        <f t="shared" si="109"/>
        <v>#NAME?</v>
      </c>
      <c r="BF191" s="224" t="e">
        <f t="shared" si="109"/>
        <v>#NAME?</v>
      </c>
      <c r="BG191" s="224" t="e">
        <f aca="true" t="shared" si="110" ref="BG191:BY191">SUBTOTAL(9,BG180:BG181)</f>
        <v>#NAME?</v>
      </c>
      <c r="BH191" s="224" t="e">
        <f t="shared" si="110"/>
        <v>#NAME?</v>
      </c>
      <c r="BI191" s="224" t="e">
        <f t="shared" si="110"/>
        <v>#NAME?</v>
      </c>
      <c r="BJ191" s="224" t="e">
        <f t="shared" si="110"/>
        <v>#NAME?</v>
      </c>
      <c r="BK191" s="224" t="e">
        <f t="shared" si="110"/>
        <v>#NAME?</v>
      </c>
      <c r="BL191" s="224" t="e">
        <f t="shared" si="110"/>
        <v>#NAME?</v>
      </c>
      <c r="BM191" s="224" t="e">
        <f t="shared" si="110"/>
        <v>#NAME?</v>
      </c>
      <c r="BN191" s="224" t="e">
        <f t="shared" si="110"/>
        <v>#NAME?</v>
      </c>
      <c r="BO191" s="224" t="e">
        <f t="shared" si="110"/>
        <v>#NAME?</v>
      </c>
      <c r="BP191" s="224" t="e">
        <f t="shared" si="110"/>
        <v>#NAME?</v>
      </c>
      <c r="BQ191" s="224" t="e">
        <f t="shared" si="110"/>
        <v>#NAME?</v>
      </c>
      <c r="BR191" s="224" t="e">
        <f t="shared" si="110"/>
        <v>#NAME?</v>
      </c>
      <c r="BS191" s="224" t="e">
        <f t="shared" si="110"/>
        <v>#NAME?</v>
      </c>
      <c r="BT191" s="224" t="e">
        <f t="shared" si="110"/>
        <v>#NAME?</v>
      </c>
      <c r="BU191" s="224" t="e">
        <f t="shared" si="110"/>
        <v>#NAME?</v>
      </c>
      <c r="BV191" s="224" t="e">
        <f t="shared" si="110"/>
        <v>#NAME?</v>
      </c>
      <c r="BW191" s="224" t="e">
        <f t="shared" si="110"/>
        <v>#NAME?</v>
      </c>
      <c r="BX191" s="224" t="e">
        <f t="shared" si="110"/>
        <v>#NAME?</v>
      </c>
      <c r="BY191" s="224" t="e">
        <f t="shared" si="110"/>
        <v>#NAME?</v>
      </c>
    </row>
    <row r="192" spans="1:77" s="89" customFormat="1" ht="15.75">
      <c r="A192" s="180"/>
      <c r="B192" s="181"/>
      <c r="C192" s="181"/>
      <c r="D192" s="181"/>
      <c r="E192" s="181"/>
      <c r="F192" s="181"/>
      <c r="G192" s="182"/>
      <c r="H192" s="182"/>
      <c r="I192" s="173"/>
      <c r="J192" s="186"/>
      <c r="K192" s="363"/>
      <c r="L192" s="436"/>
      <c r="M192" s="399"/>
      <c r="N192" s="399"/>
      <c r="O192" s="399"/>
      <c r="P192" s="193"/>
      <c r="Q192" s="193"/>
      <c r="R192" s="225"/>
      <c r="S192" s="193"/>
      <c r="T192" s="193"/>
      <c r="U192" s="224"/>
      <c r="V192" s="224"/>
      <c r="W192" s="330"/>
      <c r="X192" s="193"/>
      <c r="Y192" s="301"/>
      <c r="Z192" s="193"/>
      <c r="AA192" s="223"/>
      <c r="AB192" s="193"/>
      <c r="AC192" s="193"/>
      <c r="AD192" s="225"/>
      <c r="AE192" s="193"/>
      <c r="AF192" s="193"/>
      <c r="AG192" s="224"/>
      <c r="AH192" s="224"/>
      <c r="AI192" s="242"/>
      <c r="AJ192" s="193"/>
      <c r="AK192" s="301"/>
      <c r="AL192" s="193"/>
      <c r="AM192" s="223"/>
      <c r="AN192" s="193"/>
      <c r="AO192" s="193"/>
      <c r="AP192" s="193"/>
      <c r="AQ192" s="193"/>
      <c r="AR192" s="224"/>
      <c r="AS192" s="224"/>
      <c r="AT192" s="224"/>
      <c r="AU192" s="224"/>
      <c r="AV192" s="224"/>
      <c r="AW192" s="224"/>
      <c r="AX192" s="224"/>
      <c r="AY192" s="224"/>
      <c r="AZ192" s="224"/>
      <c r="BA192" s="224"/>
      <c r="BB192" s="224"/>
      <c r="BC192" s="224"/>
      <c r="BD192" s="224"/>
      <c r="BE192" s="224"/>
      <c r="BF192" s="224"/>
      <c r="BG192" s="224"/>
      <c r="BH192" s="224"/>
      <c r="BI192" s="224"/>
      <c r="BJ192" s="224"/>
      <c r="BK192" s="224"/>
      <c r="BL192" s="224"/>
      <c r="BM192" s="224"/>
      <c r="BN192" s="224"/>
      <c r="BO192" s="224"/>
      <c r="BP192" s="224"/>
      <c r="BQ192" s="224"/>
      <c r="BR192" s="224"/>
      <c r="BS192" s="224"/>
      <c r="BT192" s="224"/>
      <c r="BU192" s="224"/>
      <c r="BV192" s="224"/>
      <c r="BW192" s="224"/>
      <c r="BX192" s="224"/>
      <c r="BY192" s="224"/>
    </row>
    <row r="193" spans="1:77" s="86" customFormat="1" ht="21.75" customHeight="1">
      <c r="A193" s="79"/>
      <c r="B193" s="87"/>
      <c r="C193" s="87"/>
      <c r="D193" s="95"/>
      <c r="E193" s="87"/>
      <c r="F193" s="95"/>
      <c r="G193" s="82"/>
      <c r="H193" s="82"/>
      <c r="I193" s="168"/>
      <c r="J193" s="183" t="str">
        <f>CONCATENATE("Total ",J165)</f>
        <v>Total Other Costs</v>
      </c>
      <c r="K193" s="365">
        <f>SUBTOTAL(9,K167:K192)</f>
        <v>126360</v>
      </c>
      <c r="L193" s="439">
        <f>SUBTOTAL(9,L167:L192)</f>
        <v>113724</v>
      </c>
      <c r="M193" s="403">
        <f>SUBTOTAL(9,M167:M192)</f>
        <v>88846.875</v>
      </c>
      <c r="N193" s="404" t="e">
        <f>SUBTOTAL(9,N167:N192)</f>
        <v>#NAME?</v>
      </c>
      <c r="O193" s="404" t="e">
        <f>SUBTOTAL(9,O167:O192)</f>
        <v>#NAME?</v>
      </c>
      <c r="P193" s="191"/>
      <c r="Q193" s="191"/>
      <c r="R193" s="198"/>
      <c r="S193" s="198"/>
      <c r="T193" s="199"/>
      <c r="U193" s="200"/>
      <c r="V193" s="200"/>
      <c r="W193" s="333">
        <f>SUBTOTAL(9,W167:W192)</f>
        <v>126360</v>
      </c>
      <c r="X193" s="191"/>
      <c r="Y193" s="304">
        <f>SUBTOTAL(9,Y167:Y192)</f>
        <v>126360</v>
      </c>
      <c r="Z193" s="191"/>
      <c r="AA193" s="197">
        <f>SUBTOTAL(9,AA167:AA192)</f>
        <v>98718.75</v>
      </c>
      <c r="AB193" s="191"/>
      <c r="AC193" s="191"/>
      <c r="AD193" s="198"/>
      <c r="AE193" s="198"/>
      <c r="AF193" s="199"/>
      <c r="AG193" s="200"/>
      <c r="AH193" s="200"/>
      <c r="AI193" s="243">
        <f>SUBTOTAL(9,AI167:AI192)</f>
        <v>372920</v>
      </c>
      <c r="AJ193" s="191"/>
      <c r="AK193" s="304">
        <f>SUBTOTAL(9,AK167:AK192)</f>
        <v>372920</v>
      </c>
      <c r="AL193" s="191"/>
      <c r="AM193" s="197">
        <f>SUBTOTAL(9,AM167:AM192)</f>
        <v>291343.75</v>
      </c>
      <c r="AN193" s="191"/>
      <c r="AO193" s="191"/>
      <c r="AP193" s="191"/>
      <c r="AQ193" s="191"/>
      <c r="AR193" s="201" t="e">
        <f aca="true" t="shared" si="111" ref="AR193:BF193">SUBTOTAL(9,AR167:AR192)</f>
        <v>#NAME?</v>
      </c>
      <c r="AS193" s="201" t="e">
        <f t="shared" si="111"/>
        <v>#NAME?</v>
      </c>
      <c r="AT193" s="201" t="e">
        <f t="shared" si="111"/>
        <v>#NAME?</v>
      </c>
      <c r="AU193" s="201" t="e">
        <f t="shared" si="111"/>
        <v>#NAME?</v>
      </c>
      <c r="AV193" s="201" t="e">
        <f t="shared" si="111"/>
        <v>#NAME?</v>
      </c>
      <c r="AW193" s="201" t="e">
        <f t="shared" si="111"/>
        <v>#NAME?</v>
      </c>
      <c r="AX193" s="201" t="e">
        <f t="shared" si="111"/>
        <v>#NAME?</v>
      </c>
      <c r="AY193" s="201" t="e">
        <f t="shared" si="111"/>
        <v>#NAME?</v>
      </c>
      <c r="AZ193" s="201" t="e">
        <f t="shared" si="111"/>
        <v>#NAME?</v>
      </c>
      <c r="BA193" s="201" t="e">
        <f t="shared" si="111"/>
        <v>#NAME?</v>
      </c>
      <c r="BB193" s="201" t="e">
        <f t="shared" si="111"/>
        <v>#NAME?</v>
      </c>
      <c r="BC193" s="201" t="e">
        <f t="shared" si="111"/>
        <v>#NAME?</v>
      </c>
      <c r="BD193" s="201" t="e">
        <f t="shared" si="111"/>
        <v>#NAME?</v>
      </c>
      <c r="BE193" s="201" t="e">
        <f t="shared" si="111"/>
        <v>#NAME?</v>
      </c>
      <c r="BF193" s="201" t="e">
        <f t="shared" si="111"/>
        <v>#NAME?</v>
      </c>
      <c r="BG193" s="201" t="e">
        <f aca="true" t="shared" si="112" ref="BG193:BY193">SUBTOTAL(9,BG167:BG192)</f>
        <v>#NAME?</v>
      </c>
      <c r="BH193" s="201" t="e">
        <f t="shared" si="112"/>
        <v>#NAME?</v>
      </c>
      <c r="BI193" s="201" t="e">
        <f t="shared" si="112"/>
        <v>#NAME?</v>
      </c>
      <c r="BJ193" s="201" t="e">
        <f t="shared" si="112"/>
        <v>#NAME?</v>
      </c>
      <c r="BK193" s="201" t="e">
        <f t="shared" si="112"/>
        <v>#NAME?</v>
      </c>
      <c r="BL193" s="201" t="e">
        <f t="shared" si="112"/>
        <v>#NAME?</v>
      </c>
      <c r="BM193" s="201" t="e">
        <f t="shared" si="112"/>
        <v>#NAME?</v>
      </c>
      <c r="BN193" s="201" t="e">
        <f t="shared" si="112"/>
        <v>#NAME?</v>
      </c>
      <c r="BO193" s="201" t="e">
        <f t="shared" si="112"/>
        <v>#NAME?</v>
      </c>
      <c r="BP193" s="201" t="e">
        <f t="shared" si="112"/>
        <v>#NAME?</v>
      </c>
      <c r="BQ193" s="201" t="e">
        <f t="shared" si="112"/>
        <v>#NAME?</v>
      </c>
      <c r="BR193" s="201" t="e">
        <f t="shared" si="112"/>
        <v>#NAME?</v>
      </c>
      <c r="BS193" s="201" t="e">
        <f t="shared" si="112"/>
        <v>#NAME?</v>
      </c>
      <c r="BT193" s="201" t="e">
        <f t="shared" si="112"/>
        <v>#NAME?</v>
      </c>
      <c r="BU193" s="201" t="e">
        <f t="shared" si="112"/>
        <v>#NAME?</v>
      </c>
      <c r="BV193" s="201" t="e">
        <f t="shared" si="112"/>
        <v>#NAME?</v>
      </c>
      <c r="BW193" s="201" t="e">
        <f t="shared" si="112"/>
        <v>#NAME?</v>
      </c>
      <c r="BX193" s="201" t="e">
        <f t="shared" si="112"/>
        <v>#NAME?</v>
      </c>
      <c r="BY193" s="201" t="e">
        <f t="shared" si="112"/>
        <v>#NAME?</v>
      </c>
    </row>
    <row r="194" spans="1:77" s="86" customFormat="1" ht="12.75" customHeight="1">
      <c r="A194" s="79"/>
      <c r="B194" s="107"/>
      <c r="C194" s="107"/>
      <c r="D194" s="95"/>
      <c r="E194" s="107"/>
      <c r="F194" s="95"/>
      <c r="G194" s="82"/>
      <c r="H194" s="82"/>
      <c r="I194" s="149" t="s">
        <v>20</v>
      </c>
      <c r="J194" s="184" t="s">
        <v>26</v>
      </c>
      <c r="K194" s="337"/>
      <c r="L194" s="440"/>
      <c r="M194" s="405"/>
      <c r="N194" s="405"/>
      <c r="O194" s="405"/>
      <c r="P194" s="191"/>
      <c r="Q194" s="191"/>
      <c r="R194" s="206"/>
      <c r="S194" s="207"/>
      <c r="T194" s="207"/>
      <c r="U194" s="207"/>
      <c r="V194" s="207"/>
      <c r="W194" s="334"/>
      <c r="X194" s="191"/>
      <c r="Y194" s="305"/>
      <c r="Z194" s="191"/>
      <c r="AA194" s="205"/>
      <c r="AB194" s="191"/>
      <c r="AC194" s="191"/>
      <c r="AD194" s="206"/>
      <c r="AE194" s="207"/>
      <c r="AF194" s="207"/>
      <c r="AG194" s="207"/>
      <c r="AH194" s="207"/>
      <c r="AI194" s="246"/>
      <c r="AJ194" s="191"/>
      <c r="AK194" s="305"/>
      <c r="AL194" s="191"/>
      <c r="AM194" s="205"/>
      <c r="AN194" s="191"/>
      <c r="AO194" s="191"/>
      <c r="AP194" s="191"/>
      <c r="AQ194" s="191"/>
      <c r="AR194" s="219"/>
      <c r="AS194" s="219"/>
      <c r="AT194" s="219"/>
      <c r="AU194" s="219"/>
      <c r="AV194" s="219"/>
      <c r="AW194" s="219"/>
      <c r="AX194" s="219"/>
      <c r="AY194" s="219"/>
      <c r="AZ194" s="219"/>
      <c r="BA194" s="219"/>
      <c r="BB194" s="219"/>
      <c r="BC194" s="219"/>
      <c r="BD194" s="219"/>
      <c r="BE194" s="219"/>
      <c r="BF194" s="219"/>
      <c r="BG194" s="219"/>
      <c r="BH194" s="219"/>
      <c r="BI194" s="219"/>
      <c r="BJ194" s="219"/>
      <c r="BK194" s="219"/>
      <c r="BL194" s="219"/>
      <c r="BM194" s="219"/>
      <c r="BN194" s="219"/>
      <c r="BO194" s="219"/>
      <c r="BP194" s="219"/>
      <c r="BQ194" s="219"/>
      <c r="BR194" s="219"/>
      <c r="BS194" s="219"/>
      <c r="BT194" s="219"/>
      <c r="BU194" s="219"/>
      <c r="BV194" s="219"/>
      <c r="BW194" s="219"/>
      <c r="BX194" s="219"/>
      <c r="BY194" s="219"/>
    </row>
    <row r="195" spans="1:77" s="86" customFormat="1" ht="15">
      <c r="A195" s="79"/>
      <c r="B195" s="98"/>
      <c r="C195" s="98"/>
      <c r="D195" s="95"/>
      <c r="E195" s="98"/>
      <c r="F195" s="95"/>
      <c r="G195" s="82"/>
      <c r="H195" s="82"/>
      <c r="I195" s="150"/>
      <c r="J195" s="289">
        <v>0.07</v>
      </c>
      <c r="K195" s="331"/>
      <c r="L195" s="437"/>
      <c r="M195" s="400"/>
      <c r="N195" s="400"/>
      <c r="O195" s="400"/>
      <c r="P195" s="191"/>
      <c r="Q195" s="191"/>
      <c r="R195" s="211"/>
      <c r="S195" s="191"/>
      <c r="T195" s="191"/>
      <c r="U195" s="191"/>
      <c r="V195" s="191"/>
      <c r="W195" s="331"/>
      <c r="X195" s="191"/>
      <c r="Y195" s="302"/>
      <c r="Z195" s="191"/>
      <c r="AA195" s="202"/>
      <c r="AB195" s="191"/>
      <c r="AC195" s="191"/>
      <c r="AD195" s="211"/>
      <c r="AE195" s="191"/>
      <c r="AF195" s="191"/>
      <c r="AG195" s="191"/>
      <c r="AH195" s="191"/>
      <c r="AI195" s="244"/>
      <c r="AJ195" s="191"/>
      <c r="AK195" s="302"/>
      <c r="AL195" s="191"/>
      <c r="AM195" s="202"/>
      <c r="AN195" s="191"/>
      <c r="AO195" s="191"/>
      <c r="AP195" s="191"/>
      <c r="AQ195" s="191"/>
      <c r="AR195" s="191"/>
      <c r="AS195" s="191"/>
      <c r="AT195" s="191"/>
      <c r="AU195" s="191"/>
      <c r="AV195" s="191"/>
      <c r="AW195" s="191"/>
      <c r="AX195" s="191"/>
      <c r="AY195" s="191"/>
      <c r="AZ195" s="191"/>
      <c r="BA195" s="191"/>
      <c r="BB195" s="191"/>
      <c r="BC195" s="191"/>
      <c r="BD195" s="191"/>
      <c r="BE195" s="191"/>
      <c r="BF195" s="191"/>
      <c r="BG195" s="191"/>
      <c r="BH195" s="191"/>
      <c r="BI195" s="191"/>
      <c r="BJ195" s="191"/>
      <c r="BK195" s="191"/>
      <c r="BL195" s="191"/>
      <c r="BM195" s="191"/>
      <c r="BN195" s="191"/>
      <c r="BO195" s="191"/>
      <c r="BP195" s="191"/>
      <c r="BQ195" s="191"/>
      <c r="BR195" s="191"/>
      <c r="BS195" s="191"/>
      <c r="BT195" s="191"/>
      <c r="BU195" s="191"/>
      <c r="BV195" s="191"/>
      <c r="BW195" s="191"/>
      <c r="BX195" s="191"/>
      <c r="BY195" s="191"/>
    </row>
    <row r="196" spans="1:77" s="86" customFormat="1" ht="21" customHeight="1">
      <c r="A196" s="79"/>
      <c r="B196" s="107"/>
      <c r="C196" s="107"/>
      <c r="D196" s="95"/>
      <c r="E196" s="107"/>
      <c r="F196" s="95"/>
      <c r="G196" s="82"/>
      <c r="H196" s="82"/>
      <c r="I196" s="149" t="s">
        <v>21</v>
      </c>
      <c r="J196" s="184" t="s">
        <v>23</v>
      </c>
      <c r="K196" s="369"/>
      <c r="L196" s="444"/>
      <c r="M196" s="410"/>
      <c r="N196" s="410"/>
      <c r="O196" s="410"/>
      <c r="P196" s="191"/>
      <c r="Q196" s="191"/>
      <c r="R196" s="206"/>
      <c r="S196" s="208"/>
      <c r="T196" s="208"/>
      <c r="U196" s="208"/>
      <c r="V196" s="208"/>
      <c r="W196" s="338"/>
      <c r="X196" s="191"/>
      <c r="Y196" s="309"/>
      <c r="Z196" s="191"/>
      <c r="AA196" s="218"/>
      <c r="AB196" s="191"/>
      <c r="AC196" s="191"/>
      <c r="AD196" s="206"/>
      <c r="AE196" s="208"/>
      <c r="AF196" s="208"/>
      <c r="AG196" s="208"/>
      <c r="AH196" s="208"/>
      <c r="AI196" s="250"/>
      <c r="AJ196" s="191"/>
      <c r="AK196" s="309"/>
      <c r="AL196" s="191"/>
      <c r="AM196" s="218"/>
      <c r="AN196" s="191"/>
      <c r="AO196" s="191"/>
      <c r="AP196" s="191"/>
      <c r="AQ196" s="191"/>
      <c r="AR196" s="219"/>
      <c r="AS196" s="219"/>
      <c r="AT196" s="219"/>
      <c r="AU196" s="219"/>
      <c r="AV196" s="219"/>
      <c r="AW196" s="219"/>
      <c r="AX196" s="219"/>
      <c r="AY196" s="219"/>
      <c r="AZ196" s="219"/>
      <c r="BA196" s="219"/>
      <c r="BB196" s="219"/>
      <c r="BC196" s="219"/>
      <c r="BD196" s="219"/>
      <c r="BE196" s="219"/>
      <c r="BF196" s="219"/>
      <c r="BG196" s="219"/>
      <c r="BH196" s="219"/>
      <c r="BI196" s="219"/>
      <c r="BJ196" s="219"/>
      <c r="BK196" s="219"/>
      <c r="BL196" s="219"/>
      <c r="BM196" s="219"/>
      <c r="BN196" s="219"/>
      <c r="BO196" s="219"/>
      <c r="BP196" s="219"/>
      <c r="BQ196" s="219"/>
      <c r="BR196" s="219"/>
      <c r="BS196" s="219"/>
      <c r="BT196" s="219"/>
      <c r="BU196" s="219"/>
      <c r="BV196" s="219"/>
      <c r="BW196" s="219"/>
      <c r="BX196" s="219"/>
      <c r="BY196" s="219"/>
    </row>
    <row r="197" spans="1:77" s="89" customFormat="1" ht="15.75">
      <c r="A197" s="94" t="s">
        <v>297</v>
      </c>
      <c r="B197" s="98"/>
      <c r="C197" s="98"/>
      <c r="D197" s="95"/>
      <c r="E197" s="98">
        <v>9901</v>
      </c>
      <c r="F197" s="95"/>
      <c r="G197" s="82"/>
      <c r="H197" s="82"/>
      <c r="I197" s="166"/>
      <c r="J197" s="131" t="s">
        <v>25</v>
      </c>
      <c r="K197" s="329">
        <f>Y197</f>
        <v>39619</v>
      </c>
      <c r="L197" s="435">
        <f>K197*0.9</f>
        <v>35657.1</v>
      </c>
      <c r="M197" s="398">
        <f>L197/$M$4</f>
        <v>27857.109375</v>
      </c>
      <c r="N197" s="398" t="e">
        <f>L197-AR197</f>
        <v>#NAME?</v>
      </c>
      <c r="O197" s="398" t="e">
        <f>M197-AS197</f>
        <v>#NAME?</v>
      </c>
      <c r="P197" s="191"/>
      <c r="Q197" s="191"/>
      <c r="R197" s="222"/>
      <c r="S197" s="191"/>
      <c r="T197" s="191"/>
      <c r="U197" s="194"/>
      <c r="V197" s="194"/>
      <c r="W197" s="329">
        <v>39619</v>
      </c>
      <c r="X197" s="191"/>
      <c r="Y197" s="290">
        <f>W197</f>
        <v>39619</v>
      </c>
      <c r="Z197" s="191"/>
      <c r="AA197" s="190">
        <f>Y197/M$4</f>
        <v>30952.34375</v>
      </c>
      <c r="AB197" s="191"/>
      <c r="AC197" s="191"/>
      <c r="AD197" s="222"/>
      <c r="AE197" s="191"/>
      <c r="AF197" s="191"/>
      <c r="AG197" s="194"/>
      <c r="AH197" s="194"/>
      <c r="AI197" s="241">
        <v>109032</v>
      </c>
      <c r="AJ197" s="191"/>
      <c r="AK197" s="290">
        <f>AI197</f>
        <v>109032</v>
      </c>
      <c r="AL197" s="191"/>
      <c r="AM197" s="190">
        <f>AK197/M$4</f>
        <v>85181.25</v>
      </c>
      <c r="AN197" s="191"/>
      <c r="AO197" s="191"/>
      <c r="AP197" s="191"/>
      <c r="AQ197" s="191"/>
      <c r="AR197" s="194" t="e">
        <f>AS197*$M$4</f>
        <v>#NAME?</v>
      </c>
      <c r="AS197" s="194" t="e">
        <f>AW197+BA197+BE197+BI197+BM197+BQ197+BU197+BY197</f>
        <v>#NAME?</v>
      </c>
      <c r="AT197" s="195" t="e">
        <v>#NAME?</v>
      </c>
      <c r="AU197" s="195" t="e">
        <v>#NAME?</v>
      </c>
      <c r="AV197" s="195" t="e">
        <v>#NAME?</v>
      </c>
      <c r="AW197" s="196" t="e">
        <f>SUM(AT197:AV197)</f>
        <v>#NAME?</v>
      </c>
      <c r="AX197" s="195" t="e">
        <v>#NAME?</v>
      </c>
      <c r="AY197" s="195" t="e">
        <v>#NAME?</v>
      </c>
      <c r="AZ197" s="195" t="e">
        <v>#NAME?</v>
      </c>
      <c r="BA197" s="196" t="e">
        <f>SUM(AX197:AZ197)</f>
        <v>#NAME?</v>
      </c>
      <c r="BB197" s="195" t="e">
        <v>#NAME?</v>
      </c>
      <c r="BC197" s="195" t="e">
        <v>#NAME?</v>
      </c>
      <c r="BD197" s="195" t="e">
        <v>#NAME?</v>
      </c>
      <c r="BE197" s="196" t="e">
        <f>SUM(BB197:BD197)</f>
        <v>#NAME?</v>
      </c>
      <c r="BF197" s="195" t="e">
        <v>#NAME?</v>
      </c>
      <c r="BG197" s="195" t="e">
        <v>#NAME?</v>
      </c>
      <c r="BH197" s="195" t="e">
        <v>#NAME?</v>
      </c>
      <c r="BI197" s="196" t="e">
        <f>SUM(BF197:BH197)</f>
        <v>#NAME?</v>
      </c>
      <c r="BJ197" s="195" t="e">
        <v>#NAME?</v>
      </c>
      <c r="BK197" s="195" t="e">
        <v>#NAME?</v>
      </c>
      <c r="BL197" s="195" t="e">
        <v>#NAME?</v>
      </c>
      <c r="BM197" s="196" t="e">
        <f>SUM(BJ197:BL197)</f>
        <v>#NAME?</v>
      </c>
      <c r="BN197" s="195" t="e">
        <v>#NAME?</v>
      </c>
      <c r="BO197" s="195" t="e">
        <v>#NAME?</v>
      </c>
      <c r="BP197" s="195" t="e">
        <v>#NAME?</v>
      </c>
      <c r="BQ197" s="196" t="e">
        <f>SUM(BM197:BP197)</f>
        <v>#NAME?</v>
      </c>
      <c r="BR197" s="195" t="e">
        <v>#NAME?</v>
      </c>
      <c r="BS197" s="195" t="e">
        <v>#NAME?</v>
      </c>
      <c r="BT197" s="195" t="e">
        <v>#NAME?</v>
      </c>
      <c r="BU197" s="196" t="e">
        <f>SUM(BQ197:BT197)</f>
        <v>#NAME?</v>
      </c>
      <c r="BV197" s="195" t="e">
        <v>#NAME?</v>
      </c>
      <c r="BW197" s="195" t="e">
        <v>#NAME?</v>
      </c>
      <c r="BX197" s="195" t="e">
        <v>#NAME?</v>
      </c>
      <c r="BY197" s="196" t="e">
        <f>SUM(BU197:BX197)</f>
        <v>#NAME?</v>
      </c>
    </row>
    <row r="198" spans="1:77" s="86" customFormat="1" ht="23.25" customHeight="1">
      <c r="A198" s="79"/>
      <c r="B198" s="107"/>
      <c r="C198" s="107"/>
      <c r="D198" s="95"/>
      <c r="E198" s="107"/>
      <c r="F198" s="95"/>
      <c r="G198" s="82"/>
      <c r="H198" s="82"/>
      <c r="I198" s="149"/>
      <c r="J198" s="184" t="s">
        <v>24</v>
      </c>
      <c r="K198" s="337">
        <f>SUBTOTAL(9,K197)</f>
        <v>39619</v>
      </c>
      <c r="L198" s="440">
        <f>SUBTOTAL(9,L197)</f>
        <v>35657.1</v>
      </c>
      <c r="M198" s="405">
        <f>SUBTOTAL(9,M197)</f>
        <v>27857.109375</v>
      </c>
      <c r="N198" s="405" t="e">
        <f>SUBTOTAL(9,N197)</f>
        <v>#NAME?</v>
      </c>
      <c r="O198" s="405" t="e">
        <f>SUBTOTAL(9,O197)</f>
        <v>#NAME?</v>
      </c>
      <c r="P198" s="191"/>
      <c r="Q198" s="191"/>
      <c r="R198" s="206"/>
      <c r="S198" s="207"/>
      <c r="T198" s="221"/>
      <c r="U198" s="221"/>
      <c r="V198" s="221"/>
      <c r="W198" s="334">
        <f>SUBTOTAL(9,W197)</f>
        <v>39619</v>
      </c>
      <c r="X198" s="191"/>
      <c r="Y198" s="305">
        <f>SUBTOTAL(9,Y197)</f>
        <v>39619</v>
      </c>
      <c r="Z198" s="191"/>
      <c r="AA198" s="205">
        <f>SUBTOTAL(9,AA197)</f>
        <v>30952.34375</v>
      </c>
      <c r="AB198" s="191"/>
      <c r="AC198" s="191"/>
      <c r="AD198" s="206"/>
      <c r="AE198" s="207"/>
      <c r="AF198" s="221"/>
      <c r="AG198" s="221"/>
      <c r="AH198" s="221"/>
      <c r="AI198" s="246">
        <f>SUBTOTAL(9,AI197)</f>
        <v>109032</v>
      </c>
      <c r="AJ198" s="191"/>
      <c r="AK198" s="305">
        <f>SUBTOTAL(9,AK197)</f>
        <v>109032</v>
      </c>
      <c r="AL198" s="191"/>
      <c r="AM198" s="205">
        <f>SUBTOTAL(9,AM197)</f>
        <v>85181.25</v>
      </c>
      <c r="AN198" s="191"/>
      <c r="AO198" s="191"/>
      <c r="AP198" s="191"/>
      <c r="AQ198" s="191"/>
      <c r="AR198" s="209" t="e">
        <f aca="true" t="shared" si="113" ref="AR198:BF198">SUBTOTAL(9,AR197)</f>
        <v>#NAME?</v>
      </c>
      <c r="AS198" s="209" t="e">
        <f t="shared" si="113"/>
        <v>#NAME?</v>
      </c>
      <c r="AT198" s="209" t="e">
        <f t="shared" si="113"/>
        <v>#NAME?</v>
      </c>
      <c r="AU198" s="209" t="e">
        <f t="shared" si="113"/>
        <v>#NAME?</v>
      </c>
      <c r="AV198" s="209" t="e">
        <f t="shared" si="113"/>
        <v>#NAME?</v>
      </c>
      <c r="AW198" s="209" t="e">
        <f t="shared" si="113"/>
        <v>#NAME?</v>
      </c>
      <c r="AX198" s="209" t="e">
        <f t="shared" si="113"/>
        <v>#NAME?</v>
      </c>
      <c r="AY198" s="209" t="e">
        <f t="shared" si="113"/>
        <v>#NAME?</v>
      </c>
      <c r="AZ198" s="209" t="e">
        <f t="shared" si="113"/>
        <v>#NAME?</v>
      </c>
      <c r="BA198" s="209" t="e">
        <f t="shared" si="113"/>
        <v>#NAME?</v>
      </c>
      <c r="BB198" s="209" t="e">
        <f t="shared" si="113"/>
        <v>#NAME?</v>
      </c>
      <c r="BC198" s="209" t="e">
        <f t="shared" si="113"/>
        <v>#NAME?</v>
      </c>
      <c r="BD198" s="209" t="e">
        <f t="shared" si="113"/>
        <v>#NAME?</v>
      </c>
      <c r="BE198" s="209" t="e">
        <f t="shared" si="113"/>
        <v>#NAME?</v>
      </c>
      <c r="BF198" s="209" t="e">
        <f t="shared" si="113"/>
        <v>#NAME?</v>
      </c>
      <c r="BG198" s="209" t="e">
        <f aca="true" t="shared" si="114" ref="BG198:BY198">SUBTOTAL(9,BG197)</f>
        <v>#NAME?</v>
      </c>
      <c r="BH198" s="209" t="e">
        <f t="shared" si="114"/>
        <v>#NAME?</v>
      </c>
      <c r="BI198" s="209" t="e">
        <f t="shared" si="114"/>
        <v>#NAME?</v>
      </c>
      <c r="BJ198" s="209" t="e">
        <f t="shared" si="114"/>
        <v>#NAME?</v>
      </c>
      <c r="BK198" s="209" t="e">
        <f t="shared" si="114"/>
        <v>#NAME?</v>
      </c>
      <c r="BL198" s="209" t="e">
        <f t="shared" si="114"/>
        <v>#NAME?</v>
      </c>
      <c r="BM198" s="209" t="e">
        <f t="shared" si="114"/>
        <v>#NAME?</v>
      </c>
      <c r="BN198" s="209" t="e">
        <f t="shared" si="114"/>
        <v>#NAME?</v>
      </c>
      <c r="BO198" s="209" t="e">
        <f t="shared" si="114"/>
        <v>#NAME?</v>
      </c>
      <c r="BP198" s="209" t="e">
        <f t="shared" si="114"/>
        <v>#NAME?</v>
      </c>
      <c r="BQ198" s="209" t="e">
        <f t="shared" si="114"/>
        <v>#NAME?</v>
      </c>
      <c r="BR198" s="209" t="e">
        <f t="shared" si="114"/>
        <v>#NAME?</v>
      </c>
      <c r="BS198" s="209" t="e">
        <f t="shared" si="114"/>
        <v>#NAME?</v>
      </c>
      <c r="BT198" s="209" t="e">
        <f t="shared" si="114"/>
        <v>#NAME?</v>
      </c>
      <c r="BU198" s="209" t="e">
        <f t="shared" si="114"/>
        <v>#NAME?</v>
      </c>
      <c r="BV198" s="209" t="e">
        <f t="shared" si="114"/>
        <v>#NAME?</v>
      </c>
      <c r="BW198" s="209" t="e">
        <f t="shared" si="114"/>
        <v>#NAME?</v>
      </c>
      <c r="BX198" s="209" t="e">
        <f t="shared" si="114"/>
        <v>#NAME?</v>
      </c>
      <c r="BY198" s="209" t="e">
        <f t="shared" si="114"/>
        <v>#NAME?</v>
      </c>
    </row>
    <row r="199" spans="1:77" s="86" customFormat="1" ht="15">
      <c r="A199" s="79"/>
      <c r="B199" s="98"/>
      <c r="C199" s="98"/>
      <c r="D199" s="95"/>
      <c r="E199" s="98"/>
      <c r="F199" s="95"/>
      <c r="G199" s="82"/>
      <c r="H199" s="82"/>
      <c r="I199" s="150"/>
      <c r="J199" s="131"/>
      <c r="K199" s="331"/>
      <c r="L199" s="437"/>
      <c r="M199" s="400"/>
      <c r="N199" s="400"/>
      <c r="O199" s="400"/>
      <c r="P199" s="191"/>
      <c r="Q199" s="191"/>
      <c r="R199" s="211"/>
      <c r="S199" s="191"/>
      <c r="T199" s="191"/>
      <c r="U199" s="191"/>
      <c r="V199" s="191"/>
      <c r="W199" s="331"/>
      <c r="X199" s="191"/>
      <c r="Y199" s="302"/>
      <c r="Z199" s="191"/>
      <c r="AA199" s="202"/>
      <c r="AB199" s="191"/>
      <c r="AC199" s="191"/>
      <c r="AD199" s="211"/>
      <c r="AE199" s="191"/>
      <c r="AF199" s="191"/>
      <c r="AG199" s="191"/>
      <c r="AH199" s="191"/>
      <c r="AI199" s="244"/>
      <c r="AJ199" s="191"/>
      <c r="AK199" s="302"/>
      <c r="AL199" s="191"/>
      <c r="AM199" s="202"/>
      <c r="AN199" s="191"/>
      <c r="AO199" s="191"/>
      <c r="AP199" s="191"/>
      <c r="AQ199" s="191"/>
      <c r="AR199" s="191"/>
      <c r="AS199" s="191"/>
      <c r="AT199" s="191"/>
      <c r="AU199" s="191"/>
      <c r="AV199" s="191"/>
      <c r="AW199" s="191"/>
      <c r="AX199" s="191"/>
      <c r="AY199" s="191"/>
      <c r="AZ199" s="191"/>
      <c r="BA199" s="191"/>
      <c r="BB199" s="191"/>
      <c r="BC199" s="191"/>
      <c r="BD199" s="191"/>
      <c r="BE199" s="191"/>
      <c r="BF199" s="191"/>
      <c r="BG199" s="191"/>
      <c r="BH199" s="191"/>
      <c r="BI199" s="191"/>
      <c r="BJ199" s="191"/>
      <c r="BK199" s="191"/>
      <c r="BL199" s="191"/>
      <c r="BM199" s="191"/>
      <c r="BN199" s="191"/>
      <c r="BO199" s="191"/>
      <c r="BP199" s="191"/>
      <c r="BQ199" s="191"/>
      <c r="BR199" s="191"/>
      <c r="BS199" s="191"/>
      <c r="BT199" s="191"/>
      <c r="BU199" s="191"/>
      <c r="BV199" s="191"/>
      <c r="BW199" s="191"/>
      <c r="BX199" s="191"/>
      <c r="BY199" s="191"/>
    </row>
    <row r="200" spans="1:77" s="86" customFormat="1" ht="15.75">
      <c r="A200" s="79"/>
      <c r="B200" s="107"/>
      <c r="C200" s="107"/>
      <c r="D200" s="95"/>
      <c r="E200" s="107"/>
      <c r="F200" s="95"/>
      <c r="G200" s="82"/>
      <c r="H200" s="82"/>
      <c r="I200" s="149" t="s">
        <v>22</v>
      </c>
      <c r="J200" s="184" t="s">
        <v>40</v>
      </c>
      <c r="K200" s="337"/>
      <c r="L200" s="440"/>
      <c r="M200" s="405"/>
      <c r="N200" s="405"/>
      <c r="O200" s="405"/>
      <c r="P200" s="191"/>
      <c r="Q200" s="191"/>
      <c r="R200" s="206"/>
      <c r="S200" s="207"/>
      <c r="T200" s="221"/>
      <c r="U200" s="221"/>
      <c r="V200" s="221"/>
      <c r="W200" s="334"/>
      <c r="X200" s="191"/>
      <c r="Y200" s="305"/>
      <c r="Z200" s="191"/>
      <c r="AA200" s="205"/>
      <c r="AB200" s="191"/>
      <c r="AC200" s="191"/>
      <c r="AD200" s="206"/>
      <c r="AE200" s="207"/>
      <c r="AF200" s="221"/>
      <c r="AG200" s="221"/>
      <c r="AH200" s="221"/>
      <c r="AI200" s="246"/>
      <c r="AJ200" s="191"/>
      <c r="AK200" s="305"/>
      <c r="AL200" s="191"/>
      <c r="AM200" s="205"/>
      <c r="AN200" s="191"/>
      <c r="AO200" s="191"/>
      <c r="AP200" s="191"/>
      <c r="AQ200" s="191"/>
      <c r="AR200" s="209"/>
      <c r="AS200" s="209"/>
      <c r="AT200" s="219"/>
      <c r="AU200" s="219"/>
      <c r="AV200" s="219"/>
      <c r="AW200" s="219"/>
      <c r="AX200" s="219"/>
      <c r="AY200" s="219"/>
      <c r="AZ200" s="219"/>
      <c r="BA200" s="219"/>
      <c r="BB200" s="219"/>
      <c r="BC200" s="219"/>
      <c r="BD200" s="219"/>
      <c r="BE200" s="219"/>
      <c r="BF200" s="219"/>
      <c r="BG200" s="219"/>
      <c r="BH200" s="219"/>
      <c r="BI200" s="219"/>
      <c r="BJ200" s="219"/>
      <c r="BK200" s="219"/>
      <c r="BL200" s="219"/>
      <c r="BM200" s="219"/>
      <c r="BN200" s="219"/>
      <c r="BO200" s="219"/>
      <c r="BP200" s="219"/>
      <c r="BQ200" s="219"/>
      <c r="BR200" s="219"/>
      <c r="BS200" s="219"/>
      <c r="BT200" s="219"/>
      <c r="BU200" s="219"/>
      <c r="BV200" s="219"/>
      <c r="BW200" s="219"/>
      <c r="BX200" s="219"/>
      <c r="BY200" s="219"/>
    </row>
    <row r="201" spans="1:77" s="86" customFormat="1" ht="22.5" customHeight="1">
      <c r="A201" s="79"/>
      <c r="B201" s="103"/>
      <c r="C201" s="103"/>
      <c r="D201" s="95"/>
      <c r="E201" s="103"/>
      <c r="F201" s="95"/>
      <c r="G201" s="82"/>
      <c r="H201" s="82"/>
      <c r="I201" s="170"/>
      <c r="J201" s="187" t="s">
        <v>26</v>
      </c>
      <c r="K201" s="365">
        <f>+K62+K79+K103+K130+K162+K193</f>
        <v>565985.3333333334</v>
      </c>
      <c r="L201" s="439">
        <f>+L62+L79+L103+L130+L162+L193</f>
        <v>509386.8</v>
      </c>
      <c r="M201" s="403">
        <f>+M62+M79+M103+M130+M162+M193</f>
        <v>397958.4375</v>
      </c>
      <c r="N201" s="404" t="e">
        <f>+N62+N79+N103+N130+N162+N193</f>
        <v>#NAME?</v>
      </c>
      <c r="O201" s="404" t="e">
        <f>+O62+O79+O103+O130+O162+O193</f>
        <v>#NAME?</v>
      </c>
      <c r="P201" s="191">
        <f>+P62+P79+P103+P193</f>
        <v>0</v>
      </c>
      <c r="Q201" s="191">
        <f>+Q62+Q79+Q103+Q193</f>
        <v>0</v>
      </c>
      <c r="R201" s="198">
        <f aca="true" t="shared" si="115" ref="R201:W201">+R62+R79+R103+R130+R162+R193</f>
        <v>0</v>
      </c>
      <c r="S201" s="198">
        <f t="shared" si="115"/>
        <v>0</v>
      </c>
      <c r="T201" s="199">
        <f t="shared" si="115"/>
        <v>0</v>
      </c>
      <c r="U201" s="199">
        <f t="shared" si="115"/>
        <v>0</v>
      </c>
      <c r="V201" s="199">
        <f t="shared" si="115"/>
        <v>0</v>
      </c>
      <c r="W201" s="333">
        <f t="shared" si="115"/>
        <v>565985.3333333334</v>
      </c>
      <c r="X201" s="191">
        <f>+X62+X79+X103+X193</f>
        <v>0</v>
      </c>
      <c r="Y201" s="304">
        <f>+Y62+Y79+Y103+Y130+Y162+Y193</f>
        <v>565985.3333333334</v>
      </c>
      <c r="Z201" s="191">
        <f>+Z62+Z79+Z103+Z193</f>
        <v>0</v>
      </c>
      <c r="AA201" s="197">
        <f>+AA62+AA79+AA103+AA130+AA162+AA193</f>
        <v>442176.0416666667</v>
      </c>
      <c r="AB201" s="191"/>
      <c r="AC201" s="191">
        <f>+AC62+AC79+AC103+AC193</f>
        <v>0</v>
      </c>
      <c r="AD201" s="198"/>
      <c r="AE201" s="198">
        <f>+AE62+AE79+AE103+AE193</f>
        <v>0</v>
      </c>
      <c r="AF201" s="199">
        <f>+AF62+AF79+AF103+AF193</f>
        <v>0</v>
      </c>
      <c r="AG201" s="199">
        <f>+AG62+AG79+AG103+AG193</f>
        <v>0</v>
      </c>
      <c r="AH201" s="199">
        <f>+AH62+AH79+AH103+AH193</f>
        <v>0</v>
      </c>
      <c r="AI201" s="243">
        <f>+AI193+AI162+AI130+AI103+AI79+AI62</f>
        <v>1512230</v>
      </c>
      <c r="AJ201" s="191">
        <f>+AJ62+AJ79+AJ103+AJ193</f>
        <v>0</v>
      </c>
      <c r="AK201" s="304">
        <f>+AK62+AK79+AK103+AK130+AK162+AK193</f>
        <v>1512230</v>
      </c>
      <c r="AL201" s="191">
        <f>+AL62+AL79+AL103+AL193</f>
        <v>0</v>
      </c>
      <c r="AM201" s="197">
        <f>+AM62+AM79+AM103+AM130+AM162+AM193</f>
        <v>1181429.6875</v>
      </c>
      <c r="AN201" s="191">
        <f>+AN62+AN79+AN103+AN193</f>
        <v>0</v>
      </c>
      <c r="AO201" s="191">
        <f>+AO62+AO79+AO103+AO193</f>
        <v>0</v>
      </c>
      <c r="AP201" s="191">
        <f>+AP62+AP79+AP103+AP193</f>
        <v>0</v>
      </c>
      <c r="AQ201" s="191">
        <f>+AQ62+AQ79+AQ103+AQ193</f>
        <v>0</v>
      </c>
      <c r="AR201" s="201" t="e">
        <f aca="true" t="shared" si="116" ref="AR201:BY201">+AR62+AR79+AR103+AR130+AR162+AR193</f>
        <v>#NAME?</v>
      </c>
      <c r="AS201" s="201" t="e">
        <f t="shared" si="116"/>
        <v>#NAME?</v>
      </c>
      <c r="AT201" s="201" t="e">
        <f t="shared" si="116"/>
        <v>#NAME?</v>
      </c>
      <c r="AU201" s="201" t="e">
        <f t="shared" si="116"/>
        <v>#NAME?</v>
      </c>
      <c r="AV201" s="201" t="e">
        <f t="shared" si="116"/>
        <v>#NAME?</v>
      </c>
      <c r="AW201" s="201" t="e">
        <f t="shared" si="116"/>
        <v>#NAME?</v>
      </c>
      <c r="AX201" s="201" t="e">
        <f t="shared" si="116"/>
        <v>#NAME?</v>
      </c>
      <c r="AY201" s="201" t="e">
        <f t="shared" si="116"/>
        <v>#NAME?</v>
      </c>
      <c r="AZ201" s="201" t="e">
        <f t="shared" si="116"/>
        <v>#NAME?</v>
      </c>
      <c r="BA201" s="201" t="e">
        <f t="shared" si="116"/>
        <v>#NAME?</v>
      </c>
      <c r="BB201" s="201" t="e">
        <f t="shared" si="116"/>
        <v>#NAME?</v>
      </c>
      <c r="BC201" s="201" t="e">
        <f t="shared" si="116"/>
        <v>#NAME?</v>
      </c>
      <c r="BD201" s="201" t="e">
        <f t="shared" si="116"/>
        <v>#NAME?</v>
      </c>
      <c r="BE201" s="201" t="e">
        <f t="shared" si="116"/>
        <v>#NAME?</v>
      </c>
      <c r="BF201" s="201" t="e">
        <f t="shared" si="116"/>
        <v>#NAME?</v>
      </c>
      <c r="BG201" s="201" t="e">
        <f t="shared" si="116"/>
        <v>#NAME?</v>
      </c>
      <c r="BH201" s="201" t="e">
        <f t="shared" si="116"/>
        <v>#NAME?</v>
      </c>
      <c r="BI201" s="201" t="e">
        <f t="shared" si="116"/>
        <v>#NAME?</v>
      </c>
      <c r="BJ201" s="201" t="e">
        <f t="shared" si="116"/>
        <v>#NAME?</v>
      </c>
      <c r="BK201" s="201" t="e">
        <f t="shared" si="116"/>
        <v>#NAME?</v>
      </c>
      <c r="BL201" s="201" t="e">
        <f t="shared" si="116"/>
        <v>#NAME?</v>
      </c>
      <c r="BM201" s="201" t="e">
        <f t="shared" si="116"/>
        <v>#NAME?</v>
      </c>
      <c r="BN201" s="201" t="e">
        <f t="shared" si="116"/>
        <v>#NAME?</v>
      </c>
      <c r="BO201" s="201" t="e">
        <f t="shared" si="116"/>
        <v>#NAME?</v>
      </c>
      <c r="BP201" s="201" t="e">
        <f t="shared" si="116"/>
        <v>#NAME?</v>
      </c>
      <c r="BQ201" s="201" t="e">
        <f t="shared" si="116"/>
        <v>#NAME?</v>
      </c>
      <c r="BR201" s="201" t="e">
        <f t="shared" si="116"/>
        <v>#NAME?</v>
      </c>
      <c r="BS201" s="201" t="e">
        <f t="shared" si="116"/>
        <v>#NAME?</v>
      </c>
      <c r="BT201" s="201" t="e">
        <f t="shared" si="116"/>
        <v>#NAME?</v>
      </c>
      <c r="BU201" s="201" t="e">
        <f t="shared" si="116"/>
        <v>#NAME?</v>
      </c>
      <c r="BV201" s="201" t="e">
        <f t="shared" si="116"/>
        <v>#NAME?</v>
      </c>
      <c r="BW201" s="201" t="e">
        <f t="shared" si="116"/>
        <v>#NAME?</v>
      </c>
      <c r="BX201" s="201" t="e">
        <f t="shared" si="116"/>
        <v>#NAME?</v>
      </c>
      <c r="BY201" s="201" t="e">
        <f t="shared" si="116"/>
        <v>#NAME?</v>
      </c>
    </row>
    <row r="202" spans="1:77" s="86" customFormat="1" ht="17.25" customHeight="1">
      <c r="A202" s="79"/>
      <c r="B202" s="108"/>
      <c r="C202" s="108"/>
      <c r="D202" s="95"/>
      <c r="E202" s="108"/>
      <c r="F202" s="95"/>
      <c r="G202" s="82"/>
      <c r="H202" s="82"/>
      <c r="I202" s="170"/>
      <c r="J202" s="183" t="s">
        <v>23</v>
      </c>
      <c r="K202" s="365">
        <f>K198</f>
        <v>39619</v>
      </c>
      <c r="L202" s="439">
        <f>L198</f>
        <v>35657.1</v>
      </c>
      <c r="M202" s="403">
        <f>M198</f>
        <v>27857.109375</v>
      </c>
      <c r="N202" s="404" t="e">
        <f>N198</f>
        <v>#NAME?</v>
      </c>
      <c r="O202" s="404" t="e">
        <f>O198</f>
        <v>#NAME?</v>
      </c>
      <c r="P202" s="191"/>
      <c r="Q202" s="191"/>
      <c r="R202" s="198"/>
      <c r="S202" s="200"/>
      <c r="T202" s="199"/>
      <c r="U202" s="199"/>
      <c r="V202" s="199"/>
      <c r="W202" s="333">
        <f>W198</f>
        <v>39619</v>
      </c>
      <c r="X202" s="191"/>
      <c r="Y202" s="304">
        <f>Y198</f>
        <v>39619</v>
      </c>
      <c r="Z202" s="191"/>
      <c r="AA202" s="197">
        <f>AA198</f>
        <v>30952.34375</v>
      </c>
      <c r="AB202" s="191"/>
      <c r="AC202" s="191"/>
      <c r="AD202" s="198"/>
      <c r="AE202" s="200"/>
      <c r="AF202" s="199"/>
      <c r="AG202" s="199"/>
      <c r="AH202" s="199"/>
      <c r="AI202" s="243">
        <f>AI198</f>
        <v>109032</v>
      </c>
      <c r="AJ202" s="191"/>
      <c r="AK202" s="304">
        <f>AK198</f>
        <v>109032</v>
      </c>
      <c r="AL202" s="191"/>
      <c r="AM202" s="197">
        <f>AM198</f>
        <v>85181.25</v>
      </c>
      <c r="AN202" s="191"/>
      <c r="AO202" s="191"/>
      <c r="AP202" s="191"/>
      <c r="AQ202" s="191"/>
      <c r="AR202" s="201" t="e">
        <f aca="true" t="shared" si="117" ref="AR202:BF202">AR198</f>
        <v>#NAME?</v>
      </c>
      <c r="AS202" s="201" t="e">
        <f t="shared" si="117"/>
        <v>#NAME?</v>
      </c>
      <c r="AT202" s="201" t="e">
        <f t="shared" si="117"/>
        <v>#NAME?</v>
      </c>
      <c r="AU202" s="201" t="e">
        <f t="shared" si="117"/>
        <v>#NAME?</v>
      </c>
      <c r="AV202" s="201" t="e">
        <f t="shared" si="117"/>
        <v>#NAME?</v>
      </c>
      <c r="AW202" s="201" t="e">
        <f t="shared" si="117"/>
        <v>#NAME?</v>
      </c>
      <c r="AX202" s="201" t="e">
        <f t="shared" si="117"/>
        <v>#NAME?</v>
      </c>
      <c r="AY202" s="201" t="e">
        <f t="shared" si="117"/>
        <v>#NAME?</v>
      </c>
      <c r="AZ202" s="201" t="e">
        <f t="shared" si="117"/>
        <v>#NAME?</v>
      </c>
      <c r="BA202" s="201" t="e">
        <f t="shared" si="117"/>
        <v>#NAME?</v>
      </c>
      <c r="BB202" s="201" t="e">
        <f t="shared" si="117"/>
        <v>#NAME?</v>
      </c>
      <c r="BC202" s="201" t="e">
        <f t="shared" si="117"/>
        <v>#NAME?</v>
      </c>
      <c r="BD202" s="201" t="e">
        <f t="shared" si="117"/>
        <v>#NAME?</v>
      </c>
      <c r="BE202" s="201" t="e">
        <f t="shared" si="117"/>
        <v>#NAME?</v>
      </c>
      <c r="BF202" s="201" t="e">
        <f t="shared" si="117"/>
        <v>#NAME?</v>
      </c>
      <c r="BG202" s="201" t="e">
        <f aca="true" t="shared" si="118" ref="BG202:BY202">BG198</f>
        <v>#NAME?</v>
      </c>
      <c r="BH202" s="201" t="e">
        <f t="shared" si="118"/>
        <v>#NAME?</v>
      </c>
      <c r="BI202" s="201" t="e">
        <f t="shared" si="118"/>
        <v>#NAME?</v>
      </c>
      <c r="BJ202" s="201" t="e">
        <f t="shared" si="118"/>
        <v>#NAME?</v>
      </c>
      <c r="BK202" s="201" t="e">
        <f t="shared" si="118"/>
        <v>#NAME?</v>
      </c>
      <c r="BL202" s="201" t="e">
        <f t="shared" si="118"/>
        <v>#NAME?</v>
      </c>
      <c r="BM202" s="201" t="e">
        <f t="shared" si="118"/>
        <v>#NAME?</v>
      </c>
      <c r="BN202" s="201" t="e">
        <f t="shared" si="118"/>
        <v>#NAME?</v>
      </c>
      <c r="BO202" s="201" t="e">
        <f t="shared" si="118"/>
        <v>#NAME?</v>
      </c>
      <c r="BP202" s="201" t="e">
        <f t="shared" si="118"/>
        <v>#NAME?</v>
      </c>
      <c r="BQ202" s="201" t="e">
        <f t="shared" si="118"/>
        <v>#NAME?</v>
      </c>
      <c r="BR202" s="201" t="e">
        <f t="shared" si="118"/>
        <v>#NAME?</v>
      </c>
      <c r="BS202" s="201" t="e">
        <f t="shared" si="118"/>
        <v>#NAME?</v>
      </c>
      <c r="BT202" s="201" t="e">
        <f t="shared" si="118"/>
        <v>#NAME?</v>
      </c>
      <c r="BU202" s="201" t="e">
        <f t="shared" si="118"/>
        <v>#NAME?</v>
      </c>
      <c r="BV202" s="201" t="e">
        <f t="shared" si="118"/>
        <v>#NAME?</v>
      </c>
      <c r="BW202" s="201" t="e">
        <f t="shared" si="118"/>
        <v>#NAME?</v>
      </c>
      <c r="BX202" s="201" t="e">
        <f t="shared" si="118"/>
        <v>#NAME?</v>
      </c>
      <c r="BY202" s="201" t="e">
        <f t="shared" si="118"/>
        <v>#NAME?</v>
      </c>
    </row>
    <row r="203" spans="1:77" s="86" customFormat="1" ht="18.75" customHeight="1">
      <c r="A203" s="79"/>
      <c r="B203" s="107"/>
      <c r="C203" s="107"/>
      <c r="D203" s="95"/>
      <c r="E203" s="107"/>
      <c r="F203" s="95"/>
      <c r="G203" s="82"/>
      <c r="H203" s="82"/>
      <c r="I203" s="149"/>
      <c r="J203" s="184" t="str">
        <f>CONCATENATE("Total requested from ",M1)</f>
        <v>Total requested from Building Peace from the Bottom Up: Reinforcing Local Actions for Peace in the Kivus</v>
      </c>
      <c r="K203" s="337">
        <f>SUBTOTAL(9,K201:K202)</f>
        <v>605604.3333333334</v>
      </c>
      <c r="L203" s="440">
        <f>SUBTOTAL(9,L201:L202)</f>
        <v>545043.9</v>
      </c>
      <c r="M203" s="405">
        <f>SUBTOTAL(9,M201:M202)</f>
        <v>425815.546875</v>
      </c>
      <c r="N203" s="405" t="e">
        <f>SUBTOTAL(9,N201:N202)</f>
        <v>#NAME?</v>
      </c>
      <c r="O203" s="405" t="e">
        <f>SUBTOTAL(9,O201:O202)</f>
        <v>#NAME?</v>
      </c>
      <c r="P203" s="191"/>
      <c r="Q203" s="191"/>
      <c r="R203" s="206"/>
      <c r="S203" s="207"/>
      <c r="T203" s="207"/>
      <c r="U203" s="207"/>
      <c r="V203" s="207"/>
      <c r="W203" s="334">
        <f>SUBTOTAL(9,W201:W202)</f>
        <v>605604.3333333334</v>
      </c>
      <c r="X203" s="191"/>
      <c r="Y203" s="305">
        <f>SUBTOTAL(9,Y201:Y202)</f>
        <v>605604.3333333334</v>
      </c>
      <c r="Z203" s="191"/>
      <c r="AA203" s="205">
        <f>SUBTOTAL(9,AA201:AA202)</f>
        <v>473128.3854166667</v>
      </c>
      <c r="AB203" s="191"/>
      <c r="AC203" s="191"/>
      <c r="AD203" s="206"/>
      <c r="AE203" s="207"/>
      <c r="AF203" s="207"/>
      <c r="AG203" s="207"/>
      <c r="AH203" s="207"/>
      <c r="AI203" s="246">
        <f>SUBTOTAL(9,AI201:AI202)</f>
        <v>1621262</v>
      </c>
      <c r="AJ203" s="191"/>
      <c r="AK203" s="305">
        <f>SUBTOTAL(9,AK201:AK202)</f>
        <v>1621262</v>
      </c>
      <c r="AL203" s="191"/>
      <c r="AM203" s="205">
        <f>SUBTOTAL(9,AM201:AM202)</f>
        <v>1266610.9375</v>
      </c>
      <c r="AN203" s="191"/>
      <c r="AO203" s="191"/>
      <c r="AP203" s="191"/>
      <c r="AQ203" s="191"/>
      <c r="AR203" s="209" t="e">
        <f aca="true" t="shared" si="119" ref="AR203:BF203">SUBTOTAL(9,AR201:AR202)</f>
        <v>#NAME?</v>
      </c>
      <c r="AS203" s="209" t="e">
        <f t="shared" si="119"/>
        <v>#NAME?</v>
      </c>
      <c r="AT203" s="209" t="e">
        <f t="shared" si="119"/>
        <v>#NAME?</v>
      </c>
      <c r="AU203" s="209" t="e">
        <f t="shared" si="119"/>
        <v>#NAME?</v>
      </c>
      <c r="AV203" s="209" t="e">
        <f t="shared" si="119"/>
        <v>#NAME?</v>
      </c>
      <c r="AW203" s="209" t="e">
        <f t="shared" si="119"/>
        <v>#NAME?</v>
      </c>
      <c r="AX203" s="209" t="e">
        <f t="shared" si="119"/>
        <v>#NAME?</v>
      </c>
      <c r="AY203" s="209" t="e">
        <f t="shared" si="119"/>
        <v>#NAME?</v>
      </c>
      <c r="AZ203" s="209" t="e">
        <f t="shared" si="119"/>
        <v>#NAME?</v>
      </c>
      <c r="BA203" s="209" t="e">
        <f t="shared" si="119"/>
        <v>#NAME?</v>
      </c>
      <c r="BB203" s="209" t="e">
        <f t="shared" si="119"/>
        <v>#NAME?</v>
      </c>
      <c r="BC203" s="209" t="e">
        <f t="shared" si="119"/>
        <v>#NAME?</v>
      </c>
      <c r="BD203" s="209" t="e">
        <f t="shared" si="119"/>
        <v>#NAME?</v>
      </c>
      <c r="BE203" s="209" t="e">
        <f t="shared" si="119"/>
        <v>#NAME?</v>
      </c>
      <c r="BF203" s="209" t="e">
        <f t="shared" si="119"/>
        <v>#NAME?</v>
      </c>
      <c r="BG203" s="209" t="e">
        <f aca="true" t="shared" si="120" ref="BG203:BY203">SUBTOTAL(9,BG201:BG202)</f>
        <v>#NAME?</v>
      </c>
      <c r="BH203" s="209" t="e">
        <f t="shared" si="120"/>
        <v>#NAME?</v>
      </c>
      <c r="BI203" s="209" t="e">
        <f t="shared" si="120"/>
        <v>#NAME?</v>
      </c>
      <c r="BJ203" s="209" t="e">
        <f t="shared" si="120"/>
        <v>#NAME?</v>
      </c>
      <c r="BK203" s="209" t="e">
        <f t="shared" si="120"/>
        <v>#NAME?</v>
      </c>
      <c r="BL203" s="209" t="e">
        <f t="shared" si="120"/>
        <v>#NAME?</v>
      </c>
      <c r="BM203" s="209" t="e">
        <f t="shared" si="120"/>
        <v>#NAME?</v>
      </c>
      <c r="BN203" s="209" t="e">
        <f t="shared" si="120"/>
        <v>#NAME?</v>
      </c>
      <c r="BO203" s="209" t="e">
        <f t="shared" si="120"/>
        <v>#NAME?</v>
      </c>
      <c r="BP203" s="209" t="e">
        <f t="shared" si="120"/>
        <v>#NAME?</v>
      </c>
      <c r="BQ203" s="209" t="e">
        <f t="shared" si="120"/>
        <v>#NAME?</v>
      </c>
      <c r="BR203" s="209" t="e">
        <f t="shared" si="120"/>
        <v>#NAME?</v>
      </c>
      <c r="BS203" s="209" t="e">
        <f t="shared" si="120"/>
        <v>#NAME?</v>
      </c>
      <c r="BT203" s="209" t="e">
        <f t="shared" si="120"/>
        <v>#NAME?</v>
      </c>
      <c r="BU203" s="209" t="e">
        <f t="shared" si="120"/>
        <v>#NAME?</v>
      </c>
      <c r="BV203" s="209" t="e">
        <f t="shared" si="120"/>
        <v>#NAME?</v>
      </c>
      <c r="BW203" s="209" t="e">
        <f t="shared" si="120"/>
        <v>#NAME?</v>
      </c>
      <c r="BX203" s="209" t="e">
        <f t="shared" si="120"/>
        <v>#NAME?</v>
      </c>
      <c r="BY203" s="209" t="e">
        <f t="shared" si="120"/>
        <v>#NAME?</v>
      </c>
    </row>
    <row r="204" spans="1:77" s="86" customFormat="1" ht="14.25" hidden="1" outlineLevel="1">
      <c r="A204" s="109"/>
      <c r="B204" s="82"/>
      <c r="C204" s="82"/>
      <c r="D204" s="82"/>
      <c r="E204" s="82"/>
      <c r="F204" s="82"/>
      <c r="G204" s="82"/>
      <c r="H204" s="85"/>
      <c r="I204" s="82"/>
      <c r="J204" s="82"/>
      <c r="K204" s="371"/>
      <c r="L204" s="446"/>
      <c r="M204" s="412"/>
      <c r="N204" s="413"/>
      <c r="O204" s="413"/>
      <c r="P204" s="85"/>
      <c r="Q204" s="85"/>
      <c r="R204" s="85"/>
      <c r="S204" s="85"/>
      <c r="T204" s="110"/>
      <c r="U204" s="111"/>
      <c r="V204" s="111"/>
      <c r="W204" s="340"/>
      <c r="X204" s="85"/>
      <c r="Y204" s="311"/>
      <c r="Z204" s="85"/>
      <c r="AA204" s="82"/>
      <c r="AB204" s="85"/>
      <c r="AC204" s="85"/>
      <c r="AD204" s="85"/>
      <c r="AE204" s="85"/>
      <c r="AF204" s="110"/>
      <c r="AG204" s="111"/>
      <c r="AH204" s="111"/>
      <c r="AI204" s="252"/>
      <c r="AJ204" s="85"/>
      <c r="AK204" s="311"/>
      <c r="AL204" s="85"/>
      <c r="AM204" s="82"/>
      <c r="AN204" s="85"/>
      <c r="AO204" s="85"/>
      <c r="AP204" s="82"/>
      <c r="AQ204" s="82"/>
      <c r="AR204" s="99"/>
      <c r="AS204" s="82"/>
      <c r="AT204" s="98"/>
      <c r="AU204" s="82"/>
      <c r="AV204" s="82"/>
      <c r="AW204" s="82"/>
      <c r="AX204" s="82"/>
      <c r="AY204" s="82"/>
      <c r="AZ204" s="82"/>
      <c r="BA204" s="82"/>
      <c r="BB204" s="82"/>
      <c r="BC204" s="82"/>
      <c r="BD204" s="82"/>
      <c r="BE204" s="82"/>
      <c r="BF204" s="82"/>
      <c r="BG204" s="82"/>
      <c r="BH204" s="82"/>
      <c r="BI204" s="82"/>
      <c r="BJ204" s="82"/>
      <c r="BK204" s="82"/>
      <c r="BL204" s="82"/>
      <c r="BM204" s="82"/>
      <c r="BN204" s="82"/>
      <c r="BO204" s="82"/>
      <c r="BP204" s="82"/>
      <c r="BQ204" s="82"/>
      <c r="BR204" s="82"/>
      <c r="BS204" s="82"/>
      <c r="BT204" s="82"/>
      <c r="BU204" s="82"/>
      <c r="BV204" s="82"/>
      <c r="BW204" s="82"/>
      <c r="BX204" s="82"/>
      <c r="BY204" s="82"/>
    </row>
    <row r="205" spans="1:77" s="86" customFormat="1" ht="12.75" customHeight="1" hidden="1" outlineLevel="1">
      <c r="A205" s="112"/>
      <c r="I205" s="84" t="s">
        <v>28</v>
      </c>
      <c r="J205" s="84" t="s">
        <v>47</v>
      </c>
      <c r="K205" s="372"/>
      <c r="L205" s="447"/>
      <c r="M205" s="414"/>
      <c r="N205" s="414"/>
      <c r="O205" s="414"/>
      <c r="P205" s="226"/>
      <c r="T205" s="113"/>
      <c r="U205" s="114"/>
      <c r="V205" s="114"/>
      <c r="W205" s="341"/>
      <c r="Y205" s="312"/>
      <c r="AF205" s="113"/>
      <c r="AG205" s="114"/>
      <c r="AH205" s="114"/>
      <c r="AI205" s="253"/>
      <c r="AK205" s="312"/>
      <c r="AQ205" s="96" t="e">
        <f>AS205*$F$4</f>
        <v>#NAME?</v>
      </c>
      <c r="AR205" s="92" t="e">
        <f>AS205*$M$4</f>
        <v>#NAME?</v>
      </c>
      <c r="AS205" s="93" t="e">
        <f>AW205+BA205+BE205+BI205</f>
        <v>#NAME?</v>
      </c>
      <c r="AT205" s="115" t="e">
        <v>#NAME?</v>
      </c>
      <c r="AU205" s="115" t="e">
        <v>#NAME?</v>
      </c>
      <c r="AV205" s="115" t="e">
        <v>#NAME?</v>
      </c>
      <c r="AW205" s="116" t="e">
        <f>SUM(AT205:AV205)</f>
        <v>#NAME?</v>
      </c>
      <c r="AX205" s="115" t="e">
        <v>#NAME?</v>
      </c>
      <c r="AY205" s="115" t="e">
        <v>#NAME?</v>
      </c>
      <c r="AZ205" s="115" t="e">
        <v>#NAME?</v>
      </c>
      <c r="BA205" s="116" t="e">
        <f>SUM(AX205:AZ205)</f>
        <v>#NAME?</v>
      </c>
      <c r="BB205" s="115" t="e">
        <v>#NAME?</v>
      </c>
      <c r="BC205" s="115" t="e">
        <v>#NAME?</v>
      </c>
      <c r="BD205" s="115" t="e">
        <v>#NAME?</v>
      </c>
      <c r="BE205" s="116" t="e">
        <f>SUM(BB205:BD205)</f>
        <v>#NAME?</v>
      </c>
      <c r="BF205" s="115" t="e">
        <v>#NAME?</v>
      </c>
      <c r="BG205" s="115" t="e">
        <v>#NAME?</v>
      </c>
      <c r="BH205" s="115" t="e">
        <v>#NAME?</v>
      </c>
      <c r="BI205" s="116" t="e">
        <f>SUM(BF205:BH205)</f>
        <v>#NAME?</v>
      </c>
      <c r="BJ205" s="115" t="e">
        <v>#NAME?</v>
      </c>
      <c r="BK205" s="115" t="e">
        <v>#NAME?</v>
      </c>
      <c r="BL205" s="115" t="e">
        <v>#NAME?</v>
      </c>
      <c r="BM205" s="116" t="e">
        <f>SUM(BJ205:BL205)</f>
        <v>#NAME?</v>
      </c>
      <c r="BN205" s="115" t="e">
        <v>#NAME?</v>
      </c>
      <c r="BO205" s="115" t="e">
        <v>#NAME?</v>
      </c>
      <c r="BP205" s="115" t="e">
        <v>#NAME?</v>
      </c>
      <c r="BQ205" s="116" t="e">
        <f>SUM(BM205:BP205)</f>
        <v>#NAME?</v>
      </c>
      <c r="BR205" s="115" t="e">
        <v>#NAME?</v>
      </c>
      <c r="BS205" s="115" t="e">
        <v>#NAME?</v>
      </c>
      <c r="BT205" s="115" t="e">
        <v>#NAME?</v>
      </c>
      <c r="BU205" s="116" t="e">
        <f>SUM(BQ205:BT205)</f>
        <v>#NAME?</v>
      </c>
      <c r="BV205" s="115" t="e">
        <v>#NAME?</v>
      </c>
      <c r="BW205" s="115" t="e">
        <v>#NAME?</v>
      </c>
      <c r="BX205" s="115" t="e">
        <v>#NAME?</v>
      </c>
      <c r="BY205" s="116" t="e">
        <f>SUM(BU205:BX205)</f>
        <v>#NAME?</v>
      </c>
    </row>
    <row r="206" spans="1:48" s="86" customFormat="1" ht="15" hidden="1" outlineLevel="1">
      <c r="A206" s="112"/>
      <c r="I206" s="117"/>
      <c r="J206" s="97"/>
      <c r="K206" s="372"/>
      <c r="L206" s="447"/>
      <c r="M206" s="414"/>
      <c r="N206" s="414"/>
      <c r="O206" s="414"/>
      <c r="P206" s="54"/>
      <c r="T206" s="113"/>
      <c r="U206" s="114"/>
      <c r="V206" s="114"/>
      <c r="W206" s="341"/>
      <c r="Y206" s="312"/>
      <c r="AF206" s="113"/>
      <c r="AG206" s="114"/>
      <c r="AH206" s="114"/>
      <c r="AI206" s="253"/>
      <c r="AK206" s="312"/>
      <c r="AQ206" s="118" t="e">
        <f>DATEDIF(#REF!,#REF!,"M")+1</f>
        <v>#REF!</v>
      </c>
      <c r="AR206" s="119" t="e">
        <f>DATEDIF(#REF!,#REF!,"M")+1</f>
        <v>#REF!</v>
      </c>
      <c r="AS206" s="120" t="e">
        <f>DATEDIF(#REF!,#REF!,"M")+1</f>
        <v>#REF!</v>
      </c>
      <c r="AT206" s="121" t="e">
        <f>+AS206-AV215</f>
        <v>#REF!</v>
      </c>
      <c r="AU206" s="121" t="e">
        <f>+#REF!/AS206</f>
        <v>#REF!</v>
      </c>
      <c r="AV206" s="121" t="e">
        <f>+AU206*AT206</f>
        <v>#REF!</v>
      </c>
    </row>
    <row r="207" spans="9:77" ht="22.5" customHeight="1" hidden="1" outlineLevel="1">
      <c r="I207" s="6">
        <v>1</v>
      </c>
      <c r="J207" s="23"/>
      <c r="P207" s="55"/>
      <c r="AP207" s="8"/>
      <c r="AQ207" s="55"/>
      <c r="AR207" s="71"/>
      <c r="AS207" s="790" t="s">
        <v>124</v>
      </c>
      <c r="AT207" s="790"/>
      <c r="AU207" s="790"/>
      <c r="AV207" s="790"/>
      <c r="AW207" s="5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row>
    <row r="208" spans="9:77" ht="15.75" customHeight="1" hidden="1" outlineLevel="1">
      <c r="I208" s="6">
        <v>2</v>
      </c>
      <c r="J208" s="24"/>
      <c r="AP208" s="8"/>
      <c r="AQ208" s="57"/>
      <c r="AR208" s="72"/>
      <c r="AS208" s="788" t="s">
        <v>125</v>
      </c>
      <c r="AT208" s="788"/>
      <c r="AU208" s="788"/>
      <c r="AV208" s="58" t="e">
        <f>+#REF!</f>
        <v>#REF!</v>
      </c>
      <c r="AW208" s="59"/>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c r="BU208" s="36"/>
      <c r="BV208" s="36"/>
      <c r="BW208" s="36"/>
      <c r="BX208" s="36"/>
      <c r="BY208" s="36"/>
    </row>
    <row r="209" spans="9:77" ht="15.75" customHeight="1" hidden="1" outlineLevel="1">
      <c r="I209" s="6">
        <v>3</v>
      </c>
      <c r="J209" s="24"/>
      <c r="AP209" s="8"/>
      <c r="AQ209" s="60"/>
      <c r="AR209" s="73"/>
      <c r="AS209" s="788" t="s">
        <v>126</v>
      </c>
      <c r="AT209" s="788"/>
      <c r="AU209" s="788"/>
      <c r="AV209" s="61" t="e">
        <f>+AS205/#REF!</f>
        <v>#NAME?</v>
      </c>
      <c r="AW209" s="59"/>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row>
    <row r="210" spans="9:77" ht="15.75" customHeight="1" hidden="1" outlineLevel="1">
      <c r="I210" s="6">
        <v>4</v>
      </c>
      <c r="J210" s="24"/>
      <c r="AP210" s="8"/>
      <c r="AQ210" s="60"/>
      <c r="AR210" s="73"/>
      <c r="AS210" s="788" t="s">
        <v>127</v>
      </c>
      <c r="AT210" s="788"/>
      <c r="AU210" s="788"/>
      <c r="AV210" s="61" t="e">
        <f>+AS203/#REF!</f>
        <v>#NAME?</v>
      </c>
      <c r="AW210" s="59"/>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row>
    <row r="211" spans="9:77" ht="15.75" customHeight="1" hidden="1" outlineLevel="1">
      <c r="I211" s="6">
        <v>5</v>
      </c>
      <c r="J211" s="24"/>
      <c r="AP211" s="8"/>
      <c r="AQ211" s="60"/>
      <c r="AR211" s="73"/>
      <c r="AS211" s="788" t="s">
        <v>128</v>
      </c>
      <c r="AT211" s="788"/>
      <c r="AU211" s="788"/>
      <c r="AV211" s="58" t="e">
        <f>+AS205-AS203</f>
        <v>#NAME?</v>
      </c>
      <c r="AW211" s="59"/>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row>
    <row r="212" spans="9:77" ht="15.75" hidden="1" outlineLevel="1">
      <c r="I212" s="6">
        <v>6</v>
      </c>
      <c r="J212" s="24"/>
      <c r="AP212" s="8"/>
      <c r="AQ212" s="60"/>
      <c r="AR212" s="73"/>
      <c r="AS212" s="788"/>
      <c r="AT212" s="788"/>
      <c r="AU212" s="788"/>
      <c r="AV212" s="788"/>
      <c r="AW212" s="59"/>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row>
    <row r="213" spans="9:77" ht="15.75" customHeight="1" hidden="1" outlineLevel="1">
      <c r="I213" s="6">
        <v>7</v>
      </c>
      <c r="J213" s="24"/>
      <c r="AQ213" s="60"/>
      <c r="AR213" s="73"/>
      <c r="AS213" s="788" t="s">
        <v>129</v>
      </c>
      <c r="AT213" s="788"/>
      <c r="AU213" s="788"/>
      <c r="AV213" s="61" t="e">
        <f>+AV206/#REF!</f>
        <v>#REF!</v>
      </c>
      <c r="AW213" s="59"/>
      <c r="AX213" s="36">
        <v>70</v>
      </c>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row>
    <row r="214" spans="9:77" ht="15.75" customHeight="1" hidden="1" outlineLevel="1">
      <c r="I214" s="6">
        <v>8</v>
      </c>
      <c r="J214" s="24"/>
      <c r="AQ214" s="60"/>
      <c r="AR214" s="73"/>
      <c r="AS214" s="788" t="s">
        <v>130</v>
      </c>
      <c r="AT214" s="788"/>
      <c r="AU214" s="788"/>
      <c r="AV214" s="61" t="e">
        <f>+AS203/#REF!</f>
        <v>#NAME?</v>
      </c>
      <c r="AW214" s="59"/>
      <c r="AX214" s="36">
        <v>70</v>
      </c>
      <c r="AY214" s="36"/>
      <c r="AZ214" s="36"/>
      <c r="BA214" s="36"/>
      <c r="BB214" s="36"/>
      <c r="BC214" s="36"/>
      <c r="BD214" s="36"/>
      <c r="BE214" s="36"/>
      <c r="BF214" s="36"/>
      <c r="BG214" s="36"/>
      <c r="BH214" s="36"/>
      <c r="BI214" s="36"/>
      <c r="BJ214" s="36"/>
      <c r="BK214" s="36"/>
      <c r="BL214" s="36"/>
      <c r="BM214" s="36"/>
      <c r="BN214" s="36"/>
      <c r="BO214" s="36"/>
      <c r="BP214" s="36"/>
      <c r="BQ214" s="36"/>
      <c r="BR214" s="36"/>
      <c r="BS214" s="36"/>
      <c r="BT214" s="36"/>
      <c r="BU214" s="36"/>
      <c r="BV214" s="36"/>
      <c r="BW214" s="36"/>
      <c r="BX214" s="36"/>
      <c r="BY214" s="36"/>
    </row>
    <row r="215" spans="9:77" ht="15.75" customHeight="1" hidden="1" outlineLevel="1">
      <c r="I215" s="6">
        <v>9</v>
      </c>
      <c r="J215" s="24"/>
      <c r="AQ215" s="60"/>
      <c r="AR215" s="73"/>
      <c r="AS215" s="788" t="s">
        <v>131</v>
      </c>
      <c r="AT215" s="788"/>
      <c r="AU215" s="788"/>
      <c r="AV215" s="62" t="e">
        <f>DATEDIF(AX83,#REF!,"M")+1</f>
        <v>#REF!</v>
      </c>
      <c r="AW215" s="59"/>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36"/>
      <c r="BU215" s="36"/>
      <c r="BV215" s="36"/>
      <c r="BW215" s="36"/>
      <c r="BX215" s="36"/>
      <c r="BY215" s="36"/>
    </row>
    <row r="216" spans="9:77" ht="12" hidden="1" outlineLevel="1">
      <c r="I216" s="6">
        <v>10</v>
      </c>
      <c r="J216" s="24"/>
      <c r="AQ216" s="60"/>
      <c r="AR216" s="73"/>
      <c r="AS216" s="36"/>
      <c r="AT216" s="36"/>
      <c r="AU216" s="36"/>
      <c r="AV216" s="36"/>
      <c r="AW216" s="36"/>
      <c r="AX216" s="36"/>
      <c r="AY216" s="36"/>
      <c r="AZ216" s="36"/>
      <c r="BA216" s="36"/>
      <c r="BB216" s="36"/>
      <c r="BC216" s="36"/>
      <c r="BD216" s="36"/>
      <c r="BE216" s="36"/>
      <c r="BF216" s="36"/>
      <c r="BG216" s="36"/>
      <c r="BH216" s="36"/>
      <c r="BI216" s="36"/>
      <c r="BJ216" s="36"/>
      <c r="BK216" s="36"/>
      <c r="BL216" s="36"/>
      <c r="BM216" s="36"/>
      <c r="BN216" s="36"/>
      <c r="BO216" s="36"/>
      <c r="BP216" s="36"/>
      <c r="BQ216" s="36"/>
      <c r="BR216" s="36"/>
      <c r="BS216" s="36"/>
      <c r="BT216" s="36"/>
      <c r="BU216" s="36"/>
      <c r="BV216" s="36"/>
      <c r="BW216" s="36"/>
      <c r="BX216" s="36"/>
      <c r="BY216" s="36"/>
    </row>
    <row r="217" spans="9:77" ht="12" hidden="1" outlineLevel="1">
      <c r="I217" s="6">
        <v>11</v>
      </c>
      <c r="J217" s="24"/>
      <c r="AQ217" s="60"/>
      <c r="AR217" s="73"/>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c r="BU217" s="36"/>
      <c r="BV217" s="36"/>
      <c r="BW217" s="36"/>
      <c r="BX217" s="36"/>
      <c r="BY217" s="36"/>
    </row>
    <row r="218" spans="9:77" ht="12" hidden="1" outlineLevel="1">
      <c r="I218" s="6">
        <v>12</v>
      </c>
      <c r="J218" s="25"/>
      <c r="AQ218" s="60"/>
      <c r="AR218" s="73"/>
      <c r="AS218" s="36"/>
      <c r="AT218" s="36"/>
      <c r="AU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36"/>
      <c r="BU218" s="36"/>
      <c r="BV218" s="36"/>
      <c r="BW218" s="36"/>
      <c r="BX218" s="36"/>
      <c r="BY218" s="36"/>
    </row>
    <row r="219" spans="1:44" s="6" customFormat="1" ht="12" hidden="1" outlineLevel="1">
      <c r="A219" s="78"/>
      <c r="B219" s="4"/>
      <c r="C219" s="4"/>
      <c r="D219" s="4"/>
      <c r="E219" s="4"/>
      <c r="F219" s="4"/>
      <c r="I219" s="7"/>
      <c r="J219" s="7"/>
      <c r="K219" s="374"/>
      <c r="L219" s="449"/>
      <c r="M219" s="416"/>
      <c r="N219" s="416"/>
      <c r="O219" s="416"/>
      <c r="T219" s="40"/>
      <c r="U219" s="45"/>
      <c r="V219" s="45"/>
      <c r="W219" s="343"/>
      <c r="Y219" s="314"/>
      <c r="AF219" s="40"/>
      <c r="AG219" s="45"/>
      <c r="AH219" s="45"/>
      <c r="AI219" s="255"/>
      <c r="AK219" s="314"/>
      <c r="AR219" s="74"/>
    </row>
    <row r="220" spans="1:44" s="6" customFormat="1" ht="12" hidden="1" outlineLevel="1">
      <c r="A220" s="78"/>
      <c r="B220" s="4"/>
      <c r="C220" s="4"/>
      <c r="D220" s="4"/>
      <c r="E220" s="4"/>
      <c r="F220" s="4"/>
      <c r="I220" s="16"/>
      <c r="J220" s="16"/>
      <c r="K220" s="374"/>
      <c r="L220" s="449"/>
      <c r="M220" s="416"/>
      <c r="N220" s="416"/>
      <c r="O220" s="416"/>
      <c r="T220" s="40"/>
      <c r="U220" s="45"/>
      <c r="V220" s="45"/>
      <c r="W220" s="343"/>
      <c r="Y220" s="314"/>
      <c r="AF220" s="40"/>
      <c r="AG220" s="45"/>
      <c r="AH220" s="45"/>
      <c r="AI220" s="255"/>
      <c r="AK220" s="314"/>
      <c r="AR220" s="74"/>
    </row>
    <row r="221" ht="12" collapsed="1"/>
  </sheetData>
  <sheetProtection/>
  <mergeCells count="10">
    <mergeCell ref="AS212:AV212"/>
    <mergeCell ref="M17:M19"/>
    <mergeCell ref="AS213:AU213"/>
    <mergeCell ref="AS214:AU214"/>
    <mergeCell ref="AS215:AU215"/>
    <mergeCell ref="AS207:AV207"/>
    <mergeCell ref="AS208:AU208"/>
    <mergeCell ref="AS209:AU209"/>
    <mergeCell ref="AS210:AU210"/>
    <mergeCell ref="AS211:AU211"/>
  </mergeCells>
  <dataValidations count="181">
    <dataValidation allowBlank="1" showInputMessage="1" showErrorMessage="1" promptTitle="Project Code Funder" prompt="Usually allocated by the funder as part of the grant contract.&#10;During the application process this row can usually be grouped and collapsed.&#10;Please do NOT delete the row!" sqref="AV11 M5"/>
    <dataValidation allowBlank="1" showInputMessage="1" showErrorMessage="1" promptTitle="Fund Code International Alert" prompt="Please fill in the allocated Fund Code after the project has been funded.&#10;During the application process this row can be grouped and collapsed.&#10;Please do NOT delete the row!" sqref="AV12 M6"/>
    <dataValidation allowBlank="1" showInputMessage="1" showErrorMessage="1" promptTitle="International Alert Programme" prompt="Please fill in the name of the International Alert Programme that carries out the project.&#10;Please do NOT delete the row!" sqref="AV13 M7"/>
    <dataValidation allowBlank="1" showInputMessage="1" showErrorMessage="1" promptTitle="Programme Manager" prompt="Name of the International Alert Programme manager that implements this project.&#10;Please do NOT delete this row!" sqref="AV14 M8"/>
    <dataValidation allowBlank="1" showInputMessage="1" showErrorMessage="1" promptTitle="Project Title" prompt="Name of the International Alert Project that is proposed to the donor with this budget.&#10;Please do NOT delete this row!" sqref="AV15 M10"/>
    <dataValidation operator="greaterThan" allowBlank="1" showInputMessage="1" showErrorMessage="1" promptTitle="Project Period" prompt="Please enter the project's implementation period into this cell.&#10;Please use the format MMM-YY-MMM-YY&#10;Do NOT delete this row!" sqref="AV16 M11"/>
    <dataValidation type="decimal" allowBlank="1" showInputMessage="1" showErrorMessage="1" promptTitle="General Overheads Contribution" prompt="Please fill in the General contribution to overheads as a percentage of the total budget -before overheads-&#10;Do NOT delete this row!" sqref="AV18 M13">
      <formula1>0.05</formula1>
      <formula2>0.4</formula2>
    </dataValidation>
    <dataValidation allowBlank="1" showInputMessage="1" showErrorMessage="1" promptTitle="Base currency" prompt="Do NOT delete this row!" sqref="AV2"/>
    <dataValidation allowBlank="1" showInputMessage="1" showErrorMessage="1" promptTitle="Name Donor" prompt="Please fill in the name of the donor/funder.&#10;Do NOT delete this row!" sqref="AV1"/>
    <dataValidation type="whole" allowBlank="1" showInputMessage="1" showErrorMessage="1" promptTitle="Number of months" prompt="Please fill in the number of months for this one-period grant (min 1 - max 36).&#10;&#10;Do NOT delete this row!" sqref="AV17 M12">
      <formula1>1</formula1>
      <formula2>36</formula2>
    </dataValidation>
    <dataValidation allowBlank="1" showInputMessage="1" showErrorMessage="1" promptTitle="Percentage of allocation" prompt="The percentage allowes you to show how much of the total of any item (e.g. capacity of a member of staff) is proposed to be charged to this donor.&#10;For example if the costs of a project are shared by two donors, you will find 50% for all items." sqref="R30:R31 R56:R58 R84:R85 R95:R99 R151:R158 R35:R40 R44:R51 R67:R69 R73:R75 R89:R91 R108:R109 R120:R121 R113:R116 R125:R126 R135 R147 R140:R143 R176:R177 R168:R172 R181:R190 AD30:AD31 AD56:AD58 AD84:AD85 AD95:AD99 AD151:AD158 AD35:AD40 AD44:AD51 AD67:AD69 AD73:AD75 AD89:AD91 AD108:AD109 AD120:AD121 AD113:AD116 AD125:AD126 AD135 AD147 AD140:AD143 AD176:AD177 AD168:AD172 AD181:AD190"/>
    <dataValidation allowBlank="1" showInputMessage="1" showErrorMessage="1" promptTitle="Total in [currency]" prompt="Don't change this cell.... it is done automatically for you when you change the Second Currency at the top of the sheet." sqref="M24:O24 AM24 AA24"/>
    <dataValidation allowBlank="1" showInputMessage="1" showErrorMessage="1" promptTitle="Name Donor" prompt="Please fill in the name of the donor/funder.&#10;Do NOT delete this row or any other rows above row 30!" sqref="M1"/>
    <dataValidation allowBlank="1" showInputMessage="1" showErrorMessage="1" promptTitle="Base Currency" prompt="Please do not change Base Currency&#10;Do NOT delete this row!" sqref="M2:M3"/>
    <dataValidation allowBlank="1" showInputMessage="1" showErrorMessage="1" promptTitle="Currency Rate" prompt="Don't change this cell.... it is done automatically for you when you change the rate of the Second Currency at the top of the sheet." sqref="M27:O27"/>
    <dataValidation allowBlank="1" showInputMessage="1" showErrorMessage="1" promptTitle="Project Period" prompt="Don't change this cell.... it is done automatically for you when you change the Project Period at the top of the sheet." sqref="K25:O25"/>
    <dataValidation allowBlank="1" showInputMessage="1" showErrorMessage="1" promptTitle="Currency Rate (from table)" prompt="Please do not change the rate here!&#10;&#10;Please fill in the countervalue of GBP 1 with an accuracy of up to 5 digits in the table to the extreme right (Starting at column IO)&#10;&#10;Please do not delete this row or any row below row 30!" sqref="M4"/>
    <dataValidation allowBlank="1" showInputMessage="1" showErrorMessage="1" promptTitle="Budget Holder" prompt="Name of the International Alert Budget Holder that holds the budget for this project.&#10;Please do NOT delete this row!" sqref="M9"/>
    <dataValidation allowBlank="1" showErrorMessage="1" sqref="AW205:AW206 AT208:AW218 BA205:BA218 AT206:AV206 BE205:BE218 AX206:AZ218 BI205:BI218 BB206:BD218 AQ205:AQ218 AR206:AS218 BY205:BY218 BJ206:BL218 BM205:BM218 BN206:BP218 BQ205:BQ218 BR206:BT218 BU205:BU218 BV206:BX218 P205:P207 BF206:BH218"/>
    <dataValidation errorStyle="information" type="textLength" allowBlank="1" showInputMessage="1" error="XLBVal:6=54770.5&#13;&#10;" sqref="AJ30:AJ31 X30:X31">
      <formula1>0</formula1>
      <formula2>10000</formula2>
    </dataValidation>
    <dataValidation errorStyle="information" type="textLength" allowBlank="1" showInputMessage="1" promptTitle="Contribution Requested" prompt="The budget sheet assumes you ask the donor to contribute the whole sum of the budget.&#10;If this is not the case, please adjust the amount here." error="XLBVal:6=57983.95&#13;&#10;" sqref="AK30:AK31 AK36:AK40 Y30:Y31 Y36:Y40">
      <formula1>0</formula1>
      <formula2>10000</formula2>
    </dataValidation>
    <dataValidation errorStyle="information" type="textLength" allowBlank="1" showInputMessage="1" error="XLBVal:6=72988.59&#13;&#10;" sqref="AL30:AL31 Z30:Z31">
      <formula1>0</formula1>
      <formula2>10000</formula2>
    </dataValidation>
    <dataValidation errorStyle="information" type="textLength" allowBlank="1" showInputMessage="1" error="XLBVal:6=44117.12&#13;&#10;" sqref="AJ40 AJ49:AJ51 X40 X49:X51">
      <formula1>0</formula1>
      <formula2>10000</formula2>
    </dataValidation>
    <dataValidation errorStyle="information" type="textLength" allowBlank="1" showInputMessage="1" promptTitle="Contribution Requested" prompt="The budget sheet assumes you ask the donor to contribute the whole sum of the budget.&#10;If this is not the case, please adjust the amount here." error="XLBVal:6=37827.71&#13;&#10;" sqref="AK49:AK51 Y49:Y51">
      <formula1>0</formula1>
      <formula2>10000</formula2>
    </dataValidation>
    <dataValidation errorStyle="information" type="textLength" allowBlank="1" showInputMessage="1" error="XLBVal:6=40954.26&#13;&#10;" sqref="AL40 AL49:AL51 Z40 Z49:Z51">
      <formula1>0</formula1>
      <formula2>10000</formula2>
    </dataValidation>
    <dataValidation errorStyle="information" type="textLength" allowBlank="1" showInputMessage="1" error="XLBVal:6=37662.08&#13;&#10;" sqref="AN30:AN31">
      <formula1>0</formula1>
      <formula2>10000</formula2>
    </dataValidation>
    <dataValidation errorStyle="information" type="textLength" allowBlank="1" showInputMessage="1" error="XLBVal:6=4841.05&#13;&#10;" sqref="AO30:AO31">
      <formula1>0</formula1>
      <formula2>10000</formula2>
    </dataValidation>
    <dataValidation errorStyle="information" type="textLength" allowBlank="1" showInputMessage="1" error="XLBVal:2=0&#13;&#10;" sqref="AN197:AO197 AL197 AO140:AO143 AO151:AO158 AO56:AO58 AO84:AO85 AO95:AO99 AO35:AO40 AO44:AO51 AO67:AO69 AO73:AO75 AO89:AO91 AO108:AO109 AO120:AO121 AO113:AO116 AO125:AO126 AO135 AO147 AO176:AO177 AO168:AO172 AO181:AO190 Z197">
      <formula1>0</formula1>
      <formula2>10000</formula2>
    </dataValidation>
    <dataValidation errorStyle="information" type="textLength" allowBlank="1" showInputMessage="1" error="XLBVal:6=94159.56&#13;&#10;" sqref="AN40 AN49:AN51">
      <formula1>0</formula1>
      <formula2>10000</formula2>
    </dataValidation>
    <dataValidation errorStyle="information" type="textLength" allowBlank="1" showInputMessage="1" error="XLBVal:6=38553.49&#13;&#10;" sqref="AJ35:AJ38 AJ44:AJ47 X35:X38 X44:X47">
      <formula1>0</formula1>
      <formula2>10000</formula2>
    </dataValidation>
    <dataValidation errorStyle="information" type="textLength" allowBlank="1" showInputMessage="1" promptTitle="Contribution Requested" prompt="The budget sheet assumes you ask the donor to contribute the whole sum of the budget.&#10;If this is not the case, please adjust the amount here." error="XLBVal:6=46146.12&#13;&#10;" sqref="AK44:AK47 AK35 Y44:Y47 Y35">
      <formula1>0</formula1>
      <formula2>10000</formula2>
    </dataValidation>
    <dataValidation errorStyle="information" type="textLength" allowBlank="1" showInputMessage="1" error="XLBVal:6=56593.39&#13;&#10;" sqref="AL35:AL38 AL44:AL47 Z35:Z38 Z44:Z47">
      <formula1>0</formula1>
      <formula2>10000</formula2>
    </dataValidation>
    <dataValidation errorStyle="information" type="textLength" allowBlank="1" showInputMessage="1" error="XLBVal:6=19873.94&#13;&#10;" sqref="AJ39 AJ48 X39 X48">
      <formula1>0</formula1>
      <formula2>10000</formula2>
    </dataValidation>
    <dataValidation errorStyle="information" type="textLength" allowBlank="1" showInputMessage="1" promptTitle="Contribution Requested" prompt="The budget sheet assumes you ask the donor to contribute the whole sum of the budget.&#10;If this is not the case, please adjust the amount here." error="XLBVal:6=20860.59&#13;&#10;" sqref="AK48 Y48">
      <formula1>0</formula1>
      <formula2>10000</formula2>
    </dataValidation>
    <dataValidation errorStyle="information" type="textLength" allowBlank="1" showInputMessage="1" error="XLBVal:6=20059.66&#13;&#10;" sqref="AL39 AL48 Z39 Z48">
      <formula1>0</formula1>
      <formula2>10000</formula2>
    </dataValidation>
    <dataValidation errorStyle="information" type="textLength" allowBlank="1" showInputMessage="1" error="XLBVal:6=70943.3&#13;&#10;" sqref="AN35:AN38 AN44:AN47">
      <formula1>0</formula1>
      <formula2>10000</formula2>
    </dataValidation>
    <dataValidation errorStyle="information" type="textLength" allowBlank="1" showInputMessage="1" error="XLBVal:6=36942.85&#13;&#10;" sqref="AN39 AN48">
      <formula1>0</formula1>
      <formula2>10000</formula2>
    </dataValidation>
    <dataValidation errorStyle="information" type="textLength" allowBlank="1" showInputMessage="1" error="XLBVal:6=19112.53&#13;&#10;" sqref="AJ56 X56">
      <formula1>0</formula1>
      <formula2>10000</formula2>
    </dataValidation>
    <dataValidation errorStyle="information" type="textLength" allowBlank="1" showInputMessage="1" promptTitle="Contribution Requested" prompt="The budget sheet assumes you ask the donor to contribute the whole sum of the budget.&#10;If this is not the case, please adjust the amount here." error="XLBVal:6=4895.84&#13;&#10;" sqref="AK56 Y56">
      <formula1>0</formula1>
      <formula2>10000</formula2>
    </dataValidation>
    <dataValidation errorStyle="information" type="textLength" allowBlank="1" showInputMessage="1" error="XLBVal:6=17323.93&#13;&#10;" sqref="AL56 Z56">
      <formula1>0</formula1>
      <formula2>10000</formula2>
    </dataValidation>
    <dataValidation errorStyle="information" type="textLength" allowBlank="1" showInputMessage="1" error="XLBVal:6=10342.2&#13;&#10;" sqref="AJ58 X58">
      <formula1>0</formula1>
      <formula2>10000</formula2>
    </dataValidation>
    <dataValidation errorStyle="information" type="textLength" allowBlank="1" showInputMessage="1" promptTitle="Contribution Requested" prompt="The budget sheet assumes you ask the donor to contribute the whole sum of the budget.&#10;If this is not the case, please adjust the amount here." error="XLBVal:6=4648.54&#13;&#10;" sqref="AK58 Y58">
      <formula1>0</formula1>
      <formula2>10000</formula2>
    </dataValidation>
    <dataValidation errorStyle="information" type="textLength" allowBlank="1" showInputMessage="1" error="XLBVal:6=8866.16&#13;&#10;" sqref="AL58 Z58">
      <formula1>0</formula1>
      <formula2>10000</formula2>
    </dataValidation>
    <dataValidation errorStyle="information" type="textLength" allowBlank="1" showInputMessage="1" error="XLBVal:6=26223.54&#13;&#10;" sqref="AN56">
      <formula1>0</formula1>
      <formula2>10000</formula2>
    </dataValidation>
    <dataValidation errorStyle="information" type="textLength" allowBlank="1" showInputMessage="1" error="XLBVal:6=11729.26&#13;&#10;" sqref="AN58">
      <formula1>0</formula1>
      <formula2>10000</formula2>
    </dataValidation>
    <dataValidation errorStyle="information" type="textLength" allowBlank="1" showInputMessage="1" error="XLBVal:6=4280.81&#13;&#10;" sqref="AJ84 AJ89 AJ108 AJ120 AJ113:AJ114 AJ135 AJ147 AJ140:AJ141 AJ168:AJ172 X84 X89 X108 X120 X113:X114 X135 X147 X140:X141 X168:X172">
      <formula1>0</formula1>
      <formula2>10000</formula2>
    </dataValidation>
    <dataValidation errorStyle="information" type="textLength" allowBlank="1" showInputMessage="1" promptTitle="Contribution Requested" prompt="The budget sheet assumes you ask the donor to contribute the whole sum of the budget.&#10;If this is not the case, please adjust the amount here." error="XLBVal:6=1337.28&#13;&#10;" sqref="AK84 AK89 AK108 AK120 AK113:AK114 AK135 AK147 AK140:AK141 AK168:AK172 Y84 Y89 Y108 Y120 Y113:Y114 Y135 Y147 Y140:Y141 Y168:Y172">
      <formula1>0</formula1>
      <formula2>10000</formula2>
    </dataValidation>
    <dataValidation errorStyle="information" type="textLength" allowBlank="1" showInputMessage="1" error="XLBVal:6=1381.8&#13;&#10;" sqref="AL84 AL89 AL108 AL120 AL113:AL114 AL135 AL147 AL140:AL141 AL168:AL172 Z84 Z89 Z108 Z120 Z113:Z114 Z135 Z147 Z140:Z141 Z168:Z172">
      <formula1>0</formula1>
      <formula2>10000</formula2>
    </dataValidation>
    <dataValidation errorStyle="information" type="textLength" allowBlank="1" showInputMessage="1" error="XLBVal:6=6313.72&#13;&#10;" sqref="AJ85 AJ90 AJ109 AJ115 AJ121 AJ142 AJ176 X85 X90 X109 X115 X121 X142 X176">
      <formula1>0</formula1>
      <formula2>10000</formula2>
    </dataValidation>
    <dataValidation errorStyle="information" type="textLength" allowBlank="1" showInputMessage="1" promptTitle="Contribution Requested" prompt="The budget sheet assumes you ask the donor to contribute the whole sum of the budget.&#10;If this is not the case, please adjust the amount here." error="XLBVal:6=6375.57&#13;&#10;" sqref="AK85 AK90 AK109 AK115 AK121 AK142 AK176 Y85 Y90 Y109 Y115 Y121 Y142 Y176">
      <formula1>0</formula1>
      <formula2>10000</formula2>
    </dataValidation>
    <dataValidation errorStyle="information" type="textLength" allowBlank="1" showInputMessage="1" error="XLBVal:6=10620.9&#13;&#10;" sqref="AL85 AL90 AL109 AL115 AL121 AL142 AL176 Z85 Z90 Z109 Z115 Z121 Z142 Z176">
      <formula1>0</formula1>
      <formula2>10000</formula2>
    </dataValidation>
    <dataValidation errorStyle="information" type="textLength" allowBlank="1" showInputMessage="1" error="XLBVal:6=2711.75&#13;&#10;" sqref="AJ91 AJ116 AJ143 AJ177 X91 X116 X143 X177">
      <formula1>0</formula1>
      <formula2>10000</formula2>
    </dataValidation>
    <dataValidation errorStyle="information" type="textLength" allowBlank="1" showInputMessage="1" promptTitle="Contribution Requested" prompt="The budget sheet assumes you ask the donor to contribute the whole sum of the budget.&#10;If this is not the case, please adjust the amount here." error="XLBVal:2=0&#13;&#10;" sqref="AK197 AK116 AK143 AK91 AK177 Y197 Y116 Y143 Y91 Y177">
      <formula1>0</formula1>
      <formula2>10000</formula2>
    </dataValidation>
    <dataValidation errorStyle="information" type="textLength" allowBlank="1" showInputMessage="1" error="XLBVal:6=-171.47&#13;&#10;" sqref="AL91 AL116 AL143 AL177 Z91 Z116 Z143 Z177">
      <formula1>0</formula1>
      <formula2>10000</formula2>
    </dataValidation>
    <dataValidation errorStyle="information" type="textLength" allowBlank="1" showInputMessage="1" error="XLBVal:6=1979.75&#13;&#10;" sqref="AN84 AN89 AN108 AN120 AN113:AN114 AN135 AN147 AN140:AN141 AN168:AN172">
      <formula1>0</formula1>
      <formula2>10000</formula2>
    </dataValidation>
    <dataValidation errorStyle="information" type="textLength" allowBlank="1" showInputMessage="1" error="XLBVal:6=7374.56&#13;&#10;" sqref="AN85 AN90 AN109 AN115 AN121 AN142 AN176">
      <formula1>0</formula1>
      <formula2>10000</formula2>
    </dataValidation>
    <dataValidation errorStyle="information" type="textLength" allowBlank="1" showInputMessage="1" error="XLBVal:6=8099.22&#13;&#10;" sqref="AN91 AN116 AN143 AN177">
      <formula1>0</formula1>
      <formula2>10000</formula2>
    </dataValidation>
    <dataValidation errorStyle="information" type="textLength" allowBlank="1" showInputMessage="1" error="XLBVal:6=5810.64&#13;&#10;" sqref="AJ95 X95">
      <formula1>0</formula1>
      <formula2>10000</formula2>
    </dataValidation>
    <dataValidation errorStyle="information" type="textLength" allowBlank="1" showInputMessage="1" promptTitle="Contribution Requested" prompt="The budget sheet assumes you ask the donor to contribute the whole sum of the budget.&#10;If this is not the case, please adjust the amount here." error="XLBVal:6=4066.72&#13;&#10;" sqref="AK95 Y95">
      <formula1>0</formula1>
      <formula2>10000</formula2>
    </dataValidation>
    <dataValidation errorStyle="information" type="textLength" allowBlank="1" showInputMessage="1" error="XLBVal:6=2788.74&#13;&#10;" sqref="AL95 Z95">
      <formula1>0</formula1>
      <formula2>10000</formula2>
    </dataValidation>
    <dataValidation errorStyle="information" type="textLength" allowBlank="1" showInputMessage="1" error="XLBVal:6=5515.7&#13;&#10;" sqref="AJ96:AJ97 X96:X97">
      <formula1>0</formula1>
      <formula2>10000</formula2>
    </dataValidation>
    <dataValidation errorStyle="information" type="textLength" allowBlank="1" showInputMessage="1" promptTitle="Contribution Requested" prompt="The budget sheet assumes you ask the donor to contribute the whole sum of the budget.&#10;If this is not the case, please adjust the amount here." error="XLBVal:6=2288.37&#13;&#10;" sqref="AK96:AK97 Y96:Y97">
      <formula1>0</formula1>
      <formula2>10000</formula2>
    </dataValidation>
    <dataValidation errorStyle="information" type="textLength" allowBlank="1" showInputMessage="1" error="XLBVal:6=3780.12&#13;&#10;" sqref="AL96:AL97 Z96:Z97">
      <formula1>0</formula1>
      <formula2>10000</formula2>
    </dataValidation>
    <dataValidation errorStyle="information" type="textLength" allowBlank="1" showInputMessage="1" error="XLBVal:6=981.02&#13;&#10;" sqref="AN95">
      <formula1>0</formula1>
      <formula2>10000</formula2>
    </dataValidation>
    <dataValidation errorStyle="information" type="textLength" allowBlank="1" showInputMessage="1" error="XLBVal:6=2196.25&#13;&#10;" sqref="AN96:AN97">
      <formula1>0</formula1>
      <formula2>10000</formula2>
    </dataValidation>
    <dataValidation errorStyle="information" type="textLength" allowBlank="1" showInputMessage="1" error="XLBVal:6=490&#13;&#10;" sqref="AJ197 X197">
      <formula1>0</formula1>
      <formula2>10000</formula2>
    </dataValidation>
    <dataValidation errorStyle="information" type="textLength" allowBlank="1" showInputMessage="1" error="XLBVal:2=0&#13;&#10;" sqref="BB56:BD58 AZ205 BB205:BD205 BF31 AT50:AT51 AX197:AZ197 BV197:BX197 BG30 BB84:BD85 BG97 BB95:BD99 AY97:AY99 AT197:AV197 AX56:AZ58 AX84:AZ85 AY95 AV57:AV58 BF56:BH56 BF96 AZ95:AZ99 AU205:AV205 BJ205:BL205 BN35:BP40 BN205:BP205 BR35:BT40 BR205:BT205 BV35:BX40 BV205:BX205 BH97:BH99 BN56:BP58 BN84:BP85 BN95:BP99 BN197:BP197 BN30:BP31 BR56:BT58 BR84:BT85 BR95:BT99 BR197:BT197 BR30:BT31 BV30:BX31 BV56:BX58 BV84:BX85 BV95:BX99 AT35:AV40 AX30:AZ31 AX95:AX99 BB197 BB30:BD31 BF205:BH205 AX205 BH58 BK30:BK31 BJ56:BJ58 BK56:BL56 BF151:BF158 BJ31 BJ95 BJ97:BJ98 BL30 AY47:AZ51 BH45 AY44:AZ45 BF45 BC44:BD51 BG44 BN44:BP51 BR44:BT51 BV44:BX51 BK49:BL51 AT30 AX44:AX51 BB44:BB45 BB47:BB51 BF49:BF51 BK44 BJ45 BL44:BL45 BB67:BD69 AX67:AZ69 BN67:BP69 BR67:BT69 BV67:BX69 BK73:BK75 BB73:BD75 AU73:AU75 AX73:AZ75 BN73:BP75 BR73:BT75 BV73:BX75 BH73:BH75 AT84:AV85 BB89:BD91 AX89:AZ91 AU89:AV91 BN89:BP91 BR89:BT91 BV89:BX91 BB108:BD109 AX108:AZ109 BN108:BP109">
      <formula1>0</formula1>
      <formula2>300</formula2>
    </dataValidation>
    <dataValidation errorStyle="information" type="textLength" allowBlank="1" showInputMessage="1" error="XLBVal:2=0&#13;&#10;" sqref="BR108:BT109 BV108:BX109 BB120:BD121 AX120:AZ121 BN120:BP121 BR120:BT121 BV120:BX121 BV113:BX116 BR113:BT116 BN113:BP116 AX113:AZ116 BB113:BD116 AT108:AV109 BV125:BX126 BR125:BT126 BN125:BP126 BH125:BH126 AX125:AZ126 BB125:BD126 AT125:AV126 BB135:BD135 AX135:AZ135 AT135:AV135 BL151:BL158 BN135:BP135 BR135:BT135 BV135:BX135 BB147:BD147 AX147:AZ147 AT147:AV147 BN147:BP147 BR147:BT147 BV147:BX147 BV140:BX143 BR140:BT143 BN140:BP143 AX140:AZ143 BB140:BD143 AT120:AV121 BJ151:BJ158 BV151:BX158 BR151:BT158 BN151:BP158 BH151:BH158 AX151:AZ158 BB151:BD158 AT140:AV143 AV177 BK176:BK177 BH177 BJ176 BL176 BV176:BX177 BB168:BD172 AX168:AZ172 AT168:AV172 BN168:BP172 BR168:BT172 BV168:BX172 AT176:AU177 BB176:BD177 AX176:AZ177 BF176:BF177 BN176:BP177 BR176:BT177 AT181:AV190 BB181:BD190 AX181:AZ190 BN181:BP190 BR181:BT190 BV181:BX190 AU30:AV31 AU44:AV51 AT44:AT45 AU56:AU58 AT58 AT67:AV69 AT73:AT74 AV73:AV74 AT89 AT91 AU95:AV99 AT95:AT97 AT99 AT114:AT116 AU113:AV116 AU151:AV158 AT152:AT158 AX35:AZ40 BB35:BD40 BF35:BH40 BJ35:BL40 BG49:BH50 BJ49:BJ50 BF67:BH69 BJ67:BL69 BF73:BG74 BJ73:BJ74 BL73:BL74 BF84:BH85">
      <formula1>0</formula1>
      <formula2>300</formula2>
    </dataValidation>
    <dataValidation errorStyle="information" type="textLength" allowBlank="1" showInputMessage="1" error="XLBVal:2=0&#13;&#10;" sqref="BJ84:BL85 BF89:BH91 BJ89:BL91 BF98:BG99 BK96:BL98 BJ99:BL99 BF108:BH109 BJ108:BL109 BF113:BH116 BJ113:BL116 BF120:BH121 BJ120:BL121 BF125:BG125 BJ125:BL125 BF135:BH135 BJ135:BL135 BF140:BH143 BJ140:BL143 BF147:BH147 BJ147:BL147 BG151:BG155 BK151:BK155 BG157:BG158 BK157:BK158 BF168:BH171 BJ168:BL171 BF181:BH190 BJ181:BL190 BD197 BF197:BH197 BK197">
      <formula1>0</formula1>
      <formula2>300</formula2>
    </dataValidation>
    <dataValidation errorStyle="information" type="textLength" allowBlank="1" showInputMessage="1" error="XLBVal:6=31745.45&#13;&#10;" sqref="AJ57 X57">
      <formula1>0</formula1>
      <formula2>10000</formula2>
    </dataValidation>
    <dataValidation errorStyle="information" type="textLength" allowBlank="1" showInputMessage="1" promptTitle="Contribution Requested" prompt="The budget sheet assumes you ask the donor to contribute the whole sum of the budget.&#10;If this is not the case, please adjust the amount here." error="XLBVal:6=9650.13&#13;&#10;" sqref="AK57 Y57">
      <formula1>0</formula1>
      <formula2>10000</formula2>
    </dataValidation>
    <dataValidation errorStyle="information" type="textLength" allowBlank="1" showInputMessage="1" error="XLBVal:6=24350.42&#13;&#10;" sqref="AL57 Z57">
      <formula1>0</formula1>
      <formula2>10000</formula2>
    </dataValidation>
    <dataValidation errorStyle="information" type="textLength" allowBlank="1" showInputMessage="1" error="XLBVal:6=24615.4&#13;&#10;" sqref="AN57">
      <formula1>0</formula1>
      <formula2>10000</formula2>
    </dataValidation>
    <dataValidation errorStyle="information" type="textLength" allowBlank="1" showInputMessage="1" error="XLBVal:6=4945.52&#13;&#10;" sqref="AJ98:AJ99 AJ125:AJ126 AJ151:AJ158 AJ181:AJ190 X98:X99 X125:X126 X151:X158 X181:X190">
      <formula1>0</formula1>
      <formula2>10000</formula2>
    </dataValidation>
    <dataValidation errorStyle="information" type="textLength" allowBlank="1" showInputMessage="1" promptTitle="Contribution Requested" prompt="The budget sheet assumes you ask the donor to contribute the whole sum of the budget.&#10;If this is not the case, please adjust the amount here." error="XLBVal:6=2952.16&#13;&#10;" sqref="AK98:AK99 AK125:AK126 AK151:AK158 AK181:AK190 Y98:Y99 Y125:Y126 Y151:Y158 Y181:Y190">
      <formula1>0</formula1>
      <formula2>10000</formula2>
    </dataValidation>
    <dataValidation errorStyle="information" type="textLength" allowBlank="1" showInputMessage="1" error="XLBVal:6=2656.38&#13;&#10;" sqref="AL98:AL99 AL125:AL126 AL151:AL158 AL181:AL190 Z98:Z99 Z125:Z126 Z151:Z158 Z181:Z190">
      <formula1>0</formula1>
      <formula2>10000</formula2>
    </dataValidation>
    <dataValidation errorStyle="information" type="textLength" allowBlank="1" showInputMessage="1" error="XLBVal:6=2813.78&#13;&#10;" sqref="AN98:AN99 AN125:AN126 AN151:AN158 AN181:AN190">
      <formula1>0</formula1>
      <formula2>10000</formula2>
    </dataValidation>
    <dataValidation errorStyle="information" type="textLength" allowBlank="1" showInputMessage="1" error="XLBVal:2=0&#13;&#10;" sqref="AT205">
      <formula1>0</formula1>
      <formula2>300</formula2>
    </dataValidation>
    <dataValidation errorStyle="information" type="textLength" allowBlank="1" showInputMessage="1" error="XLBVal:2=0&#13;&#10;" sqref="AV176">
      <formula1>0</formula1>
      <formula2>300</formula2>
    </dataValidation>
    <dataValidation errorStyle="information" type="textLength" allowBlank="1" showInputMessage="1" error="XLBVal:2=0&#13;&#10;" sqref="AV56">
      <formula1>0</formula1>
      <formula2>300</formula2>
    </dataValidation>
    <dataValidation errorStyle="information" type="textLength" allowBlank="1" showInputMessage="1" error="XLBVal:2=0&#13;&#10;" sqref="AY46">
      <formula1>0</formula1>
      <formula2>300</formula2>
    </dataValidation>
    <dataValidation errorStyle="information" type="textLength" allowBlank="1" showInputMessage="1" error="XLBVal:2=0&#13;&#10;" sqref="AY96">
      <formula1>0</formula1>
      <formula2>300</formula2>
    </dataValidation>
    <dataValidation errorStyle="information" type="textLength" allowBlank="1" showInputMessage="1" error="XLBVal:2=0&#13;&#10;" sqref="AY205">
      <formula1>0</formula1>
      <formula2>300</formula2>
    </dataValidation>
    <dataValidation errorStyle="information" type="textLength" allowBlank="1" showInputMessage="1" error="XLBVal:2=0&#13;&#10;" sqref="AZ46">
      <formula1>0</formula1>
      <formula2>300</formula2>
    </dataValidation>
    <dataValidation errorStyle="information" type="textLength" allowBlank="1" showInputMessage="1" error="XLBVal:2=0&#13;&#10;" sqref="BB46">
      <formula1>0</formula1>
      <formula2>300</formula2>
    </dataValidation>
    <dataValidation errorStyle="information" type="textLength" allowBlank="1" showInputMessage="1" error="XLBVal:2=0&#13;&#10;" sqref="BC197">
      <formula1>0</formula1>
      <formula2>300</formula2>
    </dataValidation>
    <dataValidation errorStyle="information" type="textLength" allowBlank="1" showInputMessage="1" error="XLBVal:2=0&#13;&#10;" sqref="BL197">
      <formula1>0</formula1>
      <formula2>300</formula2>
    </dataValidation>
    <dataValidation errorStyle="information" type="textLength" allowBlank="1" showInputMessage="1" error="XLBVal:2=0&#13;&#10;" sqref="BF30">
      <formula1>0</formula1>
      <formula2>300</formula2>
    </dataValidation>
    <dataValidation errorStyle="information" type="textLength" allowBlank="1" showInputMessage="1" error="XLBVal:2=0&#13;&#10;" sqref="BF44">
      <formula1>0</formula1>
      <formula2>300</formula2>
    </dataValidation>
    <dataValidation errorStyle="information" type="textLength" allowBlank="1" showInputMessage="1" error="XLBVal:2=0&#13;&#10;" sqref="BF46">
      <formula1>0</formula1>
      <formula2>300</formula2>
    </dataValidation>
    <dataValidation errorStyle="information" type="textLength" allowBlank="1" showInputMessage="1" error="XLBVal:2=0&#13;&#10;" sqref="BF47">
      <formula1>0</formula1>
      <formula2>300</formula2>
    </dataValidation>
    <dataValidation errorStyle="information" type="textLength" allowBlank="1" showInputMessage="1" error="XLBVal:2=0&#13;&#10;" sqref="BF48">
      <formula1>0</formula1>
      <formula2>300</formula2>
    </dataValidation>
    <dataValidation errorStyle="information" type="textLength" allowBlank="1" showInputMessage="1" error="XLBVal:2=0&#13;&#10;" sqref="BF57">
      <formula1>0</formula1>
      <formula2>300</formula2>
    </dataValidation>
    <dataValidation errorStyle="information" type="textLength" allowBlank="1" showInputMessage="1" error="XLBVal:2=0&#13;&#10;" sqref="BF58">
      <formula1>0</formula1>
      <formula2>300</formula2>
    </dataValidation>
    <dataValidation errorStyle="information" type="textLength" allowBlank="1" showInputMessage="1" error="XLBVal:2=0&#13;&#10;" sqref="BF172">
      <formula1>0</formula1>
      <formula2>300</formula2>
    </dataValidation>
    <dataValidation errorStyle="information" type="textLength" allowBlank="1" showInputMessage="1" error="XLBVal:2=0&#13;&#10;" sqref="BF95">
      <formula1>0</formula1>
      <formula2>300</formula2>
    </dataValidation>
    <dataValidation errorStyle="information" type="textLength" allowBlank="1" showInputMessage="1" error="XLBVal:2=0&#13;&#10;" sqref="BF97">
      <formula1>0</formula1>
      <formula2>300</formula2>
    </dataValidation>
    <dataValidation errorStyle="information" type="textLength" allowBlank="1" showInputMessage="1" error="XLBVal:2=0&#13;&#10;" sqref="BF126">
      <formula1>0</formula1>
      <formula2>300</formula2>
    </dataValidation>
    <dataValidation allowBlank="1" showInputMessage="1" showErrorMessage="1" promptTitle="Items-heading" prompt="Please change the heading here and it will automatically update all the headings in this row plus all the headings for the related (sub)total. All the other headings work in the same way." sqref="J166:L166 J34:L34 J29:L29 J43:L43"/>
    <dataValidation allowBlank="1" showInputMessage="1" showErrorMessage="1" promptTitle="Heading for Activity" prompt="Please change the heading here and it will automatically update all the headings in this row plus all the headings for the related (sub)totals." sqref="J165:L165 J82:L82 J65:L65 J54:L54 J28:L28 J106:L106 J133:L133"/>
    <dataValidation allowBlank="1" showInputMessage="1" showErrorMessage="1" promptTitle="Heading" prompt="Please change the heading here and it will automatically update all the headings in this row plus all the headings for the related (sub)totals." sqref="J164:L164 J81:L81 J64:L64 J27:L27 J105:L105 J132:L132"/>
    <dataValidation allowBlank="1" showInputMessage="1" showErrorMessage="1" promptTitle="Exchange Rate, Source and Policy" prompt="IA uses reliable sources, such as oanda.com and xe.com to base its exchange rates on.&#10;IA also takes into account factors such as the volatility of the currency exchange rate (against the GBP) over past periods with a duration comparable to the proposed." sqref="J4:L4"/>
    <dataValidation errorStyle="information" type="textLength" allowBlank="1" showInputMessage="1" error="XLBVal:2=0&#13;&#10;" sqref="BG31">
      <formula1>0</formula1>
      <formula2>300</formula2>
    </dataValidation>
    <dataValidation errorStyle="information" type="textLength" allowBlank="1" showInputMessage="1" error="XLBVal:2=0&#13;&#10;" sqref="BG45">
      <formula1>0</formula1>
      <formula2>300</formula2>
    </dataValidation>
    <dataValidation errorStyle="information" type="textLength" allowBlank="1" showInputMessage="1" error="XLBVal:2=0&#13;&#10;" sqref="BG46">
      <formula1>0</formula1>
      <formula2>300</formula2>
    </dataValidation>
    <dataValidation errorStyle="information" type="textLength" allowBlank="1" showInputMessage="1" error="XLBVal:2=0&#13;&#10;" sqref="BG47">
      <formula1>0</formula1>
      <formula2>300</formula2>
    </dataValidation>
    <dataValidation errorStyle="information" type="textLength" allowBlank="1" showInputMessage="1" error="XLBVal:2=0&#13;&#10;" sqref="BG48">
      <formula1>0</formula1>
      <formula2>300</formula2>
    </dataValidation>
    <dataValidation errorStyle="information" type="textLength" allowBlank="1" showInputMessage="1" error="XLBVal:2=0&#13;&#10;" sqref="BG57">
      <formula1>0</formula1>
      <formula2>300</formula2>
    </dataValidation>
    <dataValidation errorStyle="information" type="textLength" allowBlank="1" showInputMessage="1" error="XLBVal:2=0&#13;&#10;" sqref="BG58">
      <formula1>0</formula1>
      <formula2>300</formula2>
    </dataValidation>
    <dataValidation errorStyle="information" type="textLength" allowBlank="1" showInputMessage="1" error="XLBVal:2=0&#13;&#10;" sqref="BG172">
      <formula1>0</formula1>
      <formula2>300</formula2>
    </dataValidation>
    <dataValidation errorStyle="information" type="textLength" allowBlank="1" showInputMessage="1" error="XLBVal:2=0&#13;&#10;" sqref="BG176">
      <formula1>0</formula1>
      <formula2>300</formula2>
    </dataValidation>
    <dataValidation errorStyle="information" type="textLength" allowBlank="1" showInputMessage="1" error="XLBVal:2=0&#13;&#10;" sqref="BG177">
      <formula1>0</formula1>
      <formula2>300</formula2>
    </dataValidation>
    <dataValidation errorStyle="information" type="textLength" allowBlank="1" showInputMessage="1" error="XLBVal:2=0&#13;&#10;" sqref="BG95">
      <formula1>0</formula1>
      <formula2>300</formula2>
    </dataValidation>
    <dataValidation errorStyle="information" type="textLength" allowBlank="1" showInputMessage="1" error="XLBVal:2=0&#13;&#10;" sqref="BG96">
      <formula1>0</formula1>
      <formula2>300</formula2>
    </dataValidation>
    <dataValidation errorStyle="information" type="textLength" allowBlank="1" showInputMessage="1" error="XLBVal:6=440.53&#13;&#10;" sqref="BG156">
      <formula1>0</formula1>
      <formula2>300</formula2>
    </dataValidation>
    <dataValidation errorStyle="information" type="textLength" allowBlank="1" showInputMessage="1" error="XLBVal:2=0&#13;&#10;" sqref="BG126">
      <formula1>0</formula1>
      <formula2>300</formula2>
    </dataValidation>
    <dataValidation errorStyle="information" type="textLength" allowBlank="1" showInputMessage="1" error="XLBVal:2=0&#13;&#10;" sqref="BH30">
      <formula1>0</formula1>
      <formula2>300</formula2>
    </dataValidation>
    <dataValidation errorStyle="information" type="textLength" allowBlank="1" showInputMessage="1" error="XLBVal:2=0&#13;&#10;" sqref="BH44">
      <formula1>0</formula1>
      <formula2>300</formula2>
    </dataValidation>
    <dataValidation errorStyle="information" type="textLength" allowBlank="1" showInputMessage="1" error="XLBVal:2=0&#13;&#10;" sqref="BH46">
      <formula1>0</formula1>
      <formula2>300</formula2>
    </dataValidation>
    <dataValidation errorStyle="information" type="textLength" allowBlank="1" showInputMessage="1" error="XLBVal:2=0&#13;&#10;" sqref="BH57">
      <formula1>0</formula1>
      <formula2>300</formula2>
    </dataValidation>
    <dataValidation errorStyle="information" type="textLength" allowBlank="1" showInputMessage="1" error="XLBVal:2=0&#13;&#10;" sqref="BH172">
      <formula1>0</formula1>
      <formula2>300</formula2>
    </dataValidation>
    <dataValidation errorStyle="information" type="textLength" allowBlank="1" showInputMessage="1" error="XLBVal:2=0&#13;&#10;" sqref="BH176">
      <formula1>0</formula1>
      <formula2>300</formula2>
    </dataValidation>
    <dataValidation errorStyle="information" type="textLength" allowBlank="1" showInputMessage="1" error="XLBVal:2=0&#13;&#10;" sqref="BH95">
      <formula1>0</formula1>
      <formula2>300</formula2>
    </dataValidation>
    <dataValidation errorStyle="information" type="textLength" allowBlank="1" showInputMessage="1" error="XLBVal:2=0&#13;&#10;" sqref="BH31">
      <formula1>0</formula1>
      <formula2>300</formula2>
    </dataValidation>
    <dataValidation errorStyle="information" type="textLength" allowBlank="1" showInputMessage="1" error="XLBVal:2=0&#13;&#10;" sqref="BH47">
      <formula1>0</formula1>
      <formula2>300</formula2>
    </dataValidation>
    <dataValidation errorStyle="information" type="textLength" allowBlank="1" showInputMessage="1" error="XLBVal:2=0&#13;&#10;" sqref="BH48">
      <formula1>0</formula1>
      <formula2>300</formula2>
    </dataValidation>
    <dataValidation errorStyle="information" type="textLength" allowBlank="1" showInputMessage="1" error="XLBVal:2=0&#13;&#10;" sqref="BH96">
      <formula1>0</formula1>
      <formula2>300</formula2>
    </dataValidation>
    <dataValidation errorStyle="information" type="textLength" allowBlank="1" showInputMessage="1" error="XLBVal:2=0&#13;&#10;" sqref="BG51">
      <formula1>0</formula1>
      <formula2>300</formula2>
    </dataValidation>
    <dataValidation errorStyle="information" type="textLength" allowBlank="1" showInputMessage="1" error="XLBVal:2=0&#13;&#10;" sqref="BH51">
      <formula1>0</formula1>
      <formula2>300</formula2>
    </dataValidation>
    <dataValidation errorStyle="information" type="textLength" allowBlank="1" showInputMessage="1" error="XLBVal:2=0&#13;&#10;" sqref="BK45">
      <formula1>0</formula1>
      <formula2>300</formula2>
    </dataValidation>
    <dataValidation errorStyle="information" type="textLength" allowBlank="1" showInputMessage="1" error="XLBVal:2=0&#13;&#10;" sqref="BK46">
      <formula1>0</formula1>
      <formula2>300</formula2>
    </dataValidation>
    <dataValidation errorStyle="information" type="textLength" allowBlank="1" showInputMessage="1" error="XLBVal:2=0&#13;&#10;" sqref="BK47">
      <formula1>0</formula1>
      <formula2>300</formula2>
    </dataValidation>
    <dataValidation errorStyle="information" type="textLength" allowBlank="1" showInputMessage="1" error="XLBVal:2=0&#13;&#10;" sqref="BK48">
      <formula1>0</formula1>
      <formula2>300</formula2>
    </dataValidation>
    <dataValidation errorStyle="information" type="textLength" allowBlank="1" showInputMessage="1" error="XLBVal:2=0&#13;&#10;" sqref="BK57">
      <formula1>0</formula1>
      <formula2>300</formula2>
    </dataValidation>
    <dataValidation errorStyle="information" type="textLength" allowBlank="1" showInputMessage="1" error="XLBVal:2=0&#13;&#10;" sqref="BK58">
      <formula1>0</formula1>
      <formula2>300</formula2>
    </dataValidation>
    <dataValidation errorStyle="information" type="textLength" allowBlank="1" showInputMessage="1" error="XLBVal:2=0&#13;&#10;" sqref="BK172">
      <formula1>0</formula1>
      <formula2>300</formula2>
    </dataValidation>
    <dataValidation errorStyle="information" type="textLength" allowBlank="1" showInputMessage="1" error="XLBVal:2=0&#13;&#10;" sqref="BK95">
      <formula1>0</formula1>
      <formula2>300</formula2>
    </dataValidation>
    <dataValidation errorStyle="information" type="textLength" allowBlank="1" showInputMessage="1" error="XLBVal:6=573.34&#13;&#10;" sqref="BK156">
      <formula1>0</formula1>
      <formula2>300</formula2>
    </dataValidation>
    <dataValidation errorStyle="information" type="textLength" allowBlank="1" showInputMessage="1" error="XLBVal:2=0&#13;&#10;" sqref="BK126">
      <formula1>0</formula1>
      <formula2>300</formula2>
    </dataValidation>
    <dataValidation errorStyle="information" type="textLength" allowBlank="1" showInputMessage="1" error="XLBVal:2=0&#13;&#10;" sqref="BJ30">
      <formula1>0</formula1>
      <formula2>300</formula2>
    </dataValidation>
    <dataValidation errorStyle="information" type="textLength" allowBlank="1" showInputMessage="1" error="XLBVal:2=0&#13;&#10;" sqref="BJ44">
      <formula1>0</formula1>
      <formula2>300</formula2>
    </dataValidation>
    <dataValidation errorStyle="information" type="textLength" allowBlank="1" showInputMessage="1" error="XLBVal:2=0&#13;&#10;" sqref="BJ46">
      <formula1>0</formula1>
      <formula2>300</formula2>
    </dataValidation>
    <dataValidation errorStyle="information" type="textLength" allowBlank="1" showInputMessage="1" error="XLBVal:2=0&#13;&#10;" sqref="BJ47">
      <formula1>0</formula1>
      <formula2>300</formula2>
    </dataValidation>
    <dataValidation errorStyle="information" type="textLength" allowBlank="1" showInputMessage="1" error="XLBVal:2=0&#13;&#10;" sqref="BJ48">
      <formula1>0</formula1>
      <formula2>300</formula2>
    </dataValidation>
    <dataValidation errorStyle="information" type="textLength" allowBlank="1" showInputMessage="1" error="XLBVal:2=0&#13;&#10;" sqref="BJ51">
      <formula1>0</formula1>
      <formula2>300</formula2>
    </dataValidation>
    <dataValidation errorStyle="information" type="textLength" allowBlank="1" showInputMessage="1" error="XLBVal:2=0&#13;&#10;" sqref="BJ172">
      <formula1>0</formula1>
      <formula2>300</formula2>
    </dataValidation>
    <dataValidation errorStyle="information" type="textLength" allowBlank="1" showInputMessage="1" error="XLBVal:2=0&#13;&#10;" sqref="BJ177">
      <formula1>0</formula1>
      <formula2>300</formula2>
    </dataValidation>
    <dataValidation errorStyle="information" type="textLength" allowBlank="1" showInputMessage="1" error="XLBVal:2=0&#13;&#10;" sqref="BJ96">
      <formula1>0</formula1>
      <formula2>300</formula2>
    </dataValidation>
    <dataValidation errorStyle="information" type="textLength" allowBlank="1" showInputMessage="1" error="XLBVal:2=0&#13;&#10;" sqref="BJ126">
      <formula1>0</formula1>
      <formula2>300</formula2>
    </dataValidation>
    <dataValidation errorStyle="information" type="textLength" allowBlank="1" showInputMessage="1" error="XLBVal:2=0&#13;&#10;" sqref="BJ197">
      <formula1>0</formula1>
      <formula2>300</formula2>
    </dataValidation>
    <dataValidation errorStyle="information" type="textLength" allowBlank="1" showInputMessage="1" error="XLBVal:2=0&#13;&#10;" sqref="BL31">
      <formula1>0</formula1>
      <formula2>300</formula2>
    </dataValidation>
    <dataValidation errorStyle="information" type="textLength" allowBlank="1" showInputMessage="1" error="XLBVal:2=0&#13;&#10;" sqref="BL46">
      <formula1>0</formula1>
      <formula2>300</formula2>
    </dataValidation>
    <dataValidation errorStyle="information" type="textLength" allowBlank="1" showInputMessage="1" error="XLBVal:2=0&#13;&#10;" sqref="BL47">
      <formula1>0</formula1>
      <formula2>300</formula2>
    </dataValidation>
    <dataValidation errorStyle="information" type="textLength" allowBlank="1" showInputMessage="1" error="XLBVal:2=0&#13;&#10;" sqref="BL48">
      <formula1>0</formula1>
      <formula2>300</formula2>
    </dataValidation>
    <dataValidation errorStyle="information" type="textLength" allowBlank="1" showInputMessage="1" error="XLBVal:2=0&#13;&#10;" sqref="BL57">
      <formula1>0</formula1>
      <formula2>300</formula2>
    </dataValidation>
    <dataValidation errorStyle="information" type="textLength" allowBlank="1" showInputMessage="1" error="XLBVal:2=0&#13;&#10;" sqref="BL58">
      <formula1>0</formula1>
      <formula2>300</formula2>
    </dataValidation>
    <dataValidation errorStyle="information" type="textLength" allowBlank="1" showInputMessage="1" error="XLBVal:2=0&#13;&#10;" sqref="BL172">
      <formula1>0</formula1>
      <formula2>300</formula2>
    </dataValidation>
    <dataValidation errorStyle="information" type="textLength" allowBlank="1" showInputMessage="1" error="XLBVal:2=0&#13;&#10;" sqref="BL177">
      <formula1>0</formula1>
      <formula2>300</formula2>
    </dataValidation>
    <dataValidation errorStyle="information" type="textLength" allowBlank="1" showInputMessage="1" error="XLBVal:2=0&#13;&#10;" sqref="BL95">
      <formula1>0</formula1>
      <formula2>300</formula2>
    </dataValidation>
    <dataValidation errorStyle="information" type="textLength" allowBlank="1" showInputMessage="1" error="XLBVal:2=0&#13;&#10;" sqref="BL126">
      <formula1>0</formula1>
      <formula2>300</formula2>
    </dataValidation>
    <dataValidation errorStyle="information" type="textLength" allowBlank="1" showInputMessage="1" error="XLBVal:6=311.74&#13;&#10;" sqref="AJ67:AJ69 AJ73:AJ75 X67:X69 X73:X75">
      <formula1>0</formula1>
      <formula2>10000</formula2>
    </dataValidation>
    <dataValidation errorStyle="information" type="textLength" allowBlank="1" showInputMessage="1" promptTitle="Contribution Requested" prompt="The budget sheet assumes you ask the donor to contribute the whole sum of the budget.&#10;If this is not the case, please adjust the amount here." error="XLBVal:6=4687.88&#13;&#10;" sqref="AK67:AK69 AK73:AK75 Y67:Y69 Y73:Y75">
      <formula1>0</formula1>
      <formula2>10000</formula2>
    </dataValidation>
    <dataValidation errorStyle="information" type="textLength" allowBlank="1" showInputMessage="1" error="XLBVal:6=27141.62&#13;&#10;" sqref="AL67:AL69 AL73:AL75 Z67:Z69 Z73:Z75">
      <formula1>0</formula1>
      <formula2>10000</formula2>
    </dataValidation>
    <dataValidation errorStyle="information" type="textLength" allowBlank="1" showInputMessage="1" error="XLBVal:6=9077.16&#13;&#10;" sqref="AN67:AN69 AN73:AN75">
      <formula1>0</formula1>
      <formula2>10000</formula2>
    </dataValidation>
    <dataValidation errorStyle="information" type="textLength" allowBlank="1" showInputMessage="1" error="XLBVal:2=0&#13;&#10;" sqref="AT75">
      <formula1>0</formula1>
      <formula2>300</formula2>
    </dataValidation>
    <dataValidation errorStyle="information" type="textLength" allowBlank="1" showInputMessage="1" error="XLBVal:2=0&#13;&#10;" sqref="AV75">
      <formula1>0</formula1>
      <formula2>300</formula2>
    </dataValidation>
    <dataValidation errorStyle="information" type="textLength" allowBlank="1" showInputMessage="1" error="XLBVal:2=0&#13;&#10;" sqref="BF75">
      <formula1>0</formula1>
      <formula2>300</formula2>
    </dataValidation>
    <dataValidation errorStyle="information" type="textLength" allowBlank="1" showInputMessage="1" error="XLBVal:2=0&#13;&#10;" sqref="BG75">
      <formula1>0</formula1>
      <formula2>300</formula2>
    </dataValidation>
    <dataValidation errorStyle="information" type="textLength" allowBlank="1" showInputMessage="1" error="XLBVal:2=0&#13;&#10;" sqref="BJ75">
      <formula1>0</formula1>
      <formula2>300</formula2>
    </dataValidation>
    <dataValidation errorStyle="information" type="textLength" allowBlank="1" showInputMessage="1" error="XLBVal:2=0&#13;&#10;" sqref="BL75">
      <formula1>0</formula1>
      <formula2>300</formula2>
    </dataValidation>
    <dataValidation errorStyle="information" type="textLength" allowBlank="1" showInputMessage="1" error="XLBVal:2=0&#13;&#10;" sqref="AT31">
      <formula1>0</formula1>
      <formula2>300</formula2>
    </dataValidation>
    <dataValidation errorStyle="information" type="textLength" allowBlank="1" showInputMessage="1" error="XLBVal:2=0&#13;&#10;" sqref="AT46">
      <formula1>0</formula1>
      <formula2>300</formula2>
    </dataValidation>
    <dataValidation errorStyle="information" type="textLength" allowBlank="1" showInputMessage="1" error="XLBVal:2=0&#13;&#10;" sqref="AT47">
      <formula1>0</formula1>
      <formula2>300</formula2>
    </dataValidation>
    <dataValidation errorStyle="information" type="textLength" allowBlank="1" showInputMessage="1" error="XLBVal:2=0&#13;&#10;" sqref="AT48">
      <formula1>0</formula1>
      <formula2>300</formula2>
    </dataValidation>
    <dataValidation errorStyle="information" type="textLength" allowBlank="1" showInputMessage="1" error="XLBVal:2=0&#13;&#10;" sqref="AT49">
      <formula1>0</formula1>
      <formula2>300</formula2>
    </dataValidation>
    <dataValidation errorStyle="information" type="textLength" allowBlank="1" showInputMessage="1" error="XLBVal:2=0&#13;&#10;" sqref="AT56">
      <formula1>0</formula1>
      <formula2>300</formula2>
    </dataValidation>
    <dataValidation errorStyle="information" type="textLength" allowBlank="1" showInputMessage="1" error="XLBVal:2=0&#13;&#10;" sqref="AT57">
      <formula1>0</formula1>
      <formula2>300</formula2>
    </dataValidation>
    <dataValidation errorStyle="information" type="textLength" allowBlank="1" showInputMessage="1" error="XLBVal:2=0&#13;&#10;" sqref="AT90">
      <formula1>0</formula1>
      <formula2>300</formula2>
    </dataValidation>
    <dataValidation errorStyle="information" type="textLength" allowBlank="1" showInputMessage="1" error="XLBVal:2=0&#13;&#10;" sqref="AT98">
      <formula1>0</formula1>
      <formula2>300</formula2>
    </dataValidation>
    <dataValidation errorStyle="information" type="textLength" allowBlank="1" showInputMessage="1" error="XLBVal:2=0&#13;&#10;" sqref="AT113">
      <formula1>0</formula1>
      <formula2>300</formula2>
    </dataValidation>
    <dataValidation errorStyle="information" type="textLength" allowBlank="1" showInputMessage="1" error="XLBVal:2=0&#13;&#10;" sqref="AT151">
      <formula1>0</formula1>
      <formula2>300</formula2>
    </dataValidation>
  </dataValidations>
  <printOptions/>
  <pageMargins left="0.3937007874015748" right="0.3937007874015748" top="0.5905511811023623" bottom="0.5905511811023623" header="0.3937007874015748" footer="0.3937007874015748"/>
  <pageSetup fitToHeight="4" horizontalDpi="600" verticalDpi="600" orientation="landscape" paperSize="9" scale="41" r:id="rId2"/>
  <headerFooter alignWithMargins="0">
    <oddHeader>&amp;L&amp;F</oddHeader>
    <oddFooter>&amp;L&amp;P/&amp;N&amp;R&amp;D</oddFooter>
  </headerFooter>
  <rowBreaks count="1" manualBreakCount="1">
    <brk id="59" max="83"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G39" sqref="G39"/>
    </sheetView>
  </sheetViews>
  <sheetFormatPr defaultColWidth="11.42187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B164"/>
  <sheetViews>
    <sheetView tabSelected="1" zoomScalePageLayoutView="0" workbookViewId="0" topLeftCell="M19">
      <pane ySplit="5" topLeftCell="A24" activePane="bottomLeft" state="frozen"/>
      <selection pane="topLeft" activeCell="I19" sqref="I19"/>
      <selection pane="bottomLeft" activeCell="AI19" sqref="AI19"/>
    </sheetView>
  </sheetViews>
  <sheetFormatPr defaultColWidth="10.8515625" defaultRowHeight="12.75" outlineLevelCol="1"/>
  <cols>
    <col min="1" max="1" width="12.00390625" style="457" customWidth="1"/>
    <col min="2" max="2" width="27.00390625" style="455" hidden="1" customWidth="1" outlineLevel="1"/>
    <col min="3" max="3" width="58.7109375" style="455" customWidth="1" outlineLevel="1"/>
    <col min="4" max="4" width="38.140625" style="455" hidden="1" customWidth="1" outlineLevel="1"/>
    <col min="5" max="5" width="13.57421875" style="455" hidden="1" customWidth="1" outlineLevel="1"/>
    <col min="6" max="6" width="13.00390625" style="455" hidden="1" customWidth="1" outlineLevel="1"/>
    <col min="7" max="7" width="12.140625" style="455" hidden="1" customWidth="1" outlineLevel="1"/>
    <col min="8" max="8" width="13.28125" style="455" hidden="1" customWidth="1"/>
    <col min="9" max="9" width="13.28125" style="455" customWidth="1"/>
    <col min="10" max="11" width="13.28125" style="455" hidden="1" customWidth="1"/>
    <col min="12" max="12" width="9.28125" style="455" hidden="1" customWidth="1"/>
    <col min="13" max="13" width="13.28125" style="455" customWidth="1"/>
    <col min="14" max="14" width="13.28125" style="458" customWidth="1"/>
    <col min="15" max="16" width="13.28125" style="455" hidden="1" customWidth="1"/>
    <col min="17" max="17" width="13.28125" style="458" hidden="1" customWidth="1"/>
    <col min="18" max="19" width="13.00390625" style="514" customWidth="1"/>
    <col min="20" max="20" width="13.421875" style="458" bestFit="1" customWidth="1"/>
    <col min="21" max="21" width="13.7109375" style="455" hidden="1" customWidth="1"/>
    <col min="22" max="23" width="19.421875" style="458" hidden="1" customWidth="1"/>
    <col min="24" max="24" width="13.140625" style="458" hidden="1" customWidth="1"/>
    <col min="25" max="25" width="13.140625" style="455" hidden="1" customWidth="1"/>
    <col min="26" max="27" width="19.421875" style="458" hidden="1" customWidth="1"/>
    <col min="28" max="28" width="13.140625" style="458" hidden="1" customWidth="1"/>
    <col min="29" max="29" width="13.140625" style="455" hidden="1" customWidth="1"/>
    <col min="30" max="31" width="19.421875" style="458" hidden="1" customWidth="1"/>
    <col min="32" max="32" width="13.140625" style="458" hidden="1" customWidth="1"/>
    <col min="33" max="33" width="12.7109375" style="526" bestFit="1" customWidth="1"/>
    <col min="34" max="34" width="13.28125" style="526" bestFit="1" customWidth="1"/>
    <col min="35" max="35" width="8.57421875" style="458" bestFit="1" customWidth="1"/>
    <col min="36" max="36" width="7.421875" style="455" hidden="1" customWidth="1"/>
    <col min="37" max="40" width="13.421875" style="455" hidden="1" customWidth="1"/>
    <col min="41" max="41" width="13.421875" style="456" hidden="1" customWidth="1"/>
    <col min="42" max="44" width="13.421875" style="455" hidden="1" customWidth="1"/>
    <col min="45" max="45" width="13.421875" style="456" hidden="1" customWidth="1"/>
    <col min="46" max="48" width="13.421875" style="455" hidden="1" customWidth="1"/>
    <col min="49" max="49" width="13.421875" style="456" hidden="1" customWidth="1"/>
    <col min="50" max="52" width="13.421875" style="455" hidden="1" customWidth="1"/>
    <col min="53" max="53" width="13.421875" style="456" hidden="1" customWidth="1"/>
    <col min="54" max="54" width="6.8515625" style="455" hidden="1" customWidth="1"/>
    <col min="55" max="58" width="13.421875" style="455" hidden="1" customWidth="1"/>
    <col min="59" max="59" width="13.421875" style="456" hidden="1" customWidth="1"/>
    <col min="60" max="62" width="13.421875" style="455" hidden="1" customWidth="1"/>
    <col min="63" max="63" width="13.421875" style="456" hidden="1" customWidth="1"/>
    <col min="64" max="66" width="13.421875" style="455" hidden="1" customWidth="1"/>
    <col min="67" max="67" width="13.421875" style="456" hidden="1" customWidth="1"/>
    <col min="68" max="70" width="13.421875" style="455" hidden="1" customWidth="1"/>
    <col min="71" max="71" width="13.421875" style="456" hidden="1" customWidth="1"/>
    <col min="72" max="72" width="6.8515625" style="455" hidden="1" customWidth="1"/>
    <col min="73" max="73" width="17.57421875" style="455" customWidth="1"/>
    <col min="74" max="16384" width="10.8515625" style="455" customWidth="1"/>
  </cols>
  <sheetData>
    <row r="1" spans="1:72" ht="12.75">
      <c r="A1" s="474" t="s">
        <v>6</v>
      </c>
      <c r="B1" s="453" t="s">
        <v>6</v>
      </c>
      <c r="C1" s="454" t="s">
        <v>350</v>
      </c>
      <c r="E1" s="31"/>
      <c r="F1" s="31"/>
      <c r="G1" s="31"/>
      <c r="H1" s="31"/>
      <c r="I1" s="31"/>
      <c r="J1" s="31"/>
      <c r="K1" s="31"/>
      <c r="L1" s="31"/>
      <c r="M1" s="31"/>
      <c r="N1" s="450"/>
      <c r="O1" s="31"/>
      <c r="P1" s="31"/>
      <c r="Q1" s="450"/>
      <c r="AJ1" s="31"/>
      <c r="AK1" s="31"/>
      <c r="AL1" s="31"/>
      <c r="AM1" s="31"/>
      <c r="AN1" s="31"/>
      <c r="AO1" s="453"/>
      <c r="AP1" s="31"/>
      <c r="AQ1" s="31"/>
      <c r="AR1" s="31"/>
      <c r="AS1" s="453"/>
      <c r="AT1" s="31"/>
      <c r="AU1" s="31"/>
      <c r="AV1" s="31"/>
      <c r="AW1" s="453"/>
      <c r="AX1" s="31"/>
      <c r="AY1" s="31"/>
      <c r="AZ1" s="31"/>
      <c r="BA1" s="453"/>
      <c r="BB1" s="31"/>
      <c r="BC1" s="31"/>
      <c r="BD1" s="31"/>
      <c r="BE1" s="31"/>
      <c r="BF1" s="31"/>
      <c r="BG1" s="453"/>
      <c r="BH1" s="31"/>
      <c r="BI1" s="31"/>
      <c r="BJ1" s="31"/>
      <c r="BK1" s="453"/>
      <c r="BL1" s="31"/>
      <c r="BM1" s="31"/>
      <c r="BN1" s="31"/>
      <c r="BO1" s="453"/>
      <c r="BP1" s="31"/>
      <c r="BQ1" s="31"/>
      <c r="BR1" s="31"/>
      <c r="BS1" s="453"/>
      <c r="BT1" s="31"/>
    </row>
    <row r="2" spans="1:72" ht="12.75">
      <c r="A2" s="3" t="s">
        <v>57</v>
      </c>
      <c r="B2" s="31" t="s">
        <v>57</v>
      </c>
      <c r="C2" s="53" t="s">
        <v>322</v>
      </c>
      <c r="E2" s="31"/>
      <c r="F2" s="31"/>
      <c r="G2" s="31"/>
      <c r="H2" s="31"/>
      <c r="I2" s="31"/>
      <c r="J2" s="31"/>
      <c r="K2" s="31"/>
      <c r="L2" s="31"/>
      <c r="M2" s="31"/>
      <c r="N2" s="450"/>
      <c r="O2" s="31"/>
      <c r="P2" s="31"/>
      <c r="Q2" s="450"/>
      <c r="AJ2" s="31"/>
      <c r="AK2" s="31"/>
      <c r="AL2" s="31"/>
      <c r="AM2" s="31"/>
      <c r="AN2" s="31"/>
      <c r="AO2" s="453"/>
      <c r="AP2" s="31"/>
      <c r="AQ2" s="31"/>
      <c r="AR2" s="31"/>
      <c r="AS2" s="453"/>
      <c r="AT2" s="31"/>
      <c r="AU2" s="31"/>
      <c r="AV2" s="31"/>
      <c r="AW2" s="453"/>
      <c r="AX2" s="31"/>
      <c r="AY2" s="31"/>
      <c r="AZ2" s="31"/>
      <c r="BA2" s="453"/>
      <c r="BB2" s="31"/>
      <c r="BC2" s="31"/>
      <c r="BD2" s="31"/>
      <c r="BE2" s="31"/>
      <c r="BF2" s="31"/>
      <c r="BG2" s="453"/>
      <c r="BH2" s="31"/>
      <c r="BI2" s="31"/>
      <c r="BJ2" s="31"/>
      <c r="BK2" s="453"/>
      <c r="BL2" s="31"/>
      <c r="BM2" s="31"/>
      <c r="BN2" s="31"/>
      <c r="BO2" s="453"/>
      <c r="BP2" s="31"/>
      <c r="BQ2" s="31"/>
      <c r="BR2" s="31"/>
      <c r="BS2" s="453"/>
      <c r="BT2" s="31"/>
    </row>
    <row r="3" spans="1:72" ht="12.75">
      <c r="A3" s="3" t="s">
        <v>58</v>
      </c>
      <c r="B3" s="31" t="s">
        <v>58</v>
      </c>
      <c r="C3" s="53" t="s">
        <v>60</v>
      </c>
      <c r="E3" s="31"/>
      <c r="F3" s="31"/>
      <c r="G3" s="31"/>
      <c r="H3" s="31"/>
      <c r="I3" s="31"/>
      <c r="J3" s="31"/>
      <c r="K3" s="31"/>
      <c r="L3" s="31"/>
      <c r="M3" s="31"/>
      <c r="N3" s="450"/>
      <c r="O3" s="31"/>
      <c r="P3" s="31"/>
      <c r="Q3" s="450"/>
      <c r="AJ3" s="31"/>
      <c r="AK3" s="31"/>
      <c r="AL3" s="31"/>
      <c r="AM3" s="31"/>
      <c r="AN3" s="31"/>
      <c r="AO3" s="453"/>
      <c r="AP3" s="31"/>
      <c r="AQ3" s="31"/>
      <c r="AR3" s="31"/>
      <c r="AS3" s="453"/>
      <c r="AT3" s="31"/>
      <c r="AU3" s="31"/>
      <c r="AV3" s="31"/>
      <c r="AW3" s="453"/>
      <c r="AX3" s="31"/>
      <c r="AY3" s="31"/>
      <c r="AZ3" s="31"/>
      <c r="BA3" s="453"/>
      <c r="BB3" s="31"/>
      <c r="BC3" s="31"/>
      <c r="BD3" s="31"/>
      <c r="BE3" s="31"/>
      <c r="BF3" s="31"/>
      <c r="BG3" s="453"/>
      <c r="BH3" s="31"/>
      <c r="BI3" s="31"/>
      <c r="BJ3" s="31"/>
      <c r="BK3" s="453"/>
      <c r="BL3" s="31"/>
      <c r="BM3" s="31"/>
      <c r="BN3" s="31"/>
      <c r="BO3" s="453"/>
      <c r="BP3" s="31"/>
      <c r="BQ3" s="31"/>
      <c r="BR3" s="31"/>
      <c r="BS3" s="453"/>
      <c r="BT3" s="31"/>
    </row>
    <row r="4" spans="1:72" ht="12.75">
      <c r="A4" s="3" t="s">
        <v>54</v>
      </c>
      <c r="B4" s="31" t="s">
        <v>54</v>
      </c>
      <c r="C4" s="63">
        <v>1.3</v>
      </c>
      <c r="E4" s="31"/>
      <c r="F4" s="31"/>
      <c r="G4" s="31"/>
      <c r="H4" s="31"/>
      <c r="I4" s="31"/>
      <c r="J4" s="31"/>
      <c r="K4" s="31"/>
      <c r="L4" s="31"/>
      <c r="M4" s="31"/>
      <c r="N4" s="450"/>
      <c r="O4" s="31"/>
      <c r="P4" s="31"/>
      <c r="Q4" s="450"/>
      <c r="AJ4" s="31"/>
      <c r="AK4" s="31"/>
      <c r="AL4" s="31"/>
      <c r="AM4" s="31"/>
      <c r="AN4" s="31"/>
      <c r="AO4" s="453"/>
      <c r="AP4" s="31"/>
      <c r="AQ4" s="31"/>
      <c r="AR4" s="31"/>
      <c r="AS4" s="453"/>
      <c r="AT4" s="31"/>
      <c r="AU4" s="31"/>
      <c r="AV4" s="31"/>
      <c r="AW4" s="453"/>
      <c r="AX4" s="31"/>
      <c r="AY4" s="31"/>
      <c r="AZ4" s="31"/>
      <c r="BA4" s="453"/>
      <c r="BB4" s="31"/>
      <c r="BC4" s="31"/>
      <c r="BD4" s="31"/>
      <c r="BE4" s="31"/>
      <c r="BF4" s="31"/>
      <c r="BG4" s="453"/>
      <c r="BH4" s="31"/>
      <c r="BI4" s="31"/>
      <c r="BJ4" s="31"/>
      <c r="BK4" s="453"/>
      <c r="BL4" s="31"/>
      <c r="BM4" s="31"/>
      <c r="BN4" s="31"/>
      <c r="BO4" s="453"/>
      <c r="BP4" s="31"/>
      <c r="BQ4" s="31"/>
      <c r="BR4" s="31"/>
      <c r="BS4" s="453"/>
      <c r="BT4" s="31"/>
    </row>
    <row r="5" spans="1:72" ht="12.75">
      <c r="A5" s="3" t="s">
        <v>7</v>
      </c>
      <c r="B5" s="31" t="s">
        <v>7</v>
      </c>
      <c r="C5" s="64" t="s">
        <v>323</v>
      </c>
      <c r="E5" s="31"/>
      <c r="F5" s="31"/>
      <c r="G5" s="31"/>
      <c r="H5" s="31"/>
      <c r="I5" s="31"/>
      <c r="J5" s="31"/>
      <c r="K5" s="31"/>
      <c r="L5" s="31"/>
      <c r="M5" s="31"/>
      <c r="N5" s="450"/>
      <c r="O5" s="31"/>
      <c r="P5" s="31"/>
      <c r="Q5" s="450"/>
      <c r="AJ5" s="31"/>
      <c r="AK5" s="31"/>
      <c r="AL5" s="31"/>
      <c r="AM5" s="31"/>
      <c r="AN5" s="31"/>
      <c r="AO5" s="453"/>
      <c r="AP5" s="31"/>
      <c r="AQ5" s="31"/>
      <c r="AR5" s="31"/>
      <c r="AS5" s="453"/>
      <c r="AT5" s="31"/>
      <c r="AU5" s="31"/>
      <c r="AV5" s="31"/>
      <c r="AW5" s="453"/>
      <c r="AX5" s="31"/>
      <c r="AY5" s="31"/>
      <c r="AZ5" s="31"/>
      <c r="BA5" s="453"/>
      <c r="BB5" s="31"/>
      <c r="BC5" s="31"/>
      <c r="BD5" s="31"/>
      <c r="BE5" s="31"/>
      <c r="BF5" s="31"/>
      <c r="BG5" s="453"/>
      <c r="BH5" s="31"/>
      <c r="BI5" s="31"/>
      <c r="BJ5" s="31"/>
      <c r="BK5" s="453"/>
      <c r="BL5" s="31"/>
      <c r="BM5" s="31"/>
      <c r="BN5" s="31"/>
      <c r="BO5" s="453"/>
      <c r="BP5" s="31"/>
      <c r="BQ5" s="31"/>
      <c r="BR5" s="31"/>
      <c r="BS5" s="453"/>
      <c r="BT5" s="31"/>
    </row>
    <row r="6" spans="1:72" ht="12.75">
      <c r="A6" s="3" t="s">
        <v>29</v>
      </c>
      <c r="B6" s="31" t="s">
        <v>29</v>
      </c>
      <c r="C6" s="64" t="s">
        <v>351</v>
      </c>
      <c r="E6" s="31"/>
      <c r="F6" s="31"/>
      <c r="G6" s="31"/>
      <c r="H6" s="31"/>
      <c r="I6" s="31"/>
      <c r="J6" s="31"/>
      <c r="K6" s="31"/>
      <c r="L6" s="31"/>
      <c r="M6" s="31"/>
      <c r="N6" s="450"/>
      <c r="O6" s="31"/>
      <c r="P6" s="31"/>
      <c r="Q6" s="450"/>
      <c r="AJ6" s="31"/>
      <c r="AK6" s="31"/>
      <c r="AL6" s="31"/>
      <c r="AM6" s="31"/>
      <c r="AN6" s="31"/>
      <c r="AO6" s="453"/>
      <c r="AP6" s="31"/>
      <c r="AQ6" s="31"/>
      <c r="AR6" s="31"/>
      <c r="AS6" s="453"/>
      <c r="AT6" s="31"/>
      <c r="AU6" s="31"/>
      <c r="AV6" s="31"/>
      <c r="AW6" s="453"/>
      <c r="AX6" s="31"/>
      <c r="AY6" s="31"/>
      <c r="AZ6" s="31"/>
      <c r="BA6" s="453"/>
      <c r="BB6" s="31"/>
      <c r="BC6" s="31"/>
      <c r="BD6" s="31"/>
      <c r="BE6" s="31"/>
      <c r="BF6" s="31"/>
      <c r="BG6" s="453"/>
      <c r="BH6" s="31"/>
      <c r="BI6" s="31"/>
      <c r="BJ6" s="31"/>
      <c r="BK6" s="453"/>
      <c r="BL6" s="31"/>
      <c r="BM6" s="31"/>
      <c r="BN6" s="31"/>
      <c r="BO6" s="453"/>
      <c r="BP6" s="31"/>
      <c r="BQ6" s="31"/>
      <c r="BR6" s="31"/>
      <c r="BS6" s="453"/>
      <c r="BT6" s="31"/>
    </row>
    <row r="7" spans="1:72" ht="12.75">
      <c r="A7" s="3" t="s">
        <v>8</v>
      </c>
      <c r="B7" s="31" t="s">
        <v>8</v>
      </c>
      <c r="C7" s="53" t="s">
        <v>122</v>
      </c>
      <c r="E7" s="31"/>
      <c r="F7" s="31"/>
      <c r="G7" s="31"/>
      <c r="H7" s="31"/>
      <c r="I7" s="31"/>
      <c r="J7" s="31"/>
      <c r="K7" s="31"/>
      <c r="L7" s="31"/>
      <c r="M7" s="31"/>
      <c r="N7" s="450"/>
      <c r="O7" s="31"/>
      <c r="P7" s="31"/>
      <c r="Q7" s="450"/>
      <c r="AJ7" s="31"/>
      <c r="AK7" s="31"/>
      <c r="AL7" s="31"/>
      <c r="AM7" s="31"/>
      <c r="AN7" s="31"/>
      <c r="AO7" s="453"/>
      <c r="AP7" s="31"/>
      <c r="AQ7" s="31"/>
      <c r="AR7" s="31"/>
      <c r="AS7" s="453"/>
      <c r="AT7" s="31"/>
      <c r="AU7" s="31"/>
      <c r="AV7" s="31"/>
      <c r="AW7" s="453"/>
      <c r="AX7" s="31"/>
      <c r="AY7" s="31"/>
      <c r="AZ7" s="31"/>
      <c r="BA7" s="453"/>
      <c r="BB7" s="31"/>
      <c r="BC7" s="31"/>
      <c r="BD7" s="31"/>
      <c r="BE7" s="31"/>
      <c r="BF7" s="31"/>
      <c r="BG7" s="453"/>
      <c r="BH7" s="31"/>
      <c r="BI7" s="31"/>
      <c r="BJ7" s="31"/>
      <c r="BK7" s="453"/>
      <c r="BL7" s="31"/>
      <c r="BM7" s="31"/>
      <c r="BN7" s="31"/>
      <c r="BO7" s="453"/>
      <c r="BP7" s="31"/>
      <c r="BQ7" s="31"/>
      <c r="BR7" s="31"/>
      <c r="BS7" s="453"/>
      <c r="BT7" s="31"/>
    </row>
    <row r="8" spans="1:72" ht="12.75">
      <c r="A8" s="3" t="s">
        <v>9</v>
      </c>
      <c r="B8" s="31" t="s">
        <v>9</v>
      </c>
      <c r="C8" s="53" t="s">
        <v>140</v>
      </c>
      <c r="E8" s="31"/>
      <c r="F8" s="31"/>
      <c r="G8" s="31"/>
      <c r="H8" s="31"/>
      <c r="I8" s="31"/>
      <c r="J8" s="31"/>
      <c r="K8" s="31"/>
      <c r="L8" s="31"/>
      <c r="M8" s="31"/>
      <c r="N8" s="450"/>
      <c r="O8" s="31"/>
      <c r="P8" s="31"/>
      <c r="Q8" s="450"/>
      <c r="AJ8" s="31"/>
      <c r="AK8" s="31"/>
      <c r="AL8" s="31"/>
      <c r="AM8" s="31"/>
      <c r="AN8" s="31"/>
      <c r="AO8" s="453"/>
      <c r="AP8" s="31"/>
      <c r="AQ8" s="31"/>
      <c r="AR8" s="31"/>
      <c r="AS8" s="453"/>
      <c r="AT8" s="31"/>
      <c r="AU8" s="31"/>
      <c r="AV8" s="31"/>
      <c r="AW8" s="453"/>
      <c r="AX8" s="31"/>
      <c r="AY8" s="31"/>
      <c r="AZ8" s="31"/>
      <c r="BA8" s="453"/>
      <c r="BB8" s="31"/>
      <c r="BC8" s="31"/>
      <c r="BD8" s="31"/>
      <c r="BE8" s="31"/>
      <c r="BF8" s="31"/>
      <c r="BG8" s="453"/>
      <c r="BH8" s="31"/>
      <c r="BI8" s="31"/>
      <c r="BJ8" s="31"/>
      <c r="BK8" s="453"/>
      <c r="BL8" s="31"/>
      <c r="BM8" s="31"/>
      <c r="BN8" s="31"/>
      <c r="BO8" s="453"/>
      <c r="BP8" s="31"/>
      <c r="BQ8" s="31"/>
      <c r="BR8" s="31"/>
      <c r="BS8" s="453"/>
      <c r="BT8" s="31"/>
    </row>
    <row r="9" spans="1:72" ht="12.75">
      <c r="A9" s="3" t="s">
        <v>62</v>
      </c>
      <c r="B9" s="31" t="s">
        <v>62</v>
      </c>
      <c r="C9" s="53" t="s">
        <v>352</v>
      </c>
      <c r="E9" s="31"/>
      <c r="F9" s="31"/>
      <c r="G9" s="31"/>
      <c r="H9" s="31"/>
      <c r="I9" s="31"/>
      <c r="J9" s="31"/>
      <c r="K9" s="31"/>
      <c r="L9" s="31"/>
      <c r="M9" s="31"/>
      <c r="N9" s="450"/>
      <c r="O9" s="31"/>
      <c r="P9" s="31"/>
      <c r="Q9" s="450"/>
      <c r="AJ9" s="31"/>
      <c r="AK9" s="31"/>
      <c r="AL9" s="31"/>
      <c r="AM9" s="31"/>
      <c r="AN9" s="31"/>
      <c r="AO9" s="453"/>
      <c r="AP9" s="31"/>
      <c r="AQ9" s="31"/>
      <c r="AR9" s="31"/>
      <c r="AS9" s="453"/>
      <c r="AT9" s="31"/>
      <c r="AU9" s="31"/>
      <c r="AV9" s="31"/>
      <c r="AW9" s="453"/>
      <c r="AX9" s="31"/>
      <c r="AY9" s="31"/>
      <c r="AZ9" s="31"/>
      <c r="BA9" s="453"/>
      <c r="BB9" s="31"/>
      <c r="BC9" s="31"/>
      <c r="BD9" s="31"/>
      <c r="BE9" s="31"/>
      <c r="BF9" s="31"/>
      <c r="BG9" s="453"/>
      <c r="BH9" s="31"/>
      <c r="BI9" s="31"/>
      <c r="BJ9" s="31"/>
      <c r="BK9" s="453"/>
      <c r="BL9" s="31"/>
      <c r="BM9" s="31"/>
      <c r="BN9" s="31"/>
      <c r="BO9" s="453"/>
      <c r="BP9" s="31"/>
      <c r="BQ9" s="31"/>
      <c r="BR9" s="31"/>
      <c r="BS9" s="453"/>
      <c r="BT9" s="31"/>
    </row>
    <row r="10" spans="1:72" ht="12.75">
      <c r="A10" s="3" t="s">
        <v>10</v>
      </c>
      <c r="B10" s="31" t="s">
        <v>10</v>
      </c>
      <c r="C10" s="53"/>
      <c r="E10" s="31"/>
      <c r="F10" s="31"/>
      <c r="G10" s="31"/>
      <c r="H10" s="31"/>
      <c r="I10" s="31"/>
      <c r="J10" s="31"/>
      <c r="K10" s="31"/>
      <c r="L10" s="31"/>
      <c r="M10" s="31"/>
      <c r="N10" s="450"/>
      <c r="O10" s="31"/>
      <c r="P10" s="31"/>
      <c r="Q10" s="450"/>
      <c r="AJ10" s="31"/>
      <c r="AK10" s="31"/>
      <c r="AL10" s="31"/>
      <c r="AM10" s="31"/>
      <c r="AN10" s="31"/>
      <c r="AO10" s="453"/>
      <c r="AP10" s="31"/>
      <c r="AQ10" s="31"/>
      <c r="AR10" s="31"/>
      <c r="AS10" s="453"/>
      <c r="AT10" s="31"/>
      <c r="AU10" s="31"/>
      <c r="AV10" s="31"/>
      <c r="AW10" s="453"/>
      <c r="AX10" s="31"/>
      <c r="AY10" s="31"/>
      <c r="AZ10" s="31"/>
      <c r="BA10" s="453"/>
      <c r="BB10" s="31"/>
      <c r="BC10" s="31"/>
      <c r="BD10" s="31"/>
      <c r="BE10" s="31"/>
      <c r="BF10" s="31"/>
      <c r="BG10" s="453"/>
      <c r="BH10" s="31"/>
      <c r="BI10" s="31"/>
      <c r="BJ10" s="31"/>
      <c r="BK10" s="453"/>
      <c r="BL10" s="31"/>
      <c r="BM10" s="31"/>
      <c r="BN10" s="31"/>
      <c r="BO10" s="453"/>
      <c r="BP10" s="31"/>
      <c r="BQ10" s="31"/>
      <c r="BR10" s="31"/>
      <c r="BS10" s="453"/>
      <c r="BT10" s="31"/>
    </row>
    <row r="11" spans="1:72" ht="12.75" collapsed="1">
      <c r="A11" s="3" t="s">
        <v>11</v>
      </c>
      <c r="B11" s="31" t="s">
        <v>11</v>
      </c>
      <c r="C11" s="65" t="s">
        <v>353</v>
      </c>
      <c r="E11" s="31"/>
      <c r="F11" s="31"/>
      <c r="G11" s="31"/>
      <c r="H11" s="31"/>
      <c r="I11" s="31"/>
      <c r="J11" s="31"/>
      <c r="K11" s="31"/>
      <c r="L11" s="31"/>
      <c r="M11" s="31"/>
      <c r="N11" s="450"/>
      <c r="O11" s="31"/>
      <c r="P11" s="31"/>
      <c r="Q11" s="450"/>
      <c r="AJ11" s="31"/>
      <c r="AK11" s="31"/>
      <c r="AL11" s="31"/>
      <c r="AM11" s="31"/>
      <c r="AN11" s="31"/>
      <c r="AO11" s="453"/>
      <c r="AP11" s="31"/>
      <c r="AQ11" s="31"/>
      <c r="AR11" s="31"/>
      <c r="AS11" s="453"/>
      <c r="AT11" s="31"/>
      <c r="AU11" s="31"/>
      <c r="AV11" s="31"/>
      <c r="AW11" s="453"/>
      <c r="AX11" s="31"/>
      <c r="AY11" s="31"/>
      <c r="AZ11" s="31"/>
      <c r="BA11" s="453"/>
      <c r="BB11" s="31"/>
      <c r="BC11" s="31"/>
      <c r="BD11" s="31"/>
      <c r="BE11" s="31"/>
      <c r="BF11" s="31"/>
      <c r="BG11" s="453"/>
      <c r="BH11" s="31"/>
      <c r="BI11" s="31"/>
      <c r="BJ11" s="31"/>
      <c r="BK11" s="453"/>
      <c r="BL11" s="31"/>
      <c r="BM11" s="31"/>
      <c r="BN11" s="31"/>
      <c r="BO11" s="453"/>
      <c r="BP11" s="31"/>
      <c r="BQ11" s="31"/>
      <c r="BR11" s="31"/>
      <c r="BS11" s="453"/>
      <c r="BT11" s="31"/>
    </row>
    <row r="12" spans="1:72" ht="12.75">
      <c r="A12" s="3" t="s">
        <v>34</v>
      </c>
      <c r="B12" s="31" t="s">
        <v>34</v>
      </c>
      <c r="C12" s="462" t="s">
        <v>462</v>
      </c>
      <c r="E12" s="31"/>
      <c r="F12" s="31"/>
      <c r="G12" s="31"/>
      <c r="AJ12" s="31"/>
      <c r="AK12" s="31"/>
      <c r="AL12" s="31"/>
      <c r="AM12" s="31"/>
      <c r="AN12" s="31"/>
      <c r="AO12" s="453"/>
      <c r="AP12" s="31"/>
      <c r="AQ12" s="31"/>
      <c r="AR12" s="31"/>
      <c r="AS12" s="453"/>
      <c r="AT12" s="31"/>
      <c r="AU12" s="31"/>
      <c r="AV12" s="31"/>
      <c r="AW12" s="453"/>
      <c r="AX12" s="31"/>
      <c r="AY12" s="31"/>
      <c r="AZ12" s="31"/>
      <c r="BA12" s="453"/>
      <c r="BB12" s="31"/>
      <c r="BC12" s="31"/>
      <c r="BD12" s="31"/>
      <c r="BE12" s="31"/>
      <c r="BF12" s="31"/>
      <c r="BG12" s="453"/>
      <c r="BH12" s="31"/>
      <c r="BI12" s="31"/>
      <c r="BJ12" s="31"/>
      <c r="BK12" s="453"/>
      <c r="BL12" s="31"/>
      <c r="BM12" s="31"/>
      <c r="BN12" s="31"/>
      <c r="BO12" s="453"/>
      <c r="BP12" s="31"/>
      <c r="BQ12" s="31"/>
      <c r="BR12" s="31"/>
      <c r="BS12" s="453"/>
      <c r="BT12" s="31"/>
    </row>
    <row r="13" spans="1:72" ht="12.75">
      <c r="A13" s="3" t="s">
        <v>12</v>
      </c>
      <c r="B13" s="31" t="s">
        <v>12</v>
      </c>
      <c r="C13" s="319"/>
      <c r="E13" s="31"/>
      <c r="F13" s="31"/>
      <c r="G13" s="31"/>
      <c r="H13" s="31"/>
      <c r="I13" s="31"/>
      <c r="J13" s="31"/>
      <c r="K13" s="31"/>
      <c r="L13" s="31"/>
      <c r="M13" s="31"/>
      <c r="N13" s="450"/>
      <c r="O13" s="31"/>
      <c r="P13" s="31"/>
      <c r="Q13" s="450"/>
      <c r="AJ13" s="31"/>
      <c r="AK13" s="31"/>
      <c r="AL13" s="31"/>
      <c r="AM13" s="31"/>
      <c r="AN13" s="31"/>
      <c r="AO13" s="453"/>
      <c r="AP13" s="31"/>
      <c r="AQ13" s="31"/>
      <c r="AR13" s="31"/>
      <c r="AS13" s="453"/>
      <c r="AT13" s="31"/>
      <c r="AU13" s="31"/>
      <c r="AV13" s="31"/>
      <c r="AW13" s="453"/>
      <c r="AX13" s="31"/>
      <c r="AY13" s="31"/>
      <c r="AZ13" s="31"/>
      <c r="BA13" s="453"/>
      <c r="BB13" s="31"/>
      <c r="BC13" s="31"/>
      <c r="BD13" s="31"/>
      <c r="BE13" s="31"/>
      <c r="BF13" s="31"/>
      <c r="BG13" s="453"/>
      <c r="BH13" s="31"/>
      <c r="BI13" s="31"/>
      <c r="BJ13" s="31"/>
      <c r="BK13" s="453"/>
      <c r="BL13" s="31"/>
      <c r="BM13" s="31"/>
      <c r="BN13" s="31"/>
      <c r="BO13" s="453"/>
      <c r="BP13" s="31"/>
      <c r="BQ13" s="31"/>
      <c r="BR13" s="31"/>
      <c r="BS13" s="453"/>
      <c r="BT13" s="31"/>
    </row>
    <row r="14" spans="1:72" ht="12.75">
      <c r="A14" s="3" t="s">
        <v>59</v>
      </c>
      <c r="B14" s="31" t="s">
        <v>59</v>
      </c>
      <c r="C14" s="319" t="s">
        <v>354</v>
      </c>
      <c r="E14" s="31"/>
      <c r="F14" s="31"/>
      <c r="G14" s="31"/>
      <c r="H14" s="31"/>
      <c r="I14" s="31"/>
      <c r="J14" s="31"/>
      <c r="K14" s="31"/>
      <c r="L14" s="31"/>
      <c r="M14" s="31"/>
      <c r="N14" s="450"/>
      <c r="O14" s="31"/>
      <c r="P14" s="31"/>
      <c r="Q14" s="450"/>
      <c r="AJ14" s="31"/>
      <c r="AK14" s="31"/>
      <c r="AL14" s="31"/>
      <c r="AM14" s="31"/>
      <c r="AN14" s="31"/>
      <c r="AO14" s="453"/>
      <c r="AP14" s="31"/>
      <c r="AQ14" s="31"/>
      <c r="AR14" s="31"/>
      <c r="AS14" s="453"/>
      <c r="AT14" s="31"/>
      <c r="AU14" s="31"/>
      <c r="AV14" s="31"/>
      <c r="AW14" s="453"/>
      <c r="AX14" s="31"/>
      <c r="AY14" s="31"/>
      <c r="AZ14" s="31"/>
      <c r="BA14" s="453"/>
      <c r="BB14" s="31"/>
      <c r="BC14" s="31"/>
      <c r="BD14" s="31"/>
      <c r="BE14" s="31"/>
      <c r="BF14" s="31"/>
      <c r="BG14" s="453"/>
      <c r="BH14" s="31"/>
      <c r="BI14" s="31"/>
      <c r="BJ14" s="31"/>
      <c r="BK14" s="453"/>
      <c r="BL14" s="31"/>
      <c r="BM14" s="31"/>
      <c r="BN14" s="31"/>
      <c r="BO14" s="453"/>
      <c r="BP14" s="31"/>
      <c r="BQ14" s="31"/>
      <c r="BR14" s="31"/>
      <c r="BS14" s="453"/>
      <c r="BT14" s="31"/>
    </row>
    <row r="15" spans="1:72" ht="12.75">
      <c r="A15" s="452"/>
      <c r="B15" s="31"/>
      <c r="C15" s="451"/>
      <c r="E15" s="31"/>
      <c r="F15" s="31"/>
      <c r="G15" s="31"/>
      <c r="H15" s="31"/>
      <c r="I15" s="31"/>
      <c r="J15" s="31"/>
      <c r="K15" s="31"/>
      <c r="L15" s="31"/>
      <c r="M15" s="31"/>
      <c r="N15" s="450"/>
      <c r="O15" s="31"/>
      <c r="P15" s="31"/>
      <c r="Q15" s="450"/>
      <c r="AJ15" s="31"/>
      <c r="AK15" s="31"/>
      <c r="AL15" s="31"/>
      <c r="AM15" s="31"/>
      <c r="AN15" s="31"/>
      <c r="AO15" s="453"/>
      <c r="AP15" s="31"/>
      <c r="AQ15" s="31"/>
      <c r="AR15" s="31"/>
      <c r="AS15" s="453"/>
      <c r="AT15" s="31"/>
      <c r="AU15" s="31"/>
      <c r="AV15" s="31"/>
      <c r="AW15" s="453"/>
      <c r="AX15" s="31"/>
      <c r="AY15" s="31"/>
      <c r="AZ15" s="31"/>
      <c r="BA15" s="453"/>
      <c r="BB15" s="31"/>
      <c r="BC15" s="31"/>
      <c r="BD15" s="31"/>
      <c r="BE15" s="31"/>
      <c r="BF15" s="31"/>
      <c r="BG15" s="453"/>
      <c r="BH15" s="31"/>
      <c r="BI15" s="31"/>
      <c r="BJ15" s="31"/>
      <c r="BK15" s="453"/>
      <c r="BL15" s="31"/>
      <c r="BM15" s="31"/>
      <c r="BN15" s="31"/>
      <c r="BO15" s="453"/>
      <c r="BP15" s="31"/>
      <c r="BQ15" s="31"/>
      <c r="BR15" s="31"/>
      <c r="BS15" s="453"/>
      <c r="BT15" s="31"/>
    </row>
    <row r="16" spans="1:72" ht="12.75">
      <c r="A16" s="452"/>
      <c r="B16" s="31"/>
      <c r="C16" s="451"/>
      <c r="E16" s="31"/>
      <c r="F16" s="31"/>
      <c r="G16" s="31"/>
      <c r="H16" s="31"/>
      <c r="I16" s="31"/>
      <c r="J16" s="31"/>
      <c r="K16" s="31"/>
      <c r="L16" s="31"/>
      <c r="M16" s="31"/>
      <c r="N16" s="450"/>
      <c r="O16" s="31"/>
      <c r="P16" s="31"/>
      <c r="Q16" s="450"/>
      <c r="AJ16" s="31"/>
      <c r="AK16" s="31"/>
      <c r="AL16" s="31"/>
      <c r="AM16" s="31"/>
      <c r="AN16" s="31"/>
      <c r="AO16" s="453"/>
      <c r="AP16" s="31"/>
      <c r="AQ16" s="31"/>
      <c r="AR16" s="31"/>
      <c r="AS16" s="453"/>
      <c r="AT16" s="31"/>
      <c r="AU16" s="31"/>
      <c r="AV16" s="31"/>
      <c r="AW16" s="453"/>
      <c r="AX16" s="31"/>
      <c r="AY16" s="31"/>
      <c r="AZ16" s="31"/>
      <c r="BA16" s="453"/>
      <c r="BB16" s="31"/>
      <c r="BC16" s="31"/>
      <c r="BD16" s="31"/>
      <c r="BE16" s="31"/>
      <c r="BF16" s="31"/>
      <c r="BG16" s="453"/>
      <c r="BH16" s="31"/>
      <c r="BI16" s="31"/>
      <c r="BJ16" s="31"/>
      <c r="BK16" s="453"/>
      <c r="BL16" s="31"/>
      <c r="BM16" s="31"/>
      <c r="BN16" s="31"/>
      <c r="BO16" s="453"/>
      <c r="BP16" s="31"/>
      <c r="BQ16" s="31"/>
      <c r="BR16" s="31"/>
      <c r="BS16" s="453"/>
      <c r="BT16" s="31"/>
    </row>
    <row r="17" spans="1:72" ht="12.75" customHeight="1">
      <c r="A17" s="452"/>
      <c r="B17" s="31"/>
      <c r="C17" s="791">
        <v>43312</v>
      </c>
      <c r="E17" s="31"/>
      <c r="F17" s="31"/>
      <c r="G17" s="31"/>
      <c r="H17" s="31"/>
      <c r="I17" s="31"/>
      <c r="J17" s="31"/>
      <c r="K17" s="31"/>
      <c r="L17" s="31"/>
      <c r="M17" s="31"/>
      <c r="N17" s="450"/>
      <c r="O17" s="31"/>
      <c r="P17" s="31"/>
      <c r="Q17" s="450"/>
      <c r="AJ17" s="31"/>
      <c r="AK17" s="31"/>
      <c r="AL17" s="31"/>
      <c r="AM17" s="31"/>
      <c r="AN17" s="31"/>
      <c r="AO17" s="453"/>
      <c r="AP17" s="31"/>
      <c r="AQ17" s="31"/>
      <c r="AR17" s="31"/>
      <c r="AS17" s="453"/>
      <c r="AT17" s="31"/>
      <c r="AU17" s="31"/>
      <c r="AV17" s="31"/>
      <c r="AW17" s="453"/>
      <c r="AX17" s="31"/>
      <c r="AY17" s="31"/>
      <c r="AZ17" s="31"/>
      <c r="BA17" s="453"/>
      <c r="BB17" s="31"/>
      <c r="BC17" s="31"/>
      <c r="BD17" s="31"/>
      <c r="BE17" s="31"/>
      <c r="BF17" s="31"/>
      <c r="BG17" s="453"/>
      <c r="BH17" s="31"/>
      <c r="BI17" s="31"/>
      <c r="BJ17" s="31"/>
      <c r="BK17" s="453"/>
      <c r="BL17" s="31"/>
      <c r="BM17" s="31"/>
      <c r="BN17" s="31"/>
      <c r="BO17" s="453"/>
      <c r="BP17" s="31"/>
      <c r="BQ17" s="31"/>
      <c r="BR17" s="31"/>
      <c r="BS17" s="453"/>
      <c r="BT17" s="31"/>
    </row>
    <row r="18" spans="1:72" ht="12.75">
      <c r="A18" s="452"/>
      <c r="B18" s="31"/>
      <c r="C18" s="792"/>
      <c r="E18" s="31"/>
      <c r="F18" s="31"/>
      <c r="G18" s="31"/>
      <c r="H18" s="31"/>
      <c r="I18" s="31"/>
      <c r="J18" s="31"/>
      <c r="K18" s="31"/>
      <c r="L18" s="31"/>
      <c r="M18" s="31"/>
      <c r="N18" s="450"/>
      <c r="O18" s="31"/>
      <c r="P18" s="31"/>
      <c r="Q18" s="450"/>
      <c r="AJ18" s="31"/>
      <c r="AK18" s="31"/>
      <c r="AL18" s="31"/>
      <c r="AM18" s="31"/>
      <c r="AN18" s="31"/>
      <c r="AO18" s="453"/>
      <c r="AP18" s="31"/>
      <c r="AQ18" s="31"/>
      <c r="AR18" s="31"/>
      <c r="AS18" s="453"/>
      <c r="AT18" s="31"/>
      <c r="AU18" s="31"/>
      <c r="AV18" s="31"/>
      <c r="AW18" s="453"/>
      <c r="AX18" s="31"/>
      <c r="AY18" s="31"/>
      <c r="AZ18" s="31"/>
      <c r="BA18" s="453"/>
      <c r="BB18" s="31"/>
      <c r="BC18" s="31"/>
      <c r="BD18" s="31"/>
      <c r="BE18" s="31"/>
      <c r="BF18" s="31"/>
      <c r="BG18" s="453"/>
      <c r="BH18" s="31"/>
      <c r="BI18" s="31"/>
      <c r="BJ18" s="31"/>
      <c r="BK18" s="453"/>
      <c r="BL18" s="31"/>
      <c r="BM18" s="31"/>
      <c r="BN18" s="31"/>
      <c r="BO18" s="453"/>
      <c r="BP18" s="31"/>
      <c r="BQ18" s="31"/>
      <c r="BR18" s="31"/>
      <c r="BS18" s="453"/>
      <c r="BT18" s="31"/>
    </row>
    <row r="19" spans="1:72" ht="18.75">
      <c r="A19" s="452"/>
      <c r="B19" s="31"/>
      <c r="C19" s="792"/>
      <c r="E19" s="31"/>
      <c r="F19" s="31"/>
      <c r="G19" s="31"/>
      <c r="H19" s="31"/>
      <c r="I19" s="31"/>
      <c r="J19" s="31"/>
      <c r="K19" s="31"/>
      <c r="L19" s="31"/>
      <c r="M19" s="31"/>
      <c r="N19" s="450"/>
      <c r="O19" s="31"/>
      <c r="P19" s="31"/>
      <c r="Q19" s="450"/>
      <c r="R19" s="515" t="s">
        <v>583</v>
      </c>
      <c r="S19" s="515"/>
      <c r="T19" s="463"/>
      <c r="U19" s="464"/>
      <c r="V19" s="465"/>
      <c r="W19" s="465"/>
      <c r="X19" s="465"/>
      <c r="Y19" s="464"/>
      <c r="Z19" s="465"/>
      <c r="AA19" s="465"/>
      <c r="AB19" s="465"/>
      <c r="AC19" s="464"/>
      <c r="AD19" s="465"/>
      <c r="AE19" s="465"/>
      <c r="AF19" s="465"/>
      <c r="AG19" s="527"/>
      <c r="AJ19" s="31"/>
      <c r="AK19" s="31"/>
      <c r="AL19" s="31"/>
      <c r="AM19" s="31"/>
      <c r="AN19" s="31"/>
      <c r="AO19" s="453"/>
      <c r="AP19" s="31"/>
      <c r="AQ19" s="31"/>
      <c r="AR19" s="31"/>
      <c r="AS19" s="453"/>
      <c r="AT19" s="31"/>
      <c r="AU19" s="31"/>
      <c r="AV19" s="31"/>
      <c r="AW19" s="453"/>
      <c r="AX19" s="31"/>
      <c r="AY19" s="31"/>
      <c r="AZ19" s="31"/>
      <c r="BA19" s="453"/>
      <c r="BB19" s="31"/>
      <c r="BC19" s="31"/>
      <c r="BD19" s="31"/>
      <c r="BE19" s="31"/>
      <c r="BF19" s="31"/>
      <c r="BG19" s="453"/>
      <c r="BH19" s="31"/>
      <c r="BI19" s="31"/>
      <c r="BJ19" s="31"/>
      <c r="BK19" s="453"/>
      <c r="BL19" s="31"/>
      <c r="BM19" s="31"/>
      <c r="BN19" s="31"/>
      <c r="BO19" s="453"/>
      <c r="BP19" s="31"/>
      <c r="BQ19" s="31"/>
      <c r="BR19" s="31"/>
      <c r="BS19" s="453"/>
      <c r="BT19" s="31"/>
    </row>
    <row r="20" spans="1:72" ht="12.75">
      <c r="A20" s="452"/>
      <c r="B20" s="31"/>
      <c r="C20" s="450"/>
      <c r="D20" s="450"/>
      <c r="E20" s="31"/>
      <c r="F20" s="31"/>
      <c r="G20" s="31"/>
      <c r="H20" s="31"/>
      <c r="I20" s="31"/>
      <c r="J20" s="31"/>
      <c r="K20" s="31"/>
      <c r="L20" s="31"/>
      <c r="M20" s="31"/>
      <c r="N20" s="450"/>
      <c r="O20" s="31"/>
      <c r="P20" s="31"/>
      <c r="Q20" s="450"/>
      <c r="AJ20" s="31"/>
      <c r="AK20" s="31"/>
      <c r="AL20" s="31"/>
      <c r="AM20" s="31"/>
      <c r="AN20" s="31"/>
      <c r="AO20" s="453"/>
      <c r="AP20" s="31"/>
      <c r="AQ20" s="31"/>
      <c r="AR20" s="31"/>
      <c r="AS20" s="453"/>
      <c r="AT20" s="31"/>
      <c r="AU20" s="31"/>
      <c r="AV20" s="31"/>
      <c r="AW20" s="453"/>
      <c r="AX20" s="31"/>
      <c r="AY20" s="31"/>
      <c r="AZ20" s="31"/>
      <c r="BA20" s="453"/>
      <c r="BB20" s="31"/>
      <c r="BC20" s="31"/>
      <c r="BD20" s="31"/>
      <c r="BE20" s="31"/>
      <c r="BF20" s="31"/>
      <c r="BG20" s="453"/>
      <c r="BH20" s="31"/>
      <c r="BI20" s="31"/>
      <c r="BJ20" s="31"/>
      <c r="BK20" s="453"/>
      <c r="BL20" s="31"/>
      <c r="BM20" s="31"/>
      <c r="BN20" s="31"/>
      <c r="BO20" s="453"/>
      <c r="BP20" s="31"/>
      <c r="BQ20" s="31"/>
      <c r="BR20" s="31"/>
      <c r="BS20" s="453"/>
      <c r="BT20" s="31"/>
    </row>
    <row r="21" spans="1:72" ht="13.5" thickBot="1">
      <c r="A21" s="452"/>
      <c r="B21" s="31"/>
      <c r="C21" s="31"/>
      <c r="D21" s="31"/>
      <c r="E21" s="31"/>
      <c r="F21" s="31"/>
      <c r="G21" s="31"/>
      <c r="H21" s="31"/>
      <c r="I21" s="31"/>
      <c r="J21" s="31"/>
      <c r="K21" s="31"/>
      <c r="L21" s="31"/>
      <c r="M21" s="31"/>
      <c r="N21" s="450"/>
      <c r="O21" s="31"/>
      <c r="P21" s="31"/>
      <c r="Q21" s="450"/>
      <c r="R21" s="516"/>
      <c r="S21" s="516"/>
      <c r="T21" s="450"/>
      <c r="U21" s="31"/>
      <c r="V21" s="450"/>
      <c r="W21" s="450"/>
      <c r="X21" s="450"/>
      <c r="Y21" s="31"/>
      <c r="Z21" s="450"/>
      <c r="AA21" s="450"/>
      <c r="AB21" s="450"/>
      <c r="AC21" s="31"/>
      <c r="AD21" s="450"/>
      <c r="AE21" s="450"/>
      <c r="AF21" s="450"/>
      <c r="AG21" s="528"/>
      <c r="AH21" s="528"/>
      <c r="AI21" s="450"/>
      <c r="AJ21" s="31"/>
      <c r="AK21" s="31"/>
      <c r="AL21" s="31"/>
      <c r="AM21" s="31"/>
      <c r="AN21" s="31"/>
      <c r="AO21" s="453"/>
      <c r="AP21" s="31"/>
      <c r="AQ21" s="31"/>
      <c r="AR21" s="31"/>
      <c r="AS21" s="453"/>
      <c r="AT21" s="31"/>
      <c r="AU21" s="31"/>
      <c r="AV21" s="31"/>
      <c r="AW21" s="453"/>
      <c r="AX21" s="31"/>
      <c r="AY21" s="31"/>
      <c r="AZ21" s="31"/>
      <c r="BA21" s="453"/>
      <c r="BB21" s="31"/>
      <c r="BC21" s="31"/>
      <c r="BD21" s="31"/>
      <c r="BE21" s="31"/>
      <c r="BF21" s="31"/>
      <c r="BG21" s="453"/>
      <c r="BH21" s="31"/>
      <c r="BI21" s="31"/>
      <c r="BJ21" s="31"/>
      <c r="BK21" s="453"/>
      <c r="BL21" s="31"/>
      <c r="BM21" s="31"/>
      <c r="BN21" s="31"/>
      <c r="BO21" s="453"/>
      <c r="BP21" s="31"/>
      <c r="BQ21" s="31"/>
      <c r="BR21" s="31"/>
      <c r="BS21" s="453"/>
      <c r="BT21" s="31"/>
    </row>
    <row r="22" spans="1:72" ht="12.75">
      <c r="A22" s="452"/>
      <c r="B22" s="31"/>
      <c r="C22" s="31"/>
      <c r="D22" s="31"/>
      <c r="E22" s="31"/>
      <c r="F22" s="31"/>
      <c r="G22" s="31"/>
      <c r="H22" s="31"/>
      <c r="I22" s="31"/>
      <c r="J22" s="31"/>
      <c r="K22" s="31"/>
      <c r="L22" s="31"/>
      <c r="M22" s="31"/>
      <c r="N22" s="450"/>
      <c r="O22" s="31"/>
      <c r="P22" s="31"/>
      <c r="Q22" s="450"/>
      <c r="R22" s="793" t="s">
        <v>325</v>
      </c>
      <c r="S22" s="794"/>
      <c r="T22" s="794"/>
      <c r="U22" s="795" t="s">
        <v>325</v>
      </c>
      <c r="V22" s="795"/>
      <c r="W22" s="795"/>
      <c r="X22" s="795"/>
      <c r="Y22" s="795" t="s">
        <v>326</v>
      </c>
      <c r="Z22" s="795"/>
      <c r="AA22" s="795"/>
      <c r="AB22" s="795"/>
      <c r="AC22" s="795" t="s">
        <v>327</v>
      </c>
      <c r="AD22" s="795"/>
      <c r="AE22" s="795"/>
      <c r="AF22" s="795"/>
      <c r="AG22" s="796" t="s">
        <v>337</v>
      </c>
      <c r="AH22" s="796"/>
      <c r="AI22" s="797"/>
      <c r="AJ22" s="767"/>
      <c r="AK22" s="767"/>
      <c r="AL22" s="767"/>
      <c r="AM22" s="767"/>
      <c r="AN22" s="767"/>
      <c r="AO22" s="767"/>
      <c r="AP22" s="767"/>
      <c r="AQ22" s="767"/>
      <c r="AR22" s="767"/>
      <c r="AS22" s="767"/>
      <c r="AT22" s="767"/>
      <c r="AU22" s="767"/>
      <c r="AV22" s="767"/>
      <c r="AW22" s="767"/>
      <c r="AX22" s="767"/>
      <c r="AY22" s="767"/>
      <c r="AZ22" s="767"/>
      <c r="BA22" s="768"/>
      <c r="BB22" s="767"/>
      <c r="BC22" s="767"/>
      <c r="BD22" s="767"/>
      <c r="BE22" s="767"/>
      <c r="BF22" s="767"/>
      <c r="BG22" s="767"/>
      <c r="BH22" s="767"/>
      <c r="BI22" s="767"/>
      <c r="BJ22" s="767"/>
      <c r="BK22" s="767"/>
      <c r="BL22" s="767"/>
      <c r="BM22" s="767"/>
      <c r="BN22" s="767"/>
      <c r="BO22" s="767"/>
      <c r="BP22" s="767"/>
      <c r="BQ22" s="767"/>
      <c r="BR22" s="767"/>
      <c r="BS22" s="768"/>
      <c r="BT22" s="767"/>
    </row>
    <row r="23" spans="1:80" ht="26.25" thickBot="1">
      <c r="A23" s="452"/>
      <c r="B23" s="31"/>
      <c r="C23" s="31"/>
      <c r="D23" s="31"/>
      <c r="E23" s="31"/>
      <c r="F23" s="31"/>
      <c r="G23" s="31"/>
      <c r="H23" s="31"/>
      <c r="I23" s="31"/>
      <c r="J23" s="31"/>
      <c r="K23" s="31"/>
      <c r="L23" s="31"/>
      <c r="M23" s="31"/>
      <c r="N23" s="450"/>
      <c r="O23" s="31"/>
      <c r="P23" s="31"/>
      <c r="Q23" s="450"/>
      <c r="R23" s="517" t="s">
        <v>335</v>
      </c>
      <c r="S23" s="518" t="s">
        <v>334</v>
      </c>
      <c r="T23" s="497" t="s">
        <v>336</v>
      </c>
      <c r="U23" s="498" t="s">
        <v>335</v>
      </c>
      <c r="V23" s="498" t="s">
        <v>332</v>
      </c>
      <c r="W23" s="498" t="s">
        <v>334</v>
      </c>
      <c r="X23" s="498" t="s">
        <v>336</v>
      </c>
      <c r="Y23" s="498" t="s">
        <v>335</v>
      </c>
      <c r="Z23" s="498" t="s">
        <v>332</v>
      </c>
      <c r="AA23" s="498" t="s">
        <v>334</v>
      </c>
      <c r="AB23" s="498" t="s">
        <v>336</v>
      </c>
      <c r="AC23" s="498" t="s">
        <v>335</v>
      </c>
      <c r="AD23" s="498" t="s">
        <v>332</v>
      </c>
      <c r="AE23" s="498" t="s">
        <v>334</v>
      </c>
      <c r="AF23" s="498" t="s">
        <v>336</v>
      </c>
      <c r="AG23" s="529" t="s">
        <v>335</v>
      </c>
      <c r="AH23" s="529" t="s">
        <v>334</v>
      </c>
      <c r="AI23" s="769" t="s">
        <v>336</v>
      </c>
      <c r="AJ23" s="770"/>
      <c r="AK23" s="798" t="s">
        <v>465</v>
      </c>
      <c r="AL23" s="798"/>
      <c r="AM23" s="798"/>
      <c r="AN23" s="798"/>
      <c r="AO23" s="798"/>
      <c r="AP23" s="798"/>
      <c r="AQ23" s="798"/>
      <c r="AR23" s="798"/>
      <c r="AS23" s="798"/>
      <c r="AT23" s="798"/>
      <c r="AU23" s="798"/>
      <c r="AV23" s="798"/>
      <c r="AW23" s="798"/>
      <c r="AX23" s="798"/>
      <c r="AY23" s="799" t="s">
        <v>324</v>
      </c>
      <c r="AZ23" s="799"/>
      <c r="BA23" s="799"/>
      <c r="BB23" s="770"/>
      <c r="BC23" s="798" t="s">
        <v>465</v>
      </c>
      <c r="BD23" s="798"/>
      <c r="BE23" s="798"/>
      <c r="BF23" s="798"/>
      <c r="BG23" s="798"/>
      <c r="BH23" s="798"/>
      <c r="BI23" s="798"/>
      <c r="BJ23" s="798"/>
      <c r="BK23" s="798"/>
      <c r="BL23" s="798"/>
      <c r="BM23" s="798"/>
      <c r="BN23" s="798"/>
      <c r="BO23" s="798"/>
      <c r="BP23" s="798"/>
      <c r="BQ23" s="799" t="s">
        <v>325</v>
      </c>
      <c r="BR23" s="799"/>
      <c r="BS23" s="799"/>
      <c r="BT23" s="770"/>
      <c r="BU23" s="745" t="s">
        <v>582</v>
      </c>
      <c r="BV23" s="751" t="s">
        <v>575</v>
      </c>
      <c r="BW23" s="751" t="s">
        <v>576</v>
      </c>
      <c r="BX23" s="751" t="s">
        <v>577</v>
      </c>
      <c r="BY23" s="751" t="s">
        <v>578</v>
      </c>
      <c r="BZ23" s="751" t="s">
        <v>579</v>
      </c>
      <c r="CA23" s="751" t="s">
        <v>580</v>
      </c>
      <c r="CB23" s="751" t="s">
        <v>333</v>
      </c>
    </row>
    <row r="24" spans="1:80" ht="32.25" customHeight="1" thickBot="1">
      <c r="A24" s="540"/>
      <c r="B24" s="541"/>
      <c r="C24" s="542"/>
      <c r="D24" s="543"/>
      <c r="E24" s="543"/>
      <c r="F24" s="544"/>
      <c r="G24" s="544"/>
      <c r="H24" s="544"/>
      <c r="I24" s="545" t="s">
        <v>362</v>
      </c>
      <c r="J24" s="546" t="s">
        <v>359</v>
      </c>
      <c r="K24" s="546" t="s">
        <v>360</v>
      </c>
      <c r="L24" s="546" t="s">
        <v>361</v>
      </c>
      <c r="M24" s="545" t="s">
        <v>363</v>
      </c>
      <c r="N24" s="545" t="s">
        <v>364</v>
      </c>
      <c r="O24" s="489" t="s">
        <v>362</v>
      </c>
      <c r="P24" s="489" t="s">
        <v>363</v>
      </c>
      <c r="Q24" s="490" t="s">
        <v>364</v>
      </c>
      <c r="R24" s="519" t="s">
        <v>322</v>
      </c>
      <c r="S24" s="520" t="s">
        <v>322</v>
      </c>
      <c r="T24" s="502" t="s">
        <v>333</v>
      </c>
      <c r="U24" s="503" t="s">
        <v>60</v>
      </c>
      <c r="V24" s="504" t="s">
        <v>142</v>
      </c>
      <c r="W24" s="503" t="s">
        <v>60</v>
      </c>
      <c r="X24" s="505" t="s">
        <v>333</v>
      </c>
      <c r="Y24" s="503" t="s">
        <v>60</v>
      </c>
      <c r="Z24" s="504" t="s">
        <v>142</v>
      </c>
      <c r="AA24" s="503" t="s">
        <v>60</v>
      </c>
      <c r="AB24" s="505" t="s">
        <v>333</v>
      </c>
      <c r="AC24" s="503" t="s">
        <v>60</v>
      </c>
      <c r="AD24" s="504" t="s">
        <v>142</v>
      </c>
      <c r="AE24" s="503" t="s">
        <v>60</v>
      </c>
      <c r="AF24" s="505" t="s">
        <v>333</v>
      </c>
      <c r="AG24" s="530" t="s">
        <v>322</v>
      </c>
      <c r="AH24" s="530" t="s">
        <v>322</v>
      </c>
      <c r="AI24" s="771" t="s">
        <v>333</v>
      </c>
      <c r="AJ24" s="772"/>
      <c r="AK24" s="772" t="s">
        <v>338</v>
      </c>
      <c r="AL24" s="772" t="s">
        <v>339</v>
      </c>
      <c r="AM24" s="772" t="s">
        <v>340</v>
      </c>
      <c r="AN24" s="772" t="s">
        <v>340</v>
      </c>
      <c r="AO24" s="772" t="s">
        <v>30</v>
      </c>
      <c r="AP24" s="772" t="s">
        <v>341</v>
      </c>
      <c r="AQ24" s="772" t="s">
        <v>342</v>
      </c>
      <c r="AR24" s="772" t="s">
        <v>343</v>
      </c>
      <c r="AS24" s="772" t="s">
        <v>31</v>
      </c>
      <c r="AT24" s="772" t="s">
        <v>344</v>
      </c>
      <c r="AU24" s="772" t="s">
        <v>345</v>
      </c>
      <c r="AV24" s="772" t="s">
        <v>346</v>
      </c>
      <c r="AW24" s="772" t="s">
        <v>32</v>
      </c>
      <c r="AX24" s="772" t="s">
        <v>347</v>
      </c>
      <c r="AY24" s="772" t="s">
        <v>348</v>
      </c>
      <c r="AZ24" s="772" t="s">
        <v>349</v>
      </c>
      <c r="BA24" s="772" t="s">
        <v>33</v>
      </c>
      <c r="BB24" s="772"/>
      <c r="BC24" s="772" t="s">
        <v>562</v>
      </c>
      <c r="BD24" s="772" t="s">
        <v>563</v>
      </c>
      <c r="BE24" s="772" t="s">
        <v>564</v>
      </c>
      <c r="BF24" s="772" t="s">
        <v>564</v>
      </c>
      <c r="BG24" s="772" t="s">
        <v>30</v>
      </c>
      <c r="BH24" s="772" t="s">
        <v>565</v>
      </c>
      <c r="BI24" s="772" t="s">
        <v>566</v>
      </c>
      <c r="BJ24" s="772" t="s">
        <v>567</v>
      </c>
      <c r="BK24" s="772" t="s">
        <v>31</v>
      </c>
      <c r="BL24" s="772" t="s">
        <v>568</v>
      </c>
      <c r="BM24" s="772" t="s">
        <v>569</v>
      </c>
      <c r="BN24" s="772" t="s">
        <v>570</v>
      </c>
      <c r="BO24" s="772" t="s">
        <v>32</v>
      </c>
      <c r="BP24" s="772" t="s">
        <v>571</v>
      </c>
      <c r="BQ24" s="772" t="s">
        <v>572</v>
      </c>
      <c r="BR24" s="772" t="s">
        <v>573</v>
      </c>
      <c r="BS24" s="772" t="s">
        <v>33</v>
      </c>
      <c r="BT24" s="772"/>
      <c r="BU24" s="746"/>
      <c r="BV24" s="750"/>
      <c r="BW24" s="750"/>
      <c r="BX24" s="750"/>
      <c r="BY24" s="750"/>
      <c r="BZ24" s="750"/>
      <c r="CA24" s="750"/>
      <c r="CB24" s="750"/>
    </row>
    <row r="25" spans="1:80" ht="26.25" thickBot="1">
      <c r="A25" s="547"/>
      <c r="B25" s="548"/>
      <c r="C25" s="549" t="s">
        <v>356</v>
      </c>
      <c r="D25" s="550" t="s">
        <v>357</v>
      </c>
      <c r="E25" s="550" t="s">
        <v>358</v>
      </c>
      <c r="F25" s="551" t="s">
        <v>359</v>
      </c>
      <c r="G25" s="551" t="s">
        <v>360</v>
      </c>
      <c r="H25" s="551" t="s">
        <v>361</v>
      </c>
      <c r="I25" s="552" t="s">
        <v>365</v>
      </c>
      <c r="J25" s="553"/>
      <c r="K25" s="553"/>
      <c r="L25" s="553"/>
      <c r="M25" s="552" t="s">
        <v>365</v>
      </c>
      <c r="N25" s="552" t="s">
        <v>366</v>
      </c>
      <c r="O25" s="491" t="s">
        <v>365</v>
      </c>
      <c r="P25" s="491" t="s">
        <v>365</v>
      </c>
      <c r="Q25" s="492" t="s">
        <v>366</v>
      </c>
      <c r="R25" s="521"/>
      <c r="S25" s="522"/>
      <c r="T25" s="493"/>
      <c r="U25" s="494"/>
      <c r="V25" s="495"/>
      <c r="W25" s="495"/>
      <c r="X25" s="496"/>
      <c r="Y25" s="494"/>
      <c r="Z25" s="495"/>
      <c r="AA25" s="495"/>
      <c r="AB25" s="496"/>
      <c r="AC25" s="494"/>
      <c r="AD25" s="495"/>
      <c r="AE25" s="495"/>
      <c r="AF25" s="496"/>
      <c r="AG25" s="531"/>
      <c r="AH25" s="532"/>
      <c r="AI25" s="773"/>
      <c r="AJ25" s="774"/>
      <c r="AK25" s="774"/>
      <c r="AL25" s="774"/>
      <c r="AM25" s="774"/>
      <c r="AN25" s="774"/>
      <c r="AO25" s="774"/>
      <c r="AP25" s="774"/>
      <c r="AQ25" s="774"/>
      <c r="AR25" s="774"/>
      <c r="AS25" s="774"/>
      <c r="AT25" s="774"/>
      <c r="AU25" s="774"/>
      <c r="AV25" s="774"/>
      <c r="AW25" s="774"/>
      <c r="AX25" s="774"/>
      <c r="AY25" s="774"/>
      <c r="AZ25" s="774"/>
      <c r="BA25" s="774"/>
      <c r="BB25" s="774"/>
      <c r="BC25" s="774"/>
      <c r="BD25" s="774"/>
      <c r="BE25" s="774"/>
      <c r="BF25" s="774"/>
      <c r="BG25" s="774"/>
      <c r="BH25" s="774"/>
      <c r="BI25" s="774"/>
      <c r="BJ25" s="774"/>
      <c r="BK25" s="774"/>
      <c r="BL25" s="774"/>
      <c r="BM25" s="774"/>
      <c r="BN25" s="774"/>
      <c r="BO25" s="774"/>
      <c r="BP25" s="774"/>
      <c r="BQ25" s="774"/>
      <c r="BR25" s="774"/>
      <c r="BS25" s="774"/>
      <c r="BT25" s="774"/>
      <c r="BU25" s="746"/>
      <c r="BV25" s="750"/>
      <c r="BW25" s="750"/>
      <c r="BX25" s="750"/>
      <c r="BY25" s="750"/>
      <c r="BZ25" s="750"/>
      <c r="CA25" s="750"/>
      <c r="CB25" s="750"/>
    </row>
    <row r="26" spans="1:80" s="456" customFormat="1" ht="13.5" thickBot="1">
      <c r="A26" s="554" t="s">
        <v>63</v>
      </c>
      <c r="B26" s="548" t="s">
        <v>355</v>
      </c>
      <c r="C26" s="549" t="s">
        <v>356</v>
      </c>
      <c r="D26" s="550"/>
      <c r="E26" s="555"/>
      <c r="F26" s="551"/>
      <c r="G26" s="551"/>
      <c r="H26" s="551"/>
      <c r="I26" s="556" t="s">
        <v>322</v>
      </c>
      <c r="J26" s="556" t="s">
        <v>322</v>
      </c>
      <c r="K26" s="556" t="s">
        <v>322</v>
      </c>
      <c r="L26" s="556" t="s">
        <v>322</v>
      </c>
      <c r="M26" s="556" t="s">
        <v>322</v>
      </c>
      <c r="N26" s="556" t="s">
        <v>322</v>
      </c>
      <c r="O26" s="506" t="s">
        <v>60</v>
      </c>
      <c r="P26" s="506" t="s">
        <v>60</v>
      </c>
      <c r="Q26" s="506" t="s">
        <v>60</v>
      </c>
      <c r="R26" s="523"/>
      <c r="S26" s="523"/>
      <c r="T26" s="507"/>
      <c r="U26" s="508"/>
      <c r="V26" s="508"/>
      <c r="W26" s="508"/>
      <c r="X26" s="508"/>
      <c r="Y26" s="508"/>
      <c r="Z26" s="508"/>
      <c r="AA26" s="508"/>
      <c r="AB26" s="508"/>
      <c r="AC26" s="508"/>
      <c r="AD26" s="508"/>
      <c r="AE26" s="508"/>
      <c r="AF26" s="508"/>
      <c r="AG26" s="533"/>
      <c r="AH26" s="533"/>
      <c r="AI26" s="775"/>
      <c r="AJ26" s="776"/>
      <c r="AK26" s="144">
        <v>2016010</v>
      </c>
      <c r="AL26" s="776">
        <v>2016011</v>
      </c>
      <c r="AM26" s="776">
        <v>2016012</v>
      </c>
      <c r="AN26" s="776">
        <v>2016013</v>
      </c>
      <c r="AO26" s="144"/>
      <c r="AP26" s="144">
        <v>2017001</v>
      </c>
      <c r="AQ26" s="144">
        <v>2017002</v>
      </c>
      <c r="AR26" s="144">
        <v>2017003</v>
      </c>
      <c r="AS26" s="776"/>
      <c r="AT26" s="144">
        <v>2017004</v>
      </c>
      <c r="AU26" s="144">
        <v>2017005</v>
      </c>
      <c r="AV26" s="144">
        <v>2017006</v>
      </c>
      <c r="AW26" s="776"/>
      <c r="AX26" s="144">
        <v>2017007</v>
      </c>
      <c r="AY26" s="144">
        <v>2017008</v>
      </c>
      <c r="AZ26" s="144">
        <v>2017009</v>
      </c>
      <c r="BA26" s="776"/>
      <c r="BB26" s="776"/>
      <c r="BC26" s="144">
        <v>2017010</v>
      </c>
      <c r="BD26" s="776">
        <v>2017011</v>
      </c>
      <c r="BE26" s="776">
        <v>2017012</v>
      </c>
      <c r="BF26" s="776">
        <v>2017013</v>
      </c>
      <c r="BG26" s="144"/>
      <c r="BH26" s="144">
        <v>2018001</v>
      </c>
      <c r="BI26" s="144">
        <v>2018002</v>
      </c>
      <c r="BJ26" s="144">
        <v>2018003</v>
      </c>
      <c r="BK26" s="776"/>
      <c r="BL26" s="144">
        <v>2018004</v>
      </c>
      <c r="BM26" s="144">
        <v>2018005</v>
      </c>
      <c r="BN26" s="144">
        <v>2018006</v>
      </c>
      <c r="BO26" s="776"/>
      <c r="BP26" s="144">
        <v>2018007</v>
      </c>
      <c r="BQ26" s="144">
        <v>2018008</v>
      </c>
      <c r="BR26" s="144">
        <v>2018009</v>
      </c>
      <c r="BS26" s="776"/>
      <c r="BT26" s="776"/>
      <c r="BU26" s="747"/>
      <c r="BV26" s="751"/>
      <c r="BW26" s="751"/>
      <c r="BX26" s="751"/>
      <c r="BY26" s="751"/>
      <c r="BZ26" s="751"/>
      <c r="CA26" s="751"/>
      <c r="CB26" s="751"/>
    </row>
    <row r="27" spans="1:80" s="459" customFormat="1" ht="24.75" thickBot="1">
      <c r="A27" s="557"/>
      <c r="B27" s="558" t="s">
        <v>1</v>
      </c>
      <c r="C27" s="559" t="s">
        <v>468</v>
      </c>
      <c r="D27" s="560"/>
      <c r="E27" s="560"/>
      <c r="F27" s="561"/>
      <c r="G27" s="561"/>
      <c r="H27" s="561"/>
      <c r="I27" s="561"/>
      <c r="J27" s="561"/>
      <c r="K27" s="561"/>
      <c r="L27" s="561"/>
      <c r="M27" s="561"/>
      <c r="N27" s="561"/>
      <c r="O27" s="499" t="s">
        <v>467</v>
      </c>
      <c r="P27" s="499" t="s">
        <v>467</v>
      </c>
      <c r="Q27" s="499" t="s">
        <v>467</v>
      </c>
      <c r="R27" s="524" t="s">
        <v>466</v>
      </c>
      <c r="S27" s="524" t="s">
        <v>466</v>
      </c>
      <c r="T27" s="500" t="s">
        <v>333</v>
      </c>
      <c r="U27" s="501"/>
      <c r="V27" s="501"/>
      <c r="W27" s="501"/>
      <c r="X27" s="501"/>
      <c r="Y27" s="501"/>
      <c r="Z27" s="501"/>
      <c r="AA27" s="501"/>
      <c r="AB27" s="501"/>
      <c r="AC27" s="501"/>
      <c r="AD27" s="501"/>
      <c r="AE27" s="501"/>
      <c r="AF27" s="501"/>
      <c r="AG27" s="534" t="s">
        <v>466</v>
      </c>
      <c r="AH27" s="534" t="s">
        <v>466</v>
      </c>
      <c r="AI27" s="775" t="s">
        <v>333</v>
      </c>
      <c r="AJ27" s="777"/>
      <c r="AK27" s="777" t="s">
        <v>466</v>
      </c>
      <c r="AL27" s="777" t="s">
        <v>466</v>
      </c>
      <c r="AM27" s="777" t="s">
        <v>466</v>
      </c>
      <c r="AN27" s="777" t="s">
        <v>466</v>
      </c>
      <c r="AO27" s="777" t="s">
        <v>466</v>
      </c>
      <c r="AP27" s="777" t="s">
        <v>466</v>
      </c>
      <c r="AQ27" s="777" t="s">
        <v>466</v>
      </c>
      <c r="AR27" s="777" t="s">
        <v>466</v>
      </c>
      <c r="AS27" s="777" t="s">
        <v>466</v>
      </c>
      <c r="AT27" s="777" t="s">
        <v>466</v>
      </c>
      <c r="AU27" s="777" t="s">
        <v>466</v>
      </c>
      <c r="AV27" s="777" t="s">
        <v>466</v>
      </c>
      <c r="AW27" s="777" t="s">
        <v>466</v>
      </c>
      <c r="AX27" s="777" t="s">
        <v>466</v>
      </c>
      <c r="AY27" s="777" t="s">
        <v>466</v>
      </c>
      <c r="AZ27" s="777" t="s">
        <v>466</v>
      </c>
      <c r="BA27" s="777" t="s">
        <v>466</v>
      </c>
      <c r="BB27" s="777" t="s">
        <v>466</v>
      </c>
      <c r="BC27" s="777" t="s">
        <v>466</v>
      </c>
      <c r="BD27" s="777" t="s">
        <v>466</v>
      </c>
      <c r="BE27" s="777" t="s">
        <v>466</v>
      </c>
      <c r="BF27" s="777" t="s">
        <v>466</v>
      </c>
      <c r="BG27" s="777" t="s">
        <v>466</v>
      </c>
      <c r="BH27" s="777" t="s">
        <v>466</v>
      </c>
      <c r="BI27" s="777" t="s">
        <v>466</v>
      </c>
      <c r="BJ27" s="777" t="s">
        <v>466</v>
      </c>
      <c r="BK27" s="777" t="s">
        <v>466</v>
      </c>
      <c r="BL27" s="777" t="s">
        <v>466</v>
      </c>
      <c r="BM27" s="777" t="s">
        <v>466</v>
      </c>
      <c r="BN27" s="777" t="s">
        <v>466</v>
      </c>
      <c r="BO27" s="777" t="s">
        <v>466</v>
      </c>
      <c r="BP27" s="777" t="s">
        <v>466</v>
      </c>
      <c r="BQ27" s="777" t="s">
        <v>466</v>
      </c>
      <c r="BR27" s="777" t="s">
        <v>466</v>
      </c>
      <c r="BS27" s="777" t="s">
        <v>466</v>
      </c>
      <c r="BT27" s="777" t="s">
        <v>466</v>
      </c>
      <c r="BU27" s="748"/>
      <c r="BV27" s="752"/>
      <c r="BW27" s="752"/>
      <c r="BX27" s="752"/>
      <c r="BY27" s="752"/>
      <c r="BZ27" s="752"/>
      <c r="CA27" s="752"/>
      <c r="CB27" s="752"/>
    </row>
    <row r="28" spans="1:80" s="459" customFormat="1" ht="23.25" thickBot="1">
      <c r="A28" s="562" t="s">
        <v>64</v>
      </c>
      <c r="B28" s="800" t="s">
        <v>469</v>
      </c>
      <c r="C28" s="563" t="s">
        <v>470</v>
      </c>
      <c r="D28" s="564" t="s">
        <v>471</v>
      </c>
      <c r="E28" s="565" t="s">
        <v>472</v>
      </c>
      <c r="F28" s="566">
        <v>50</v>
      </c>
      <c r="G28" s="567">
        <v>5</v>
      </c>
      <c r="H28" s="566">
        <v>2</v>
      </c>
      <c r="I28" s="568">
        <f aca="true" t="shared" si="0" ref="I28:I33">F28*G28*H28</f>
        <v>500</v>
      </c>
      <c r="J28" s="569"/>
      <c r="K28" s="569"/>
      <c r="L28" s="569"/>
      <c r="M28" s="568">
        <f aca="true" t="shared" si="1" ref="M28:M37">J28*K28*L28</f>
        <v>0</v>
      </c>
      <c r="N28" s="568">
        <f>I28+M28</f>
        <v>500</v>
      </c>
      <c r="O28" s="536">
        <f>I28/$C$4</f>
        <v>384.6153846153846</v>
      </c>
      <c r="P28" s="536">
        <f>M28/$C$4</f>
        <v>0</v>
      </c>
      <c r="Q28" s="536">
        <f>O28+P28</f>
        <v>384.6153846153846</v>
      </c>
      <c r="R28" s="525">
        <f>BG28+BK28+BO28+BS28</f>
        <v>0</v>
      </c>
      <c r="S28" s="525">
        <f>M28-R28</f>
        <v>0</v>
      </c>
      <c r="T28" s="475" t="e">
        <f>R28/M28</f>
        <v>#DIV/0!</v>
      </c>
      <c r="U28" s="476"/>
      <c r="V28" s="476"/>
      <c r="W28" s="476"/>
      <c r="X28" s="476"/>
      <c r="Y28" s="476"/>
      <c r="Z28" s="476"/>
      <c r="AA28" s="476"/>
      <c r="AB28" s="476"/>
      <c r="AC28" s="476"/>
      <c r="AD28" s="476"/>
      <c r="AE28" s="476"/>
      <c r="AF28" s="476"/>
      <c r="AG28" s="535">
        <f>AO28+AS28+AW28+BA28+BG28+BK28+BO28+BS28</f>
        <v>511.03</v>
      </c>
      <c r="AH28" s="535">
        <f>N28-AG28</f>
        <v>-11.029999999999973</v>
      </c>
      <c r="AI28" s="477">
        <f>AG28/N28</f>
        <v>1.02206</v>
      </c>
      <c r="AJ28" s="461"/>
      <c r="AK28" s="511">
        <v>0</v>
      </c>
      <c r="AL28" s="511">
        <v>0</v>
      </c>
      <c r="AM28" s="511">
        <v>0</v>
      </c>
      <c r="AN28" s="511">
        <v>0</v>
      </c>
      <c r="AO28" s="512">
        <f>SUM(AK28:AN28)</f>
        <v>0</v>
      </c>
      <c r="AP28" s="511">
        <v>0</v>
      </c>
      <c r="AQ28" s="511">
        <v>0</v>
      </c>
      <c r="AR28" s="511">
        <v>0</v>
      </c>
      <c r="AS28" s="512">
        <f>SUM(AP28:AR28)</f>
        <v>0</v>
      </c>
      <c r="AT28" s="511">
        <v>0</v>
      </c>
      <c r="AU28" s="511">
        <v>0</v>
      </c>
      <c r="AV28" s="511">
        <v>0</v>
      </c>
      <c r="AW28" s="512">
        <f>SUM(AT28:AV28)</f>
        <v>0</v>
      </c>
      <c r="AX28" s="511">
        <v>411.02</v>
      </c>
      <c r="AY28" s="511">
        <v>0</v>
      </c>
      <c r="AZ28" s="511">
        <v>100.01</v>
      </c>
      <c r="BA28" s="512">
        <f>SUM(AX28:AZ28)</f>
        <v>511.03</v>
      </c>
      <c r="BB28" s="513"/>
      <c r="BC28" s="511">
        <v>0</v>
      </c>
      <c r="BD28" s="511">
        <v>0</v>
      </c>
      <c r="BE28" s="511">
        <v>0</v>
      </c>
      <c r="BF28" s="511">
        <v>0</v>
      </c>
      <c r="BG28" s="512">
        <f aca="true" t="shared" si="2" ref="BG28:BG39">SUM(BC28:BF28)</f>
        <v>0</v>
      </c>
      <c r="BH28" s="511">
        <v>0</v>
      </c>
      <c r="BI28" s="511">
        <v>0</v>
      </c>
      <c r="BJ28" s="511">
        <v>0</v>
      </c>
      <c r="BK28" s="512">
        <f aca="true" t="shared" si="3" ref="BK28:BK39">SUM(BH28:BJ28)</f>
        <v>0</v>
      </c>
      <c r="BL28" s="511">
        <v>0</v>
      </c>
      <c r="BM28" s="511">
        <v>0</v>
      </c>
      <c r="BN28" s="511">
        <v>0</v>
      </c>
      <c r="BO28" s="512">
        <f aca="true" t="shared" si="4" ref="BO28:BO39">SUM(BL28:BN28)</f>
        <v>0</v>
      </c>
      <c r="BP28" s="511">
        <v>0</v>
      </c>
      <c r="BQ28" s="511">
        <v>0</v>
      </c>
      <c r="BR28" s="511">
        <v>0</v>
      </c>
      <c r="BS28" s="512">
        <f aca="true" t="shared" si="5" ref="BS28:BS39">SUM(BP28:BR28)</f>
        <v>0</v>
      </c>
      <c r="BT28" s="513"/>
      <c r="BU28" s="748">
        <f>0-11</f>
        <v>-11</v>
      </c>
      <c r="BV28" s="753">
        <v>0</v>
      </c>
      <c r="BW28" s="753">
        <v>0</v>
      </c>
      <c r="BX28" s="753">
        <v>0</v>
      </c>
      <c r="BY28" s="753">
        <v>0</v>
      </c>
      <c r="BZ28" s="753">
        <v>0</v>
      </c>
      <c r="CA28" s="753">
        <f>BV28+BW28+BX28+BY28+BZ28</f>
        <v>0</v>
      </c>
      <c r="CB28" s="754">
        <f>CA28/BU28</f>
        <v>0</v>
      </c>
    </row>
    <row r="29" spans="1:80" s="460" customFormat="1" ht="24.75" thickBot="1">
      <c r="A29" s="570" t="s">
        <v>473</v>
      </c>
      <c r="B29" s="801"/>
      <c r="C29" s="571" t="s">
        <v>474</v>
      </c>
      <c r="D29" s="564" t="s">
        <v>471</v>
      </c>
      <c r="E29" s="470" t="s">
        <v>472</v>
      </c>
      <c r="F29" s="572">
        <v>150</v>
      </c>
      <c r="G29" s="573">
        <v>30</v>
      </c>
      <c r="H29" s="572">
        <v>2</v>
      </c>
      <c r="I29" s="574">
        <f t="shared" si="0"/>
        <v>9000</v>
      </c>
      <c r="J29" s="575"/>
      <c r="K29" s="575"/>
      <c r="L29" s="575"/>
      <c r="M29" s="576">
        <f t="shared" si="1"/>
        <v>0</v>
      </c>
      <c r="N29" s="574">
        <f>M29+I29</f>
        <v>9000</v>
      </c>
      <c r="O29" s="536">
        <f aca="true" t="shared" si="6" ref="O29:O92">I29/$C$4</f>
        <v>6923.076923076923</v>
      </c>
      <c r="P29" s="536">
        <f aca="true" t="shared" si="7" ref="P29:P92">M29/$C$4</f>
        <v>0</v>
      </c>
      <c r="Q29" s="536">
        <f aca="true" t="shared" si="8" ref="Q29:Q92">O29+P29</f>
        <v>6923.076923076923</v>
      </c>
      <c r="R29" s="525">
        <f>BG29+BK29+BO29+BS29</f>
        <v>1915</v>
      </c>
      <c r="S29" s="525">
        <f>M29-R29</f>
        <v>-1915</v>
      </c>
      <c r="T29" s="475" t="e">
        <f>R29/M29</f>
        <v>#DIV/0!</v>
      </c>
      <c r="U29" s="476"/>
      <c r="V29" s="476"/>
      <c r="W29" s="476"/>
      <c r="X29" s="476"/>
      <c r="Y29" s="476"/>
      <c r="Z29" s="476"/>
      <c r="AA29" s="476"/>
      <c r="AB29" s="476"/>
      <c r="AC29" s="476"/>
      <c r="AD29" s="476"/>
      <c r="AE29" s="476"/>
      <c r="AF29" s="476"/>
      <c r="AG29" s="535">
        <f>AO29+AS29+AW29+BA29+BG29+BK29+BO29+BS29</f>
        <v>6878.97</v>
      </c>
      <c r="AH29" s="535">
        <f>N29-AG29</f>
        <v>2121.0299999999997</v>
      </c>
      <c r="AI29" s="477">
        <f aca="true" t="shared" si="9" ref="AI29:AI92">AG29/N29</f>
        <v>0.7643300000000001</v>
      </c>
      <c r="AJ29" s="461"/>
      <c r="AK29" s="511">
        <v>0</v>
      </c>
      <c r="AL29" s="511">
        <v>0</v>
      </c>
      <c r="AM29" s="511">
        <v>0</v>
      </c>
      <c r="AN29" s="511">
        <v>0</v>
      </c>
      <c r="AO29" s="512">
        <f aca="true" t="shared" si="10" ref="AO29:AO92">SUM(AK29:AN29)</f>
        <v>0</v>
      </c>
      <c r="AP29" s="511">
        <v>0</v>
      </c>
      <c r="AQ29" s="511">
        <v>0</v>
      </c>
      <c r="AR29" s="511">
        <v>0</v>
      </c>
      <c r="AS29" s="512">
        <f aca="true" t="shared" si="11" ref="AS29:AS92">SUM(AP29:AR29)</f>
        <v>0</v>
      </c>
      <c r="AT29" s="511">
        <v>0</v>
      </c>
      <c r="AU29" s="511">
        <v>0</v>
      </c>
      <c r="AV29" s="511">
        <v>0</v>
      </c>
      <c r="AW29" s="512">
        <f aca="true" t="shared" si="12" ref="AW29:AW92">SUM(AT29:AV29)</f>
        <v>0</v>
      </c>
      <c r="AX29" s="511">
        <v>0</v>
      </c>
      <c r="AY29" s="511">
        <v>879.97</v>
      </c>
      <c r="AZ29" s="511">
        <v>4084</v>
      </c>
      <c r="BA29" s="512">
        <f aca="true" t="shared" si="13" ref="BA29:BA92">SUM(AX29:AZ29)</f>
        <v>4963.97</v>
      </c>
      <c r="BB29" s="513"/>
      <c r="BC29" s="511">
        <v>0</v>
      </c>
      <c r="BD29" s="511">
        <v>0</v>
      </c>
      <c r="BE29" s="511">
        <v>0</v>
      </c>
      <c r="BF29" s="511">
        <v>0</v>
      </c>
      <c r="BG29" s="512">
        <f t="shared" si="2"/>
        <v>0</v>
      </c>
      <c r="BH29" s="511">
        <v>0</v>
      </c>
      <c r="BI29" s="511">
        <v>0</v>
      </c>
      <c r="BJ29" s="511">
        <v>0</v>
      </c>
      <c r="BK29" s="512">
        <f t="shared" si="3"/>
        <v>0</v>
      </c>
      <c r="BL29" s="511">
        <v>0</v>
      </c>
      <c r="BM29" s="511">
        <v>1915</v>
      </c>
      <c r="BN29" s="511">
        <v>0</v>
      </c>
      <c r="BO29" s="512">
        <f t="shared" si="4"/>
        <v>1915</v>
      </c>
      <c r="BP29" s="511">
        <v>0</v>
      </c>
      <c r="BQ29" s="511">
        <v>0</v>
      </c>
      <c r="BR29" s="511">
        <v>0</v>
      </c>
      <c r="BS29" s="512">
        <f t="shared" si="5"/>
        <v>0</v>
      </c>
      <c r="BT29" s="513"/>
      <c r="BU29" s="748">
        <v>2121</v>
      </c>
      <c r="BV29" s="752">
        <v>0</v>
      </c>
      <c r="BW29" s="752">
        <v>2121</v>
      </c>
      <c r="BX29" s="752">
        <v>0</v>
      </c>
      <c r="BY29" s="752">
        <v>0</v>
      </c>
      <c r="BZ29" s="752">
        <v>0</v>
      </c>
      <c r="CA29" s="753">
        <f aca="true" t="shared" si="14" ref="CA29:CA92">BV29+BW29+BX29+BY29+BZ29</f>
        <v>2121</v>
      </c>
      <c r="CB29" s="754">
        <f aca="true" t="shared" si="15" ref="CB29:CB92">CA29/BU29</f>
        <v>1</v>
      </c>
    </row>
    <row r="30" spans="1:80" s="460" customFormat="1" ht="24" thickBot="1">
      <c r="A30" s="484" t="s">
        <v>65</v>
      </c>
      <c r="B30" s="801"/>
      <c r="C30" s="577" t="s">
        <v>475</v>
      </c>
      <c r="D30" s="564" t="s">
        <v>471</v>
      </c>
      <c r="E30" s="470" t="s">
        <v>472</v>
      </c>
      <c r="F30" s="572">
        <v>160</v>
      </c>
      <c r="G30" s="573">
        <v>30</v>
      </c>
      <c r="H30" s="572">
        <v>1</v>
      </c>
      <c r="I30" s="574">
        <f t="shared" si="0"/>
        <v>4800</v>
      </c>
      <c r="J30" s="575"/>
      <c r="K30" s="575"/>
      <c r="L30" s="575"/>
      <c r="M30" s="576">
        <f t="shared" si="1"/>
        <v>0</v>
      </c>
      <c r="N30" s="574">
        <f>M30+I30</f>
        <v>4800</v>
      </c>
      <c r="O30" s="536">
        <f t="shared" si="6"/>
        <v>3692.3076923076924</v>
      </c>
      <c r="P30" s="536">
        <f t="shared" si="7"/>
        <v>0</v>
      </c>
      <c r="Q30" s="536">
        <f t="shared" si="8"/>
        <v>3692.3076923076924</v>
      </c>
      <c r="R30" s="525">
        <f aca="true" t="shared" si="16" ref="R30:R39">BG30+BK30+BO30+BS30</f>
        <v>0</v>
      </c>
      <c r="S30" s="525">
        <f aca="true" t="shared" si="17" ref="S30:S39">M30-R30</f>
        <v>0</v>
      </c>
      <c r="T30" s="475" t="e">
        <f aca="true" t="shared" si="18" ref="T30:T39">R30/M30</f>
        <v>#DIV/0!</v>
      </c>
      <c r="U30" s="476"/>
      <c r="V30" s="476"/>
      <c r="W30" s="476"/>
      <c r="X30" s="476"/>
      <c r="Y30" s="476"/>
      <c r="Z30" s="476"/>
      <c r="AA30" s="476"/>
      <c r="AB30" s="476"/>
      <c r="AC30" s="476"/>
      <c r="AD30" s="476"/>
      <c r="AE30" s="476"/>
      <c r="AF30" s="476"/>
      <c r="AG30" s="535">
        <f aca="true" t="shared" si="19" ref="AG30:AG39">AO30+AS30+AW30+BA30+BG30+BK30+BO30+BS30</f>
        <v>3642</v>
      </c>
      <c r="AH30" s="535">
        <f aca="true" t="shared" si="20" ref="AH30:AH93">N30-AG30</f>
        <v>1158</v>
      </c>
      <c r="AI30" s="477">
        <f t="shared" si="9"/>
        <v>0.75875</v>
      </c>
      <c r="AJ30" s="461"/>
      <c r="AK30" s="511">
        <v>0</v>
      </c>
      <c r="AL30" s="511">
        <v>0</v>
      </c>
      <c r="AM30" s="511">
        <v>0</v>
      </c>
      <c r="AN30" s="511">
        <v>0</v>
      </c>
      <c r="AO30" s="512">
        <f t="shared" si="10"/>
        <v>0</v>
      </c>
      <c r="AP30" s="511">
        <v>0</v>
      </c>
      <c r="AQ30" s="511">
        <v>0</v>
      </c>
      <c r="AR30" s="511">
        <v>0</v>
      </c>
      <c r="AS30" s="512">
        <f t="shared" si="11"/>
        <v>0</v>
      </c>
      <c r="AT30" s="511">
        <v>0</v>
      </c>
      <c r="AU30" s="511">
        <v>0</v>
      </c>
      <c r="AV30" s="511">
        <v>0</v>
      </c>
      <c r="AW30" s="512">
        <f t="shared" si="12"/>
        <v>0</v>
      </c>
      <c r="AX30" s="511">
        <v>0</v>
      </c>
      <c r="AY30" s="511">
        <v>0</v>
      </c>
      <c r="AZ30" s="511">
        <v>3642</v>
      </c>
      <c r="BA30" s="512">
        <f t="shared" si="13"/>
        <v>3642</v>
      </c>
      <c r="BB30" s="513"/>
      <c r="BC30" s="511">
        <v>0</v>
      </c>
      <c r="BD30" s="511">
        <v>0</v>
      </c>
      <c r="BE30" s="511">
        <v>0</v>
      </c>
      <c r="BF30" s="511">
        <v>0</v>
      </c>
      <c r="BG30" s="512">
        <f t="shared" si="2"/>
        <v>0</v>
      </c>
      <c r="BH30" s="511">
        <v>0</v>
      </c>
      <c r="BI30" s="511">
        <v>0</v>
      </c>
      <c r="BJ30" s="511">
        <v>0</v>
      </c>
      <c r="BK30" s="512">
        <f t="shared" si="3"/>
        <v>0</v>
      </c>
      <c r="BL30" s="511">
        <v>0</v>
      </c>
      <c r="BM30" s="511">
        <v>0</v>
      </c>
      <c r="BN30" s="511">
        <v>0</v>
      </c>
      <c r="BO30" s="512">
        <f t="shared" si="4"/>
        <v>0</v>
      </c>
      <c r="BP30" s="511">
        <v>0</v>
      </c>
      <c r="BQ30" s="511">
        <v>0</v>
      </c>
      <c r="BR30" s="511">
        <v>0</v>
      </c>
      <c r="BS30" s="512">
        <f t="shared" si="5"/>
        <v>0</v>
      </c>
      <c r="BT30" s="513"/>
      <c r="BU30" s="748">
        <v>1158</v>
      </c>
      <c r="BV30" s="752">
        <v>0</v>
      </c>
      <c r="BW30" s="752">
        <v>1000</v>
      </c>
      <c r="BX30" s="752">
        <v>0</v>
      </c>
      <c r="BY30" s="752">
        <v>0</v>
      </c>
      <c r="BZ30" s="752">
        <v>0</v>
      </c>
      <c r="CA30" s="753">
        <f t="shared" si="14"/>
        <v>1000</v>
      </c>
      <c r="CB30" s="754">
        <f t="shared" si="15"/>
        <v>0.8635578583765112</v>
      </c>
    </row>
    <row r="31" spans="1:80" s="460" customFormat="1" ht="24.75" thickBot="1">
      <c r="A31" s="484" t="s">
        <v>78</v>
      </c>
      <c r="B31" s="801"/>
      <c r="C31" s="578" t="s">
        <v>476</v>
      </c>
      <c r="D31" s="564" t="s">
        <v>471</v>
      </c>
      <c r="E31" s="469" t="s">
        <v>472</v>
      </c>
      <c r="F31" s="579">
        <v>5</v>
      </c>
      <c r="G31" s="580">
        <v>3000</v>
      </c>
      <c r="H31" s="579">
        <v>1</v>
      </c>
      <c r="I31" s="581">
        <f t="shared" si="0"/>
        <v>15000</v>
      </c>
      <c r="J31" s="581"/>
      <c r="K31" s="581"/>
      <c r="L31" s="581"/>
      <c r="M31" s="576">
        <f t="shared" si="1"/>
        <v>0</v>
      </c>
      <c r="N31" s="581">
        <f>M31+I31</f>
        <v>15000</v>
      </c>
      <c r="O31" s="536">
        <f t="shared" si="6"/>
        <v>11538.461538461537</v>
      </c>
      <c r="P31" s="536">
        <f t="shared" si="7"/>
        <v>0</v>
      </c>
      <c r="Q31" s="536">
        <f t="shared" si="8"/>
        <v>11538.461538461537</v>
      </c>
      <c r="R31" s="525">
        <f t="shared" si="16"/>
        <v>0</v>
      </c>
      <c r="S31" s="525">
        <f t="shared" si="17"/>
        <v>0</v>
      </c>
      <c r="T31" s="475" t="e">
        <f t="shared" si="18"/>
        <v>#DIV/0!</v>
      </c>
      <c r="U31" s="476"/>
      <c r="V31" s="476"/>
      <c r="W31" s="476"/>
      <c r="X31" s="476"/>
      <c r="Y31" s="476"/>
      <c r="Z31" s="476"/>
      <c r="AA31" s="476"/>
      <c r="AB31" s="476"/>
      <c r="AC31" s="476"/>
      <c r="AD31" s="476"/>
      <c r="AE31" s="476"/>
      <c r="AF31" s="476"/>
      <c r="AG31" s="535">
        <f t="shared" si="19"/>
        <v>13411.75</v>
      </c>
      <c r="AH31" s="535">
        <f t="shared" si="20"/>
        <v>1588.25</v>
      </c>
      <c r="AI31" s="477">
        <f t="shared" si="9"/>
        <v>0.8941166666666667</v>
      </c>
      <c r="AJ31" s="461"/>
      <c r="AK31" s="511">
        <v>0</v>
      </c>
      <c r="AL31" s="511">
        <v>0</v>
      </c>
      <c r="AM31" s="511">
        <v>0</v>
      </c>
      <c r="AN31" s="511">
        <v>0</v>
      </c>
      <c r="AO31" s="512">
        <f t="shared" si="10"/>
        <v>0</v>
      </c>
      <c r="AP31" s="511">
        <v>0</v>
      </c>
      <c r="AQ31" s="511">
        <v>0</v>
      </c>
      <c r="AR31" s="511">
        <v>0</v>
      </c>
      <c r="AS31" s="512">
        <f t="shared" si="11"/>
        <v>0</v>
      </c>
      <c r="AT31" s="511">
        <v>0</v>
      </c>
      <c r="AU31" s="511">
        <v>952.79</v>
      </c>
      <c r="AV31" s="511">
        <v>0</v>
      </c>
      <c r="AW31" s="512">
        <f t="shared" si="12"/>
        <v>952.79</v>
      </c>
      <c r="AX31" s="511">
        <v>0</v>
      </c>
      <c r="AY31" s="511">
        <v>0</v>
      </c>
      <c r="AZ31" s="511">
        <v>12458.96</v>
      </c>
      <c r="BA31" s="512">
        <f t="shared" si="13"/>
        <v>12458.96</v>
      </c>
      <c r="BB31" s="513"/>
      <c r="BC31" s="511">
        <v>0</v>
      </c>
      <c r="BD31" s="511">
        <v>0</v>
      </c>
      <c r="BE31" s="511">
        <v>0</v>
      </c>
      <c r="BF31" s="511">
        <v>0</v>
      </c>
      <c r="BG31" s="512">
        <f t="shared" si="2"/>
        <v>0</v>
      </c>
      <c r="BH31" s="511">
        <v>0</v>
      </c>
      <c r="BI31" s="511">
        <v>0</v>
      </c>
      <c r="BJ31" s="511">
        <v>0</v>
      </c>
      <c r="BK31" s="512">
        <f t="shared" si="3"/>
        <v>0</v>
      </c>
      <c r="BL31" s="511">
        <v>0</v>
      </c>
      <c r="BM31" s="511">
        <v>0</v>
      </c>
      <c r="BN31" s="511">
        <v>0</v>
      </c>
      <c r="BO31" s="512">
        <f t="shared" si="4"/>
        <v>0</v>
      </c>
      <c r="BP31" s="511">
        <v>0</v>
      </c>
      <c r="BQ31" s="511">
        <v>0</v>
      </c>
      <c r="BR31" s="511">
        <v>0</v>
      </c>
      <c r="BS31" s="512">
        <f t="shared" si="5"/>
        <v>0</v>
      </c>
      <c r="BT31" s="513"/>
      <c r="BU31" s="748">
        <v>1588</v>
      </c>
      <c r="BV31" s="752">
        <v>0</v>
      </c>
      <c r="BW31" s="752">
        <v>0</v>
      </c>
      <c r="BX31" s="752">
        <v>1500</v>
      </c>
      <c r="BY31" s="752">
        <v>0</v>
      </c>
      <c r="BZ31" s="752">
        <v>0</v>
      </c>
      <c r="CA31" s="753">
        <f t="shared" si="14"/>
        <v>1500</v>
      </c>
      <c r="CB31" s="754">
        <f t="shared" si="15"/>
        <v>0.9445843828715366</v>
      </c>
    </row>
    <row r="32" spans="1:80" s="460" customFormat="1" ht="22.5" customHeight="1" thickBot="1">
      <c r="A32" s="484" t="s">
        <v>79</v>
      </c>
      <c r="B32" s="801"/>
      <c r="C32" s="578" t="s">
        <v>477</v>
      </c>
      <c r="D32" s="564" t="s">
        <v>471</v>
      </c>
      <c r="E32" s="470" t="s">
        <v>472</v>
      </c>
      <c r="F32" s="572">
        <v>250</v>
      </c>
      <c r="G32" s="573">
        <v>10</v>
      </c>
      <c r="H32" s="572">
        <v>1</v>
      </c>
      <c r="I32" s="574">
        <f t="shared" si="0"/>
        <v>2500</v>
      </c>
      <c r="J32" s="575"/>
      <c r="K32" s="575"/>
      <c r="L32" s="575"/>
      <c r="M32" s="576">
        <f t="shared" si="1"/>
        <v>0</v>
      </c>
      <c r="N32" s="574">
        <f>I32+M32</f>
        <v>2500</v>
      </c>
      <c r="O32" s="536">
        <f t="shared" si="6"/>
        <v>1923.076923076923</v>
      </c>
      <c r="P32" s="536">
        <f t="shared" si="7"/>
        <v>0</v>
      </c>
      <c r="Q32" s="536">
        <f t="shared" si="8"/>
        <v>1923.076923076923</v>
      </c>
      <c r="R32" s="525">
        <f t="shared" si="16"/>
        <v>595.98</v>
      </c>
      <c r="S32" s="525">
        <f t="shared" si="17"/>
        <v>-595.98</v>
      </c>
      <c r="T32" s="475" t="e">
        <f t="shared" si="18"/>
        <v>#DIV/0!</v>
      </c>
      <c r="U32" s="476"/>
      <c r="V32" s="476"/>
      <c r="W32" s="476"/>
      <c r="X32" s="476"/>
      <c r="Y32" s="476"/>
      <c r="Z32" s="476"/>
      <c r="AA32" s="476"/>
      <c r="AB32" s="476"/>
      <c r="AC32" s="476"/>
      <c r="AD32" s="476"/>
      <c r="AE32" s="476"/>
      <c r="AF32" s="476"/>
      <c r="AG32" s="535">
        <f t="shared" si="19"/>
        <v>595.98</v>
      </c>
      <c r="AH32" s="535">
        <f t="shared" si="20"/>
        <v>1904.02</v>
      </c>
      <c r="AI32" s="477">
        <f t="shared" si="9"/>
        <v>0.23839200000000002</v>
      </c>
      <c r="AJ32" s="461"/>
      <c r="AK32" s="511">
        <v>0</v>
      </c>
      <c r="AL32" s="511">
        <v>0</v>
      </c>
      <c r="AM32" s="511">
        <v>0</v>
      </c>
      <c r="AN32" s="511">
        <v>0</v>
      </c>
      <c r="AO32" s="512">
        <f t="shared" si="10"/>
        <v>0</v>
      </c>
      <c r="AP32" s="511">
        <v>0</v>
      </c>
      <c r="AQ32" s="511">
        <v>0</v>
      </c>
      <c r="AR32" s="511">
        <v>0</v>
      </c>
      <c r="AS32" s="512">
        <f t="shared" si="11"/>
        <v>0</v>
      </c>
      <c r="AT32" s="511">
        <v>0</v>
      </c>
      <c r="AU32" s="511">
        <v>0</v>
      </c>
      <c r="AV32" s="511">
        <v>0</v>
      </c>
      <c r="AW32" s="512">
        <f t="shared" si="12"/>
        <v>0</v>
      </c>
      <c r="AX32" s="511">
        <v>0</v>
      </c>
      <c r="AY32" s="511">
        <v>0</v>
      </c>
      <c r="AZ32" s="511">
        <v>0</v>
      </c>
      <c r="BA32" s="512">
        <f t="shared" si="13"/>
        <v>0</v>
      </c>
      <c r="BB32" s="513"/>
      <c r="BC32" s="511">
        <v>0</v>
      </c>
      <c r="BD32" s="511">
        <v>0</v>
      </c>
      <c r="BE32" s="511">
        <v>0</v>
      </c>
      <c r="BF32" s="511">
        <v>0</v>
      </c>
      <c r="BG32" s="512">
        <f t="shared" si="2"/>
        <v>0</v>
      </c>
      <c r="BH32" s="511">
        <v>0</v>
      </c>
      <c r="BI32" s="511">
        <v>595.98</v>
      </c>
      <c r="BJ32" s="511">
        <v>0</v>
      </c>
      <c r="BK32" s="512">
        <f t="shared" si="3"/>
        <v>595.98</v>
      </c>
      <c r="BL32" s="511">
        <v>0</v>
      </c>
      <c r="BM32" s="511">
        <v>0</v>
      </c>
      <c r="BN32" s="511">
        <v>0</v>
      </c>
      <c r="BO32" s="512">
        <f t="shared" si="4"/>
        <v>0</v>
      </c>
      <c r="BP32" s="511">
        <v>0</v>
      </c>
      <c r="BQ32" s="511">
        <v>0</v>
      </c>
      <c r="BR32" s="511">
        <v>0</v>
      </c>
      <c r="BS32" s="512">
        <f t="shared" si="5"/>
        <v>0</v>
      </c>
      <c r="BT32" s="513"/>
      <c r="BU32" s="748">
        <v>1904</v>
      </c>
      <c r="BV32" s="752">
        <v>0</v>
      </c>
      <c r="BW32" s="752">
        <v>0</v>
      </c>
      <c r="BX32" s="752">
        <v>2000</v>
      </c>
      <c r="BY32" s="752">
        <v>0</v>
      </c>
      <c r="BZ32" s="752">
        <v>0</v>
      </c>
      <c r="CA32" s="753">
        <f t="shared" si="14"/>
        <v>2000</v>
      </c>
      <c r="CB32" s="754">
        <f t="shared" si="15"/>
        <v>1.050420168067227</v>
      </c>
    </row>
    <row r="33" spans="1:80" s="460" customFormat="1" ht="24.75" thickBot="1">
      <c r="A33" s="484" t="s">
        <v>71</v>
      </c>
      <c r="B33" s="801"/>
      <c r="C33" s="577" t="s">
        <v>478</v>
      </c>
      <c r="D33" s="564" t="s">
        <v>471</v>
      </c>
      <c r="E33" s="466" t="s">
        <v>44</v>
      </c>
      <c r="F33" s="579">
        <v>75</v>
      </c>
      <c r="G33" s="580">
        <v>25</v>
      </c>
      <c r="H33" s="579">
        <v>5</v>
      </c>
      <c r="I33" s="581">
        <f t="shared" si="0"/>
        <v>9375</v>
      </c>
      <c r="J33" s="582">
        <v>75</v>
      </c>
      <c r="K33" s="582">
        <v>25</v>
      </c>
      <c r="L33" s="582">
        <v>5</v>
      </c>
      <c r="M33" s="581">
        <f t="shared" si="1"/>
        <v>9375</v>
      </c>
      <c r="N33" s="581">
        <f>I33+M33</f>
        <v>18750</v>
      </c>
      <c r="O33" s="536">
        <f t="shared" si="6"/>
        <v>7211.538461538461</v>
      </c>
      <c r="P33" s="536">
        <f t="shared" si="7"/>
        <v>7211.538461538461</v>
      </c>
      <c r="Q33" s="536">
        <f t="shared" si="8"/>
        <v>14423.076923076922</v>
      </c>
      <c r="R33" s="525">
        <f t="shared" si="16"/>
        <v>4617</v>
      </c>
      <c r="S33" s="525">
        <f t="shared" si="17"/>
        <v>4758</v>
      </c>
      <c r="T33" s="475">
        <f t="shared" si="18"/>
        <v>0.49248</v>
      </c>
      <c r="U33" s="476"/>
      <c r="V33" s="476"/>
      <c r="W33" s="476"/>
      <c r="X33" s="476"/>
      <c r="Y33" s="476"/>
      <c r="Z33" s="476"/>
      <c r="AA33" s="476"/>
      <c r="AB33" s="476"/>
      <c r="AC33" s="476"/>
      <c r="AD33" s="476"/>
      <c r="AE33" s="476"/>
      <c r="AF33" s="476"/>
      <c r="AG33" s="535">
        <f t="shared" si="19"/>
        <v>5547.99</v>
      </c>
      <c r="AH33" s="535">
        <f t="shared" si="20"/>
        <v>13202.01</v>
      </c>
      <c r="AI33" s="477">
        <f t="shared" si="9"/>
        <v>0.2958928</v>
      </c>
      <c r="AJ33" s="461"/>
      <c r="AK33" s="511">
        <v>0</v>
      </c>
      <c r="AL33" s="511">
        <v>0</v>
      </c>
      <c r="AM33" s="511">
        <v>0</v>
      </c>
      <c r="AN33" s="511">
        <v>0</v>
      </c>
      <c r="AO33" s="512">
        <f t="shared" si="10"/>
        <v>0</v>
      </c>
      <c r="AP33" s="511">
        <v>0</v>
      </c>
      <c r="AQ33" s="511">
        <v>0</v>
      </c>
      <c r="AR33" s="511">
        <v>0</v>
      </c>
      <c r="AS33" s="512">
        <f t="shared" si="11"/>
        <v>0</v>
      </c>
      <c r="AT33" s="511">
        <v>0</v>
      </c>
      <c r="AU33" s="511">
        <v>0</v>
      </c>
      <c r="AV33" s="511">
        <v>0</v>
      </c>
      <c r="AW33" s="512">
        <f t="shared" si="12"/>
        <v>0</v>
      </c>
      <c r="AX33" s="511">
        <v>0</v>
      </c>
      <c r="AY33" s="511">
        <v>0</v>
      </c>
      <c r="AZ33" s="511">
        <v>930.99</v>
      </c>
      <c r="BA33" s="512">
        <f t="shared" si="13"/>
        <v>930.99</v>
      </c>
      <c r="BB33" s="513"/>
      <c r="BC33" s="511">
        <v>0</v>
      </c>
      <c r="BD33" s="511">
        <v>3587</v>
      </c>
      <c r="BE33" s="511">
        <v>1030</v>
      </c>
      <c r="BF33" s="511">
        <v>0</v>
      </c>
      <c r="BG33" s="512">
        <f t="shared" si="2"/>
        <v>4617</v>
      </c>
      <c r="BH33" s="511">
        <v>0</v>
      </c>
      <c r="BI33" s="511">
        <v>0</v>
      </c>
      <c r="BJ33" s="511">
        <v>0</v>
      </c>
      <c r="BK33" s="512">
        <f t="shared" si="3"/>
        <v>0</v>
      </c>
      <c r="BL33" s="511">
        <v>0</v>
      </c>
      <c r="BM33" s="511">
        <v>0</v>
      </c>
      <c r="BN33" s="511">
        <v>0</v>
      </c>
      <c r="BO33" s="512">
        <f t="shared" si="4"/>
        <v>0</v>
      </c>
      <c r="BP33" s="511">
        <v>0</v>
      </c>
      <c r="BQ33" s="511">
        <v>0</v>
      </c>
      <c r="BR33" s="511">
        <v>0</v>
      </c>
      <c r="BS33" s="512">
        <f t="shared" si="5"/>
        <v>0</v>
      </c>
      <c r="BT33" s="513"/>
      <c r="BU33" s="748">
        <v>13202</v>
      </c>
      <c r="BV33" s="752">
        <v>6000</v>
      </c>
      <c r="BW33" s="752">
        <v>0</v>
      </c>
      <c r="BX33" s="752">
        <v>7000</v>
      </c>
      <c r="BY33" s="752">
        <v>0</v>
      </c>
      <c r="BZ33" s="752">
        <v>0</v>
      </c>
      <c r="CA33" s="753">
        <f t="shared" si="14"/>
        <v>13000</v>
      </c>
      <c r="CB33" s="754">
        <f t="shared" si="15"/>
        <v>0.9846992879866687</v>
      </c>
    </row>
    <row r="34" spans="1:80" s="460" customFormat="1" ht="19.5" customHeight="1" thickBot="1">
      <c r="A34" s="570" t="s">
        <v>479</v>
      </c>
      <c r="B34" s="801"/>
      <c r="C34" s="571" t="s">
        <v>480</v>
      </c>
      <c r="D34" s="564" t="s">
        <v>471</v>
      </c>
      <c r="E34" s="470" t="s">
        <v>44</v>
      </c>
      <c r="F34" s="572"/>
      <c r="G34" s="573"/>
      <c r="H34" s="572"/>
      <c r="I34" s="574"/>
      <c r="J34" s="575">
        <v>160</v>
      </c>
      <c r="K34" s="575">
        <v>30</v>
      </c>
      <c r="L34" s="575">
        <v>5</v>
      </c>
      <c r="M34" s="574">
        <f t="shared" si="1"/>
        <v>24000</v>
      </c>
      <c r="N34" s="574">
        <f>I34+M34</f>
        <v>24000</v>
      </c>
      <c r="O34" s="536">
        <f t="shared" si="6"/>
        <v>0</v>
      </c>
      <c r="P34" s="536">
        <f t="shared" si="7"/>
        <v>18461.53846153846</v>
      </c>
      <c r="Q34" s="536">
        <f t="shared" si="8"/>
        <v>18461.53846153846</v>
      </c>
      <c r="R34" s="525">
        <f t="shared" si="16"/>
        <v>24125.010000000002</v>
      </c>
      <c r="S34" s="525">
        <f t="shared" si="17"/>
        <v>-125.01000000000204</v>
      </c>
      <c r="T34" s="475">
        <f t="shared" si="18"/>
        <v>1.00520875</v>
      </c>
      <c r="U34" s="476"/>
      <c r="V34" s="476"/>
      <c r="W34" s="476"/>
      <c r="X34" s="476"/>
      <c r="Y34" s="476"/>
      <c r="Z34" s="476"/>
      <c r="AA34" s="476"/>
      <c r="AB34" s="476"/>
      <c r="AC34" s="476"/>
      <c r="AD34" s="476"/>
      <c r="AE34" s="476"/>
      <c r="AF34" s="476"/>
      <c r="AG34" s="535">
        <f t="shared" si="19"/>
        <v>24125.010000000002</v>
      </c>
      <c r="AH34" s="535">
        <f t="shared" si="20"/>
        <v>-125.01000000000204</v>
      </c>
      <c r="AI34" s="477">
        <f t="shared" si="9"/>
        <v>1.00520875</v>
      </c>
      <c r="AJ34" s="461"/>
      <c r="AK34" s="511">
        <v>0</v>
      </c>
      <c r="AL34" s="511">
        <v>0</v>
      </c>
      <c r="AM34" s="511">
        <v>0</v>
      </c>
      <c r="AN34" s="511">
        <v>0</v>
      </c>
      <c r="AO34" s="512">
        <f t="shared" si="10"/>
        <v>0</v>
      </c>
      <c r="AP34" s="511">
        <v>0</v>
      </c>
      <c r="AQ34" s="511">
        <v>0</v>
      </c>
      <c r="AR34" s="511">
        <v>0</v>
      </c>
      <c r="AS34" s="512">
        <f t="shared" si="11"/>
        <v>0</v>
      </c>
      <c r="AT34" s="511">
        <v>0</v>
      </c>
      <c r="AU34" s="511">
        <v>0</v>
      </c>
      <c r="AV34" s="511">
        <v>0</v>
      </c>
      <c r="AW34" s="512">
        <f t="shared" si="12"/>
        <v>0</v>
      </c>
      <c r="AX34" s="511">
        <v>0</v>
      </c>
      <c r="AY34" s="511">
        <v>0</v>
      </c>
      <c r="AZ34" s="511">
        <v>0</v>
      </c>
      <c r="BA34" s="512">
        <f t="shared" si="13"/>
        <v>0</v>
      </c>
      <c r="BB34" s="513"/>
      <c r="BC34" s="511">
        <v>2188.03</v>
      </c>
      <c r="BD34" s="511">
        <v>9551.98</v>
      </c>
      <c r="BE34" s="511">
        <v>3266</v>
      </c>
      <c r="BF34" s="511">
        <v>0</v>
      </c>
      <c r="BG34" s="512">
        <f t="shared" si="2"/>
        <v>15006.01</v>
      </c>
      <c r="BH34" s="511">
        <v>0</v>
      </c>
      <c r="BI34" s="511">
        <v>0</v>
      </c>
      <c r="BJ34" s="511">
        <v>0</v>
      </c>
      <c r="BK34" s="512">
        <f t="shared" si="3"/>
        <v>0</v>
      </c>
      <c r="BL34" s="511">
        <v>0</v>
      </c>
      <c r="BM34" s="511">
        <v>0</v>
      </c>
      <c r="BN34" s="511">
        <v>482</v>
      </c>
      <c r="BO34" s="512">
        <f t="shared" si="4"/>
        <v>482</v>
      </c>
      <c r="BP34" s="511">
        <v>8637</v>
      </c>
      <c r="BQ34" s="511">
        <v>0</v>
      </c>
      <c r="BR34" s="511">
        <v>0</v>
      </c>
      <c r="BS34" s="512">
        <f t="shared" si="5"/>
        <v>8637</v>
      </c>
      <c r="BT34" s="513"/>
      <c r="BU34" s="748">
        <f>0-125</f>
        <v>-125</v>
      </c>
      <c r="BV34" s="752">
        <v>0</v>
      </c>
      <c r="BW34" s="752">
        <v>0</v>
      </c>
      <c r="BX34" s="752">
        <v>0</v>
      </c>
      <c r="BY34" s="752">
        <v>0</v>
      </c>
      <c r="BZ34" s="752">
        <v>0</v>
      </c>
      <c r="CA34" s="753">
        <f t="shared" si="14"/>
        <v>0</v>
      </c>
      <c r="CB34" s="754">
        <f t="shared" si="15"/>
        <v>0</v>
      </c>
    </row>
    <row r="35" spans="1:80" s="460" customFormat="1" ht="16.5" thickBot="1">
      <c r="A35" s="484" t="s">
        <v>80</v>
      </c>
      <c r="B35" s="801"/>
      <c r="C35" s="578" t="s">
        <v>481</v>
      </c>
      <c r="D35" s="564" t="s">
        <v>471</v>
      </c>
      <c r="E35" s="470" t="s">
        <v>44</v>
      </c>
      <c r="F35" s="572">
        <v>1</v>
      </c>
      <c r="G35" s="573">
        <v>1686</v>
      </c>
      <c r="H35" s="572">
        <v>1</v>
      </c>
      <c r="I35" s="574">
        <f>F35*G35*H35</f>
        <v>1686</v>
      </c>
      <c r="J35" s="575">
        <v>0</v>
      </c>
      <c r="K35" s="575">
        <v>0</v>
      </c>
      <c r="L35" s="575">
        <v>0</v>
      </c>
      <c r="M35" s="574">
        <f t="shared" si="1"/>
        <v>0</v>
      </c>
      <c r="N35" s="574">
        <f>M35+I35</f>
        <v>1686</v>
      </c>
      <c r="O35" s="536">
        <f t="shared" si="6"/>
        <v>1296.923076923077</v>
      </c>
      <c r="P35" s="536">
        <f t="shared" si="7"/>
        <v>0</v>
      </c>
      <c r="Q35" s="536">
        <f t="shared" si="8"/>
        <v>1296.923076923077</v>
      </c>
      <c r="R35" s="525">
        <f t="shared" si="16"/>
        <v>0</v>
      </c>
      <c r="S35" s="525">
        <f t="shared" si="17"/>
        <v>0</v>
      </c>
      <c r="T35" s="475" t="e">
        <f t="shared" si="18"/>
        <v>#DIV/0!</v>
      </c>
      <c r="U35" s="476"/>
      <c r="V35" s="476"/>
      <c r="W35" s="476"/>
      <c r="X35" s="476"/>
      <c r="Y35" s="476"/>
      <c r="Z35" s="476"/>
      <c r="AA35" s="476"/>
      <c r="AB35" s="476"/>
      <c r="AC35" s="476"/>
      <c r="AD35" s="476"/>
      <c r="AE35" s="476"/>
      <c r="AF35" s="476"/>
      <c r="AG35" s="535">
        <f t="shared" si="19"/>
        <v>1685.9999999999998</v>
      </c>
      <c r="AH35" s="535">
        <f t="shared" si="20"/>
        <v>0</v>
      </c>
      <c r="AI35" s="477">
        <f t="shared" si="9"/>
        <v>0.9999999999999999</v>
      </c>
      <c r="AJ35" s="461"/>
      <c r="AK35" s="511">
        <v>0</v>
      </c>
      <c r="AL35" s="511">
        <v>0</v>
      </c>
      <c r="AM35" s="511">
        <v>0</v>
      </c>
      <c r="AN35" s="511">
        <v>0</v>
      </c>
      <c r="AO35" s="512">
        <f t="shared" si="10"/>
        <v>0</v>
      </c>
      <c r="AP35" s="511">
        <v>0</v>
      </c>
      <c r="AQ35" s="511">
        <v>0</v>
      </c>
      <c r="AR35" s="511">
        <v>0</v>
      </c>
      <c r="AS35" s="512">
        <f t="shared" si="11"/>
        <v>0</v>
      </c>
      <c r="AT35" s="511">
        <v>0</v>
      </c>
      <c r="AU35" s="511">
        <v>1686</v>
      </c>
      <c r="AV35" s="511">
        <v>930.99</v>
      </c>
      <c r="AW35" s="512">
        <f t="shared" si="12"/>
        <v>2616.99</v>
      </c>
      <c r="AX35" s="511">
        <v>0</v>
      </c>
      <c r="AY35" s="511">
        <v>0</v>
      </c>
      <c r="AZ35" s="511">
        <v>-930.99</v>
      </c>
      <c r="BA35" s="512">
        <f t="shared" si="13"/>
        <v>-930.99</v>
      </c>
      <c r="BB35" s="513"/>
      <c r="BC35" s="511">
        <v>0</v>
      </c>
      <c r="BD35" s="511">
        <v>0</v>
      </c>
      <c r="BE35" s="511">
        <v>0</v>
      </c>
      <c r="BF35" s="511">
        <v>0</v>
      </c>
      <c r="BG35" s="512">
        <f t="shared" si="2"/>
        <v>0</v>
      </c>
      <c r="BH35" s="511">
        <v>0</v>
      </c>
      <c r="BI35" s="511">
        <v>0</v>
      </c>
      <c r="BJ35" s="511">
        <v>0</v>
      </c>
      <c r="BK35" s="512">
        <f t="shared" si="3"/>
        <v>0</v>
      </c>
      <c r="BL35" s="511">
        <v>0</v>
      </c>
      <c r="BM35" s="511">
        <v>0</v>
      </c>
      <c r="BN35" s="511">
        <v>0</v>
      </c>
      <c r="BO35" s="512">
        <f t="shared" si="4"/>
        <v>0</v>
      </c>
      <c r="BP35" s="511">
        <v>0</v>
      </c>
      <c r="BQ35" s="511">
        <v>0</v>
      </c>
      <c r="BR35" s="511">
        <v>0</v>
      </c>
      <c r="BS35" s="512">
        <f t="shared" si="5"/>
        <v>0</v>
      </c>
      <c r="BT35" s="513"/>
      <c r="BU35" s="748">
        <v>0</v>
      </c>
      <c r="BV35" s="752">
        <v>0</v>
      </c>
      <c r="BW35" s="752">
        <v>0</v>
      </c>
      <c r="BX35" s="752">
        <v>0</v>
      </c>
      <c r="BY35" s="752">
        <v>0</v>
      </c>
      <c r="BZ35" s="752">
        <v>0</v>
      </c>
      <c r="CA35" s="753">
        <f t="shared" si="14"/>
        <v>0</v>
      </c>
      <c r="CB35" s="754" t="e">
        <f t="shared" si="15"/>
        <v>#DIV/0!</v>
      </c>
    </row>
    <row r="36" spans="1:80" s="460" customFormat="1" ht="16.5" thickBot="1">
      <c r="A36" s="583" t="s">
        <v>81</v>
      </c>
      <c r="B36" s="801"/>
      <c r="C36" s="584" t="s">
        <v>482</v>
      </c>
      <c r="D36" s="585" t="s">
        <v>471</v>
      </c>
      <c r="E36" s="586" t="s">
        <v>367</v>
      </c>
      <c r="F36" s="587">
        <v>0</v>
      </c>
      <c r="G36" s="588">
        <v>0</v>
      </c>
      <c r="H36" s="587">
        <v>0</v>
      </c>
      <c r="I36" s="589">
        <v>0</v>
      </c>
      <c r="J36" s="590">
        <v>0</v>
      </c>
      <c r="K36" s="590">
        <v>0</v>
      </c>
      <c r="L36" s="590">
        <v>0</v>
      </c>
      <c r="M36" s="589">
        <f>J36*K36*L36</f>
        <v>0</v>
      </c>
      <c r="N36" s="589">
        <f>M36+I36</f>
        <v>0</v>
      </c>
      <c r="O36" s="536">
        <f t="shared" si="6"/>
        <v>0</v>
      </c>
      <c r="P36" s="536">
        <f t="shared" si="7"/>
        <v>0</v>
      </c>
      <c r="Q36" s="536">
        <f t="shared" si="8"/>
        <v>0</v>
      </c>
      <c r="R36" s="525">
        <f t="shared" si="16"/>
        <v>0</v>
      </c>
      <c r="S36" s="525">
        <f t="shared" si="17"/>
        <v>0</v>
      </c>
      <c r="T36" s="475" t="e">
        <f t="shared" si="18"/>
        <v>#DIV/0!</v>
      </c>
      <c r="U36" s="476"/>
      <c r="V36" s="476"/>
      <c r="W36" s="476"/>
      <c r="X36" s="476"/>
      <c r="Y36" s="476"/>
      <c r="Z36" s="476"/>
      <c r="AA36" s="476"/>
      <c r="AB36" s="476"/>
      <c r="AC36" s="476"/>
      <c r="AD36" s="476"/>
      <c r="AE36" s="476"/>
      <c r="AF36" s="476"/>
      <c r="AG36" s="535">
        <f t="shared" si="19"/>
        <v>0</v>
      </c>
      <c r="AH36" s="535">
        <f t="shared" si="20"/>
        <v>0</v>
      </c>
      <c r="AI36" s="477" t="e">
        <f t="shared" si="9"/>
        <v>#DIV/0!</v>
      </c>
      <c r="AJ36" s="461"/>
      <c r="AK36" s="511">
        <v>0</v>
      </c>
      <c r="AL36" s="511">
        <v>0</v>
      </c>
      <c r="AM36" s="511">
        <v>0</v>
      </c>
      <c r="AN36" s="511">
        <v>0</v>
      </c>
      <c r="AO36" s="512">
        <f t="shared" si="10"/>
        <v>0</v>
      </c>
      <c r="AP36" s="511">
        <v>0</v>
      </c>
      <c r="AQ36" s="511">
        <v>0</v>
      </c>
      <c r="AR36" s="511">
        <v>0</v>
      </c>
      <c r="AS36" s="512">
        <f t="shared" si="11"/>
        <v>0</v>
      </c>
      <c r="AT36" s="511">
        <v>0</v>
      </c>
      <c r="AU36" s="511">
        <v>0</v>
      </c>
      <c r="AV36" s="511">
        <v>0</v>
      </c>
      <c r="AW36" s="512">
        <f t="shared" si="12"/>
        <v>0</v>
      </c>
      <c r="AX36" s="511">
        <v>0</v>
      </c>
      <c r="AY36" s="511">
        <v>0</v>
      </c>
      <c r="AZ36" s="511">
        <v>0</v>
      </c>
      <c r="BA36" s="512">
        <f t="shared" si="13"/>
        <v>0</v>
      </c>
      <c r="BB36" s="513"/>
      <c r="BC36" s="511">
        <v>0</v>
      </c>
      <c r="BD36" s="511">
        <v>0</v>
      </c>
      <c r="BE36" s="511">
        <v>0</v>
      </c>
      <c r="BF36" s="511">
        <v>0</v>
      </c>
      <c r="BG36" s="512">
        <f t="shared" si="2"/>
        <v>0</v>
      </c>
      <c r="BH36" s="511">
        <v>0</v>
      </c>
      <c r="BI36" s="511">
        <v>0</v>
      </c>
      <c r="BJ36" s="511">
        <v>0</v>
      </c>
      <c r="BK36" s="512">
        <f t="shared" si="3"/>
        <v>0</v>
      </c>
      <c r="BL36" s="511">
        <v>0</v>
      </c>
      <c r="BM36" s="511">
        <v>0</v>
      </c>
      <c r="BN36" s="511">
        <v>0</v>
      </c>
      <c r="BO36" s="512">
        <f t="shared" si="4"/>
        <v>0</v>
      </c>
      <c r="BP36" s="511">
        <v>0</v>
      </c>
      <c r="BQ36" s="511">
        <v>0</v>
      </c>
      <c r="BR36" s="511">
        <v>0</v>
      </c>
      <c r="BS36" s="512">
        <f t="shared" si="5"/>
        <v>0</v>
      </c>
      <c r="BT36" s="513"/>
      <c r="BU36" s="748">
        <v>0</v>
      </c>
      <c r="BV36" s="752">
        <v>0</v>
      </c>
      <c r="BW36" s="752">
        <v>0</v>
      </c>
      <c r="BX36" s="752">
        <v>0</v>
      </c>
      <c r="BY36" s="752">
        <v>0</v>
      </c>
      <c r="BZ36" s="752">
        <v>0</v>
      </c>
      <c r="CA36" s="753">
        <f t="shared" si="14"/>
        <v>0</v>
      </c>
      <c r="CB36" s="754" t="e">
        <f t="shared" si="15"/>
        <v>#DIV/0!</v>
      </c>
    </row>
    <row r="37" spans="1:80" s="460" customFormat="1" ht="24.75" thickBot="1">
      <c r="A37" s="484" t="s">
        <v>68</v>
      </c>
      <c r="B37" s="801"/>
      <c r="C37" s="577" t="s">
        <v>483</v>
      </c>
      <c r="D37" s="564" t="s">
        <v>471</v>
      </c>
      <c r="E37" s="469" t="s">
        <v>367</v>
      </c>
      <c r="F37" s="579">
        <v>0</v>
      </c>
      <c r="G37" s="579">
        <v>0</v>
      </c>
      <c r="H37" s="579">
        <v>0</v>
      </c>
      <c r="I37" s="581">
        <f>F37*G37*H37</f>
        <v>0</v>
      </c>
      <c r="J37" s="582">
        <v>12</v>
      </c>
      <c r="K37" s="582">
        <v>30</v>
      </c>
      <c r="L37" s="582">
        <v>3</v>
      </c>
      <c r="M37" s="581">
        <f t="shared" si="1"/>
        <v>1080</v>
      </c>
      <c r="N37" s="591">
        <f>I37+M37</f>
        <v>1080</v>
      </c>
      <c r="O37" s="536">
        <f t="shared" si="6"/>
        <v>0</v>
      </c>
      <c r="P37" s="536">
        <f t="shared" si="7"/>
        <v>830.7692307692307</v>
      </c>
      <c r="Q37" s="536">
        <f t="shared" si="8"/>
        <v>830.7692307692307</v>
      </c>
      <c r="R37" s="525">
        <f t="shared" si="16"/>
        <v>0</v>
      </c>
      <c r="S37" s="525">
        <f t="shared" si="17"/>
        <v>1080</v>
      </c>
      <c r="T37" s="475">
        <f t="shared" si="18"/>
        <v>0</v>
      </c>
      <c r="U37" s="476"/>
      <c r="V37" s="476"/>
      <c r="W37" s="476"/>
      <c r="X37" s="476"/>
      <c r="Y37" s="476"/>
      <c r="Z37" s="476"/>
      <c r="AA37" s="476"/>
      <c r="AB37" s="476"/>
      <c r="AC37" s="476"/>
      <c r="AD37" s="476"/>
      <c r="AE37" s="476"/>
      <c r="AF37" s="476"/>
      <c r="AG37" s="535">
        <f t="shared" si="19"/>
        <v>0</v>
      </c>
      <c r="AH37" s="535">
        <f t="shared" si="20"/>
        <v>1080</v>
      </c>
      <c r="AI37" s="477">
        <f t="shared" si="9"/>
        <v>0</v>
      </c>
      <c r="AJ37" s="461"/>
      <c r="AK37" s="511">
        <v>0</v>
      </c>
      <c r="AL37" s="511">
        <v>0</v>
      </c>
      <c r="AM37" s="511">
        <v>0</v>
      </c>
      <c r="AN37" s="511">
        <v>0</v>
      </c>
      <c r="AO37" s="512">
        <f t="shared" si="10"/>
        <v>0</v>
      </c>
      <c r="AP37" s="511">
        <v>0</v>
      </c>
      <c r="AQ37" s="511">
        <v>0</v>
      </c>
      <c r="AR37" s="511">
        <v>0</v>
      </c>
      <c r="AS37" s="512">
        <f t="shared" si="11"/>
        <v>0</v>
      </c>
      <c r="AT37" s="511">
        <v>0</v>
      </c>
      <c r="AU37" s="511">
        <v>0</v>
      </c>
      <c r="AV37" s="511">
        <v>0</v>
      </c>
      <c r="AW37" s="512">
        <f t="shared" si="12"/>
        <v>0</v>
      </c>
      <c r="AX37" s="511">
        <v>0</v>
      </c>
      <c r="AY37" s="511">
        <v>0</v>
      </c>
      <c r="AZ37" s="511">
        <v>0</v>
      </c>
      <c r="BA37" s="512">
        <f t="shared" si="13"/>
        <v>0</v>
      </c>
      <c r="BB37" s="513"/>
      <c r="BC37" s="511">
        <v>0</v>
      </c>
      <c r="BD37" s="511">
        <v>0</v>
      </c>
      <c r="BE37" s="511">
        <v>0</v>
      </c>
      <c r="BF37" s="511">
        <v>0</v>
      </c>
      <c r="BG37" s="512">
        <f t="shared" si="2"/>
        <v>0</v>
      </c>
      <c r="BH37" s="511">
        <v>0</v>
      </c>
      <c r="BI37" s="511">
        <v>0</v>
      </c>
      <c r="BJ37" s="511">
        <v>0</v>
      </c>
      <c r="BK37" s="512">
        <f t="shared" si="3"/>
        <v>0</v>
      </c>
      <c r="BL37" s="511">
        <v>0</v>
      </c>
      <c r="BM37" s="511">
        <v>0</v>
      </c>
      <c r="BN37" s="511">
        <v>0</v>
      </c>
      <c r="BO37" s="512">
        <f t="shared" si="4"/>
        <v>0</v>
      </c>
      <c r="BP37" s="511">
        <v>0</v>
      </c>
      <c r="BQ37" s="511">
        <v>0</v>
      </c>
      <c r="BR37" s="511">
        <v>0</v>
      </c>
      <c r="BS37" s="512">
        <f t="shared" si="5"/>
        <v>0</v>
      </c>
      <c r="BT37" s="513"/>
      <c r="BU37" s="748">
        <v>1080</v>
      </c>
      <c r="BV37" s="752">
        <v>200</v>
      </c>
      <c r="BW37" s="752">
        <v>200</v>
      </c>
      <c r="BX37" s="752">
        <v>200</v>
      </c>
      <c r="BY37" s="752">
        <v>240</v>
      </c>
      <c r="BZ37" s="752">
        <v>240</v>
      </c>
      <c r="CA37" s="753">
        <f t="shared" si="14"/>
        <v>1080</v>
      </c>
      <c r="CB37" s="754">
        <f t="shared" si="15"/>
        <v>1</v>
      </c>
    </row>
    <row r="38" spans="1:80" s="460" customFormat="1" ht="15" customHeight="1" thickBot="1">
      <c r="A38" s="583" t="s">
        <v>83</v>
      </c>
      <c r="B38" s="802"/>
      <c r="C38" s="592" t="s">
        <v>484</v>
      </c>
      <c r="D38" s="585" t="s">
        <v>471</v>
      </c>
      <c r="E38" s="586" t="s">
        <v>367</v>
      </c>
      <c r="F38" s="587">
        <v>0</v>
      </c>
      <c r="G38" s="588">
        <v>0</v>
      </c>
      <c r="H38" s="587">
        <v>0</v>
      </c>
      <c r="I38" s="589">
        <f>F38*G38*H38</f>
        <v>0</v>
      </c>
      <c r="J38" s="590"/>
      <c r="K38" s="590"/>
      <c r="L38" s="590"/>
      <c r="M38" s="589">
        <f>J38*K38*L38</f>
        <v>0</v>
      </c>
      <c r="N38" s="589">
        <f>I38+M38</f>
        <v>0</v>
      </c>
      <c r="O38" s="536">
        <f t="shared" si="6"/>
        <v>0</v>
      </c>
      <c r="P38" s="536">
        <f t="shared" si="7"/>
        <v>0</v>
      </c>
      <c r="Q38" s="536">
        <f t="shared" si="8"/>
        <v>0</v>
      </c>
      <c r="R38" s="525">
        <f t="shared" si="16"/>
        <v>695.14</v>
      </c>
      <c r="S38" s="525">
        <f t="shared" si="17"/>
        <v>-695.14</v>
      </c>
      <c r="T38" s="475" t="e">
        <f t="shared" si="18"/>
        <v>#DIV/0!</v>
      </c>
      <c r="U38" s="476"/>
      <c r="V38" s="476"/>
      <c r="W38" s="476"/>
      <c r="X38" s="476"/>
      <c r="Y38" s="476"/>
      <c r="Z38" s="476"/>
      <c r="AA38" s="476"/>
      <c r="AB38" s="476"/>
      <c r="AC38" s="476"/>
      <c r="AD38" s="476"/>
      <c r="AE38" s="476"/>
      <c r="AF38" s="476"/>
      <c r="AG38" s="535">
        <f t="shared" si="19"/>
        <v>695.14</v>
      </c>
      <c r="AH38" s="535">
        <f t="shared" si="20"/>
        <v>-695.14</v>
      </c>
      <c r="AI38" s="477" t="e">
        <f t="shared" si="9"/>
        <v>#DIV/0!</v>
      </c>
      <c r="AJ38" s="461"/>
      <c r="AK38" s="511">
        <v>0</v>
      </c>
      <c r="AL38" s="511">
        <v>0</v>
      </c>
      <c r="AM38" s="511">
        <v>0</v>
      </c>
      <c r="AN38" s="511">
        <v>0</v>
      </c>
      <c r="AO38" s="512">
        <f t="shared" si="10"/>
        <v>0</v>
      </c>
      <c r="AP38" s="511">
        <v>0</v>
      </c>
      <c r="AQ38" s="511">
        <v>0</v>
      </c>
      <c r="AR38" s="511">
        <v>0</v>
      </c>
      <c r="AS38" s="512">
        <f t="shared" si="11"/>
        <v>0</v>
      </c>
      <c r="AT38" s="511">
        <v>0</v>
      </c>
      <c r="AU38" s="511">
        <v>0</v>
      </c>
      <c r="AV38" s="511">
        <v>0</v>
      </c>
      <c r="AW38" s="512">
        <f t="shared" si="12"/>
        <v>0</v>
      </c>
      <c r="AX38" s="511">
        <v>0</v>
      </c>
      <c r="AY38" s="511">
        <v>0</v>
      </c>
      <c r="AZ38" s="511">
        <v>0</v>
      </c>
      <c r="BA38" s="512">
        <f t="shared" si="13"/>
        <v>0</v>
      </c>
      <c r="BB38" s="513"/>
      <c r="BC38" s="511">
        <v>0</v>
      </c>
      <c r="BD38" s="511">
        <v>0</v>
      </c>
      <c r="BE38" s="511">
        <v>0</v>
      </c>
      <c r="BF38" s="511">
        <v>0</v>
      </c>
      <c r="BG38" s="512">
        <f t="shared" si="2"/>
        <v>0</v>
      </c>
      <c r="BH38" s="511">
        <v>0</v>
      </c>
      <c r="BI38" s="511">
        <v>1983.58</v>
      </c>
      <c r="BJ38" s="511">
        <v>-1983.58</v>
      </c>
      <c r="BK38" s="512">
        <f t="shared" si="3"/>
        <v>0</v>
      </c>
      <c r="BL38" s="511">
        <v>0</v>
      </c>
      <c r="BM38" s="511">
        <v>284.14</v>
      </c>
      <c r="BN38" s="511">
        <v>411</v>
      </c>
      <c r="BO38" s="512">
        <f t="shared" si="4"/>
        <v>695.14</v>
      </c>
      <c r="BP38" s="511">
        <v>0</v>
      </c>
      <c r="BQ38" s="511">
        <v>0</v>
      </c>
      <c r="BR38" s="511">
        <v>0</v>
      </c>
      <c r="BS38" s="512">
        <f t="shared" si="5"/>
        <v>0</v>
      </c>
      <c r="BT38" s="513"/>
      <c r="BU38" s="748">
        <f>0-695</f>
        <v>-695</v>
      </c>
      <c r="BV38" s="753">
        <v>0</v>
      </c>
      <c r="BW38" s="753">
        <v>0</v>
      </c>
      <c r="BX38" s="753">
        <v>0</v>
      </c>
      <c r="BY38" s="753">
        <v>0</v>
      </c>
      <c r="BZ38" s="753">
        <v>0</v>
      </c>
      <c r="CA38" s="753">
        <f t="shared" si="14"/>
        <v>0</v>
      </c>
      <c r="CB38" s="754">
        <f t="shared" si="15"/>
        <v>0</v>
      </c>
    </row>
    <row r="39" spans="1:80" s="460" customFormat="1" ht="33.75">
      <c r="A39" s="583" t="s">
        <v>84</v>
      </c>
      <c r="B39" s="803"/>
      <c r="C39" s="592" t="s">
        <v>484</v>
      </c>
      <c r="D39" s="585" t="s">
        <v>471</v>
      </c>
      <c r="E39" s="586" t="s">
        <v>368</v>
      </c>
      <c r="F39" s="587">
        <v>0</v>
      </c>
      <c r="G39" s="588">
        <v>0</v>
      </c>
      <c r="H39" s="587">
        <v>0</v>
      </c>
      <c r="I39" s="589">
        <f>F39*G39*H39</f>
        <v>0</v>
      </c>
      <c r="J39" s="590"/>
      <c r="K39" s="590"/>
      <c r="L39" s="590"/>
      <c r="M39" s="589">
        <f>J39*K39*L39</f>
        <v>0</v>
      </c>
      <c r="N39" s="589">
        <f>I39+M39</f>
        <v>0</v>
      </c>
      <c r="O39" s="536">
        <f t="shared" si="6"/>
        <v>0</v>
      </c>
      <c r="P39" s="536">
        <f t="shared" si="7"/>
        <v>0</v>
      </c>
      <c r="Q39" s="536">
        <f t="shared" si="8"/>
        <v>0</v>
      </c>
      <c r="R39" s="525">
        <f t="shared" si="16"/>
        <v>0</v>
      </c>
      <c r="S39" s="525">
        <f t="shared" si="17"/>
        <v>0</v>
      </c>
      <c r="T39" s="475" t="e">
        <f t="shared" si="18"/>
        <v>#DIV/0!</v>
      </c>
      <c r="U39" s="476"/>
      <c r="V39" s="476"/>
      <c r="W39" s="476"/>
      <c r="X39" s="476"/>
      <c r="Y39" s="476"/>
      <c r="Z39" s="476"/>
      <c r="AA39" s="476"/>
      <c r="AB39" s="476"/>
      <c r="AC39" s="476"/>
      <c r="AD39" s="476"/>
      <c r="AE39" s="476"/>
      <c r="AF39" s="476"/>
      <c r="AG39" s="535">
        <f t="shared" si="19"/>
        <v>0</v>
      </c>
      <c r="AH39" s="535">
        <f t="shared" si="20"/>
        <v>0</v>
      </c>
      <c r="AI39" s="477" t="e">
        <f t="shared" si="9"/>
        <v>#DIV/0!</v>
      </c>
      <c r="AJ39" s="461"/>
      <c r="AK39" s="511">
        <v>0</v>
      </c>
      <c r="AL39" s="511">
        <v>0</v>
      </c>
      <c r="AM39" s="511">
        <v>0</v>
      </c>
      <c r="AN39" s="511">
        <v>0</v>
      </c>
      <c r="AO39" s="512">
        <f t="shared" si="10"/>
        <v>0</v>
      </c>
      <c r="AP39" s="511">
        <v>0</v>
      </c>
      <c r="AQ39" s="511">
        <v>0</v>
      </c>
      <c r="AR39" s="511">
        <v>0</v>
      </c>
      <c r="AS39" s="512">
        <f t="shared" si="11"/>
        <v>0</v>
      </c>
      <c r="AT39" s="511">
        <v>0</v>
      </c>
      <c r="AU39" s="511">
        <v>0</v>
      </c>
      <c r="AV39" s="511">
        <v>0</v>
      </c>
      <c r="AW39" s="512">
        <f t="shared" si="12"/>
        <v>0</v>
      </c>
      <c r="AX39" s="511">
        <v>0</v>
      </c>
      <c r="AY39" s="511">
        <v>0</v>
      </c>
      <c r="AZ39" s="511">
        <v>0</v>
      </c>
      <c r="BA39" s="512">
        <f t="shared" si="13"/>
        <v>0</v>
      </c>
      <c r="BB39" s="513"/>
      <c r="BC39" s="511">
        <v>0</v>
      </c>
      <c r="BD39" s="511">
        <v>0</v>
      </c>
      <c r="BE39" s="511">
        <v>0</v>
      </c>
      <c r="BF39" s="511">
        <v>0</v>
      </c>
      <c r="BG39" s="512">
        <f t="shared" si="2"/>
        <v>0</v>
      </c>
      <c r="BH39" s="511">
        <v>0</v>
      </c>
      <c r="BI39" s="511">
        <v>0</v>
      </c>
      <c r="BJ39" s="511">
        <v>0</v>
      </c>
      <c r="BK39" s="512">
        <f t="shared" si="3"/>
        <v>0</v>
      </c>
      <c r="BL39" s="511">
        <v>0</v>
      </c>
      <c r="BM39" s="511">
        <v>0</v>
      </c>
      <c r="BN39" s="511">
        <v>0</v>
      </c>
      <c r="BO39" s="512">
        <f t="shared" si="4"/>
        <v>0</v>
      </c>
      <c r="BP39" s="511">
        <v>0</v>
      </c>
      <c r="BQ39" s="511">
        <v>0</v>
      </c>
      <c r="BR39" s="511">
        <v>0</v>
      </c>
      <c r="BS39" s="512">
        <f t="shared" si="5"/>
        <v>0</v>
      </c>
      <c r="BT39" s="513"/>
      <c r="BU39" s="748">
        <v>0</v>
      </c>
      <c r="BV39" s="752">
        <v>0</v>
      </c>
      <c r="BW39" s="752">
        <v>0</v>
      </c>
      <c r="BX39" s="752">
        <v>0</v>
      </c>
      <c r="BY39" s="752">
        <v>0</v>
      </c>
      <c r="BZ39" s="752">
        <v>0</v>
      </c>
      <c r="CA39" s="753">
        <f t="shared" si="14"/>
        <v>0</v>
      </c>
      <c r="CB39" s="754" t="e">
        <f t="shared" si="15"/>
        <v>#DIV/0!</v>
      </c>
    </row>
    <row r="40" spans="1:80" s="460" customFormat="1" ht="16.5" thickBot="1">
      <c r="A40" s="593"/>
      <c r="B40" s="594"/>
      <c r="C40" s="595" t="s">
        <v>0</v>
      </c>
      <c r="D40" s="596" t="s">
        <v>0</v>
      </c>
      <c r="E40" s="597"/>
      <c r="F40" s="598"/>
      <c r="G40" s="599"/>
      <c r="H40" s="598"/>
      <c r="I40" s="600">
        <f>SUM(I28:I39)</f>
        <v>42861</v>
      </c>
      <c r="J40" s="601"/>
      <c r="K40" s="601"/>
      <c r="L40" s="601"/>
      <c r="M40" s="600">
        <f>SUM(M28:M39)</f>
        <v>34455</v>
      </c>
      <c r="N40" s="600">
        <f>SUM(N28:N39)</f>
        <v>77316</v>
      </c>
      <c r="O40" s="600">
        <f aca="true" t="shared" si="21" ref="O40:BA40">SUM(O28:O39)</f>
        <v>32970</v>
      </c>
      <c r="P40" s="600">
        <f t="shared" si="21"/>
        <v>26503.846153846152</v>
      </c>
      <c r="Q40" s="600">
        <f t="shared" si="21"/>
        <v>59473.846153846156</v>
      </c>
      <c r="R40" s="600">
        <f>SUM(R28:R39)</f>
        <v>31948.13</v>
      </c>
      <c r="S40" s="600">
        <f t="shared" si="21"/>
        <v>2506.869999999998</v>
      </c>
      <c r="T40" s="725">
        <f>R40/I40</f>
        <v>0.7453892816313199</v>
      </c>
      <c r="U40" s="600">
        <f t="shared" si="21"/>
        <v>0</v>
      </c>
      <c r="V40" s="600">
        <f t="shared" si="21"/>
        <v>0</v>
      </c>
      <c r="W40" s="600">
        <f t="shared" si="21"/>
        <v>0</v>
      </c>
      <c r="X40" s="600">
        <f t="shared" si="21"/>
        <v>0</v>
      </c>
      <c r="Y40" s="600">
        <f t="shared" si="21"/>
        <v>0</v>
      </c>
      <c r="Z40" s="600">
        <f t="shared" si="21"/>
        <v>0</v>
      </c>
      <c r="AA40" s="600">
        <f t="shared" si="21"/>
        <v>0</v>
      </c>
      <c r="AB40" s="600">
        <f t="shared" si="21"/>
        <v>0</v>
      </c>
      <c r="AC40" s="600">
        <f t="shared" si="21"/>
        <v>0</v>
      </c>
      <c r="AD40" s="600">
        <f t="shared" si="21"/>
        <v>0</v>
      </c>
      <c r="AE40" s="600">
        <f t="shared" si="21"/>
        <v>0</v>
      </c>
      <c r="AF40" s="600">
        <f t="shared" si="21"/>
        <v>0</v>
      </c>
      <c r="AG40" s="600">
        <f t="shared" si="21"/>
        <v>57093.87</v>
      </c>
      <c r="AH40" s="600">
        <f t="shared" si="21"/>
        <v>20222.129999999997</v>
      </c>
      <c r="AI40" s="725">
        <f t="shared" si="9"/>
        <v>0.7384483160018626</v>
      </c>
      <c r="AJ40" s="600">
        <f t="shared" si="21"/>
        <v>0</v>
      </c>
      <c r="AK40" s="600">
        <f>SUM(AK28:AK39)</f>
        <v>0</v>
      </c>
      <c r="AL40" s="600">
        <f t="shared" si="21"/>
        <v>0</v>
      </c>
      <c r="AM40" s="600">
        <f t="shared" si="21"/>
        <v>0</v>
      </c>
      <c r="AN40" s="600">
        <f t="shared" si="21"/>
        <v>0</v>
      </c>
      <c r="AO40" s="600">
        <f t="shared" si="21"/>
        <v>0</v>
      </c>
      <c r="AP40" s="600">
        <f t="shared" si="21"/>
        <v>0</v>
      </c>
      <c r="AQ40" s="600">
        <f t="shared" si="21"/>
        <v>0</v>
      </c>
      <c r="AR40" s="600">
        <f t="shared" si="21"/>
        <v>0</v>
      </c>
      <c r="AS40" s="600">
        <f t="shared" si="21"/>
        <v>0</v>
      </c>
      <c r="AT40" s="600">
        <f t="shared" si="21"/>
        <v>0</v>
      </c>
      <c r="AU40" s="600">
        <f t="shared" si="21"/>
        <v>2638.79</v>
      </c>
      <c r="AV40" s="600">
        <f t="shared" si="21"/>
        <v>930.99</v>
      </c>
      <c r="AW40" s="600">
        <f t="shared" si="21"/>
        <v>3569.7799999999997</v>
      </c>
      <c r="AX40" s="600">
        <f t="shared" si="21"/>
        <v>411.02</v>
      </c>
      <c r="AY40" s="600">
        <f t="shared" si="21"/>
        <v>879.97</v>
      </c>
      <c r="AZ40" s="600">
        <f>SUM(AZ28:AZ39)</f>
        <v>20284.97</v>
      </c>
      <c r="BA40" s="600">
        <f t="shared" si="21"/>
        <v>21575.96</v>
      </c>
      <c r="BB40" s="513"/>
      <c r="BC40" s="600">
        <f>SUM(BC28:BC39)</f>
        <v>2188.03</v>
      </c>
      <c r="BD40" s="600">
        <f aca="true" t="shared" si="22" ref="BD40:BQ40">SUM(BD28:BD39)</f>
        <v>13138.98</v>
      </c>
      <c r="BE40" s="600">
        <f t="shared" si="22"/>
        <v>4296</v>
      </c>
      <c r="BF40" s="600">
        <f t="shared" si="22"/>
        <v>0</v>
      </c>
      <c r="BG40" s="600">
        <f t="shared" si="22"/>
        <v>19623.010000000002</v>
      </c>
      <c r="BH40" s="600">
        <f t="shared" si="22"/>
        <v>0</v>
      </c>
      <c r="BI40" s="600">
        <f t="shared" si="22"/>
        <v>2579.56</v>
      </c>
      <c r="BJ40" s="600">
        <f t="shared" si="22"/>
        <v>-1983.58</v>
      </c>
      <c r="BK40" s="600">
        <f t="shared" si="22"/>
        <v>595.98</v>
      </c>
      <c r="BL40" s="600">
        <f t="shared" si="22"/>
        <v>0</v>
      </c>
      <c r="BM40" s="600">
        <f t="shared" si="22"/>
        <v>2199.14</v>
      </c>
      <c r="BN40" s="600">
        <f t="shared" si="22"/>
        <v>893</v>
      </c>
      <c r="BO40" s="600">
        <f t="shared" si="22"/>
        <v>3092.14</v>
      </c>
      <c r="BP40" s="600">
        <f t="shared" si="22"/>
        <v>8637</v>
      </c>
      <c r="BQ40" s="600">
        <f t="shared" si="22"/>
        <v>0</v>
      </c>
      <c r="BR40" s="600">
        <f>SUM(BR28:BR39)</f>
        <v>0</v>
      </c>
      <c r="BS40" s="600">
        <f>SUM(BS28:BS39)</f>
        <v>8637</v>
      </c>
      <c r="BT40" s="513"/>
      <c r="BU40" s="779">
        <f aca="true" t="shared" si="23" ref="BU40:BZ40">SUM(BU28:BU39)</f>
        <v>20222</v>
      </c>
      <c r="BV40" s="738">
        <f t="shared" si="23"/>
        <v>6200</v>
      </c>
      <c r="BW40" s="738">
        <f t="shared" si="23"/>
        <v>3321</v>
      </c>
      <c r="BX40" s="738">
        <f t="shared" si="23"/>
        <v>10700</v>
      </c>
      <c r="BY40" s="738">
        <f t="shared" si="23"/>
        <v>240</v>
      </c>
      <c r="BZ40" s="738">
        <f t="shared" si="23"/>
        <v>240</v>
      </c>
      <c r="CA40" s="755">
        <f t="shared" si="14"/>
        <v>20701</v>
      </c>
      <c r="CB40" s="756">
        <f t="shared" si="15"/>
        <v>1.023687073484324</v>
      </c>
    </row>
    <row r="41" spans="1:80" s="460" customFormat="1" ht="19.5" customHeight="1" thickBot="1">
      <c r="A41" s="570" t="s">
        <v>485</v>
      </c>
      <c r="B41" s="804" t="s">
        <v>486</v>
      </c>
      <c r="C41" s="571" t="s">
        <v>487</v>
      </c>
      <c r="D41" s="564" t="s">
        <v>471</v>
      </c>
      <c r="E41" s="466" t="s">
        <v>472</v>
      </c>
      <c r="F41" s="579">
        <v>3</v>
      </c>
      <c r="G41" s="580">
        <v>650</v>
      </c>
      <c r="H41" s="579">
        <v>3</v>
      </c>
      <c r="I41" s="581">
        <f>F41*G41*H41</f>
        <v>5850</v>
      </c>
      <c r="J41" s="582"/>
      <c r="K41" s="582"/>
      <c r="L41" s="582"/>
      <c r="M41" s="574">
        <f>J41*K41*L41</f>
        <v>0</v>
      </c>
      <c r="N41" s="581">
        <f>I41+M41</f>
        <v>5850</v>
      </c>
      <c r="O41" s="536">
        <f t="shared" si="6"/>
        <v>4500</v>
      </c>
      <c r="P41" s="536">
        <f t="shared" si="7"/>
        <v>0</v>
      </c>
      <c r="Q41" s="536">
        <f t="shared" si="8"/>
        <v>4500</v>
      </c>
      <c r="R41" s="525">
        <f>BG41+BK41+BO41+BS41</f>
        <v>3931.66</v>
      </c>
      <c r="S41" s="525">
        <f>M41-R41</f>
        <v>-3931.66</v>
      </c>
      <c r="T41" s="475" t="e">
        <f>R41/M41</f>
        <v>#DIV/0!</v>
      </c>
      <c r="U41" s="476"/>
      <c r="V41" s="476"/>
      <c r="W41" s="476"/>
      <c r="X41" s="476"/>
      <c r="Y41" s="476"/>
      <c r="Z41" s="476"/>
      <c r="AA41" s="476"/>
      <c r="AB41" s="476"/>
      <c r="AC41" s="476"/>
      <c r="AD41" s="476"/>
      <c r="AE41" s="476"/>
      <c r="AF41" s="476"/>
      <c r="AG41" s="535">
        <f>AO41+AS41+AW41+BA41+BG41+BK41+BO41+BS41</f>
        <v>5881.66</v>
      </c>
      <c r="AH41" s="535">
        <f t="shared" si="20"/>
        <v>-31.659999999999854</v>
      </c>
      <c r="AI41" s="477">
        <f t="shared" si="9"/>
        <v>1.0054119658119658</v>
      </c>
      <c r="AJ41" s="461"/>
      <c r="AK41" s="511">
        <v>0</v>
      </c>
      <c r="AL41" s="511">
        <v>0</v>
      </c>
      <c r="AM41" s="511">
        <v>0</v>
      </c>
      <c r="AN41" s="511">
        <v>0</v>
      </c>
      <c r="AO41" s="512">
        <f t="shared" si="10"/>
        <v>0</v>
      </c>
      <c r="AP41" s="511">
        <v>0</v>
      </c>
      <c r="AQ41" s="511">
        <v>0</v>
      </c>
      <c r="AR41" s="511">
        <v>0</v>
      </c>
      <c r="AS41" s="512">
        <f t="shared" si="11"/>
        <v>0</v>
      </c>
      <c r="AT41" s="511">
        <v>0</v>
      </c>
      <c r="AU41" s="511">
        <v>0</v>
      </c>
      <c r="AV41" s="511">
        <v>0</v>
      </c>
      <c r="AW41" s="512">
        <f t="shared" si="12"/>
        <v>0</v>
      </c>
      <c r="AX41" s="511">
        <v>0</v>
      </c>
      <c r="AY41" s="511">
        <v>0</v>
      </c>
      <c r="AZ41" s="511">
        <v>1950</v>
      </c>
      <c r="BA41" s="512">
        <f t="shared" si="13"/>
        <v>1950</v>
      </c>
      <c r="BB41" s="513"/>
      <c r="BC41" s="511">
        <v>0</v>
      </c>
      <c r="BD41" s="511">
        <v>0</v>
      </c>
      <c r="BE41" s="511">
        <v>3931.66</v>
      </c>
      <c r="BF41" s="511">
        <v>0</v>
      </c>
      <c r="BG41" s="512">
        <f>SUM(BC41:BF41)</f>
        <v>3931.66</v>
      </c>
      <c r="BH41" s="511">
        <v>0</v>
      </c>
      <c r="BI41" s="511">
        <v>0</v>
      </c>
      <c r="BJ41" s="511">
        <v>0</v>
      </c>
      <c r="BK41" s="512">
        <f>SUM(BH41:BJ41)</f>
        <v>0</v>
      </c>
      <c r="BL41" s="511">
        <v>0</v>
      </c>
      <c r="BM41" s="511">
        <v>0</v>
      </c>
      <c r="BN41" s="511">
        <v>0</v>
      </c>
      <c r="BO41" s="512">
        <f>SUM(BL41:BN41)</f>
        <v>0</v>
      </c>
      <c r="BP41" s="511">
        <v>0</v>
      </c>
      <c r="BQ41" s="511">
        <v>0</v>
      </c>
      <c r="BR41" s="511">
        <v>0</v>
      </c>
      <c r="BS41" s="512">
        <f>SUM(BP41:BR41)</f>
        <v>0</v>
      </c>
      <c r="BT41" s="513"/>
      <c r="BU41" s="748">
        <f>0-32</f>
        <v>-32</v>
      </c>
      <c r="BV41" s="752">
        <v>0</v>
      </c>
      <c r="BW41" s="752">
        <v>0</v>
      </c>
      <c r="BX41" s="752">
        <v>0</v>
      </c>
      <c r="BY41" s="752">
        <v>0</v>
      </c>
      <c r="BZ41" s="752">
        <v>0</v>
      </c>
      <c r="CA41" s="753">
        <f t="shared" si="14"/>
        <v>0</v>
      </c>
      <c r="CB41" s="754">
        <f t="shared" si="15"/>
        <v>0</v>
      </c>
    </row>
    <row r="42" spans="1:80" s="460" customFormat="1" ht="19.5" customHeight="1" thickBot="1">
      <c r="A42" s="570" t="s">
        <v>488</v>
      </c>
      <c r="B42" s="805"/>
      <c r="C42" s="602" t="s">
        <v>489</v>
      </c>
      <c r="D42" s="564" t="s">
        <v>471</v>
      </c>
      <c r="E42" s="470" t="s">
        <v>472</v>
      </c>
      <c r="F42" s="572">
        <v>5</v>
      </c>
      <c r="G42" s="573">
        <v>700</v>
      </c>
      <c r="H42" s="572">
        <v>2</v>
      </c>
      <c r="I42" s="574">
        <f>F42*G42*H42</f>
        <v>7000</v>
      </c>
      <c r="J42" s="575">
        <v>5</v>
      </c>
      <c r="K42" s="575">
        <v>700</v>
      </c>
      <c r="L42" s="575">
        <v>12</v>
      </c>
      <c r="M42" s="574">
        <f>J42*K42*L42</f>
        <v>42000</v>
      </c>
      <c r="N42" s="574">
        <f>M42+I42</f>
        <v>49000</v>
      </c>
      <c r="O42" s="536">
        <f t="shared" si="6"/>
        <v>5384.615384615385</v>
      </c>
      <c r="P42" s="536">
        <f t="shared" si="7"/>
        <v>32307.692307692305</v>
      </c>
      <c r="Q42" s="536">
        <f t="shared" si="8"/>
        <v>37692.30769230769</v>
      </c>
      <c r="R42" s="525">
        <f>BG42+BK42+BO42+BS42</f>
        <v>31143.72</v>
      </c>
      <c r="S42" s="525">
        <f>M42-R42</f>
        <v>10856.279999999999</v>
      </c>
      <c r="T42" s="475">
        <f>R42/M42</f>
        <v>0.7415171428571429</v>
      </c>
      <c r="U42" s="476"/>
      <c r="V42" s="476"/>
      <c r="W42" s="476"/>
      <c r="X42" s="476"/>
      <c r="Y42" s="476"/>
      <c r="Z42" s="476"/>
      <c r="AA42" s="476"/>
      <c r="AB42" s="476"/>
      <c r="AC42" s="476"/>
      <c r="AD42" s="476"/>
      <c r="AE42" s="476"/>
      <c r="AF42" s="476"/>
      <c r="AG42" s="535">
        <f>AO42+AS42+AW42+BA42+BG42+BK42+BO42+BS42</f>
        <v>31143.72</v>
      </c>
      <c r="AH42" s="535">
        <f t="shared" si="20"/>
        <v>17856.28</v>
      </c>
      <c r="AI42" s="477">
        <f t="shared" si="9"/>
        <v>0.6355861224489796</v>
      </c>
      <c r="AJ42" s="461"/>
      <c r="AK42" s="511">
        <v>0</v>
      </c>
      <c r="AL42" s="511">
        <v>0</v>
      </c>
      <c r="AM42" s="511">
        <v>0</v>
      </c>
      <c r="AN42" s="511">
        <v>0</v>
      </c>
      <c r="AO42" s="512">
        <f t="shared" si="10"/>
        <v>0</v>
      </c>
      <c r="AP42" s="511">
        <v>0</v>
      </c>
      <c r="AQ42" s="511">
        <v>0</v>
      </c>
      <c r="AR42" s="511">
        <v>0</v>
      </c>
      <c r="AS42" s="512">
        <f t="shared" si="11"/>
        <v>0</v>
      </c>
      <c r="AT42" s="511">
        <v>0</v>
      </c>
      <c r="AU42" s="511">
        <v>0</v>
      </c>
      <c r="AV42" s="511">
        <v>0</v>
      </c>
      <c r="AW42" s="512">
        <f t="shared" si="12"/>
        <v>0</v>
      </c>
      <c r="AX42" s="511">
        <v>0</v>
      </c>
      <c r="AY42" s="511">
        <v>0</v>
      </c>
      <c r="AZ42" s="511">
        <v>0</v>
      </c>
      <c r="BA42" s="512">
        <f t="shared" si="13"/>
        <v>0</v>
      </c>
      <c r="BB42" s="513"/>
      <c r="BC42" s="511">
        <v>0</v>
      </c>
      <c r="BD42" s="511">
        <v>0</v>
      </c>
      <c r="BE42" s="511">
        <v>15877.84</v>
      </c>
      <c r="BF42" s="511">
        <v>0</v>
      </c>
      <c r="BG42" s="512">
        <f>SUM(BC42:BF42)</f>
        <v>15877.84</v>
      </c>
      <c r="BH42" s="511">
        <v>0</v>
      </c>
      <c r="BI42" s="511">
        <v>0</v>
      </c>
      <c r="BJ42" s="511">
        <v>0</v>
      </c>
      <c r="BK42" s="512">
        <f>SUM(BH42:BJ42)</f>
        <v>0</v>
      </c>
      <c r="BL42" s="511">
        <v>6358.77</v>
      </c>
      <c r="BM42" s="511">
        <v>0</v>
      </c>
      <c r="BN42" s="511">
        <v>0</v>
      </c>
      <c r="BO42" s="512">
        <f>SUM(BL42:BN42)</f>
        <v>6358.77</v>
      </c>
      <c r="BP42" s="511">
        <v>8907.11</v>
      </c>
      <c r="BQ42" s="511">
        <v>0</v>
      </c>
      <c r="BR42" s="511">
        <v>0</v>
      </c>
      <c r="BS42" s="512">
        <f>SUM(BP42:BR42)</f>
        <v>8907.11</v>
      </c>
      <c r="BT42" s="513"/>
      <c r="BU42" s="748">
        <v>17856</v>
      </c>
      <c r="BV42" s="752">
        <v>8000</v>
      </c>
      <c r="BW42" s="752">
        <v>5500</v>
      </c>
      <c r="BX42" s="752">
        <v>0</v>
      </c>
      <c r="BY42" s="752">
        <v>4300</v>
      </c>
      <c r="BZ42" s="752"/>
      <c r="CA42" s="753">
        <f t="shared" si="14"/>
        <v>17800</v>
      </c>
      <c r="CB42" s="754">
        <f t="shared" si="15"/>
        <v>0.9968637992831542</v>
      </c>
    </row>
    <row r="43" spans="1:80" s="460" customFormat="1" ht="24.75" customHeight="1" thickBot="1">
      <c r="A43" s="484" t="s">
        <v>66</v>
      </c>
      <c r="B43" s="805"/>
      <c r="C43" s="578" t="s">
        <v>490</v>
      </c>
      <c r="D43" s="564" t="s">
        <v>471</v>
      </c>
      <c r="E43" s="467" t="s">
        <v>44</v>
      </c>
      <c r="F43" s="603">
        <v>36</v>
      </c>
      <c r="G43" s="604">
        <v>5</v>
      </c>
      <c r="H43" s="603">
        <v>2</v>
      </c>
      <c r="I43" s="581">
        <f>F43*G43*H43</f>
        <v>360</v>
      </c>
      <c r="J43" s="605">
        <v>36</v>
      </c>
      <c r="K43" s="605">
        <v>5</v>
      </c>
      <c r="L43" s="605">
        <v>6</v>
      </c>
      <c r="M43" s="581">
        <f>J43*K43*L43</f>
        <v>1080</v>
      </c>
      <c r="N43" s="581">
        <f>I43+M43</f>
        <v>1440</v>
      </c>
      <c r="O43" s="536">
        <f t="shared" si="6"/>
        <v>276.9230769230769</v>
      </c>
      <c r="P43" s="536">
        <f t="shared" si="7"/>
        <v>830.7692307692307</v>
      </c>
      <c r="Q43" s="536">
        <f t="shared" si="8"/>
        <v>1107.6923076923076</v>
      </c>
      <c r="R43" s="525">
        <f>BG43+BK43+BO43+BS43</f>
        <v>0</v>
      </c>
      <c r="S43" s="525">
        <f>M43-R43</f>
        <v>1080</v>
      </c>
      <c r="T43" s="475">
        <f>R43/M43</f>
        <v>0</v>
      </c>
      <c r="U43" s="476"/>
      <c r="V43" s="476"/>
      <c r="W43" s="476"/>
      <c r="X43" s="476"/>
      <c r="Y43" s="476"/>
      <c r="Z43" s="476"/>
      <c r="AA43" s="476"/>
      <c r="AB43" s="476"/>
      <c r="AC43" s="476"/>
      <c r="AD43" s="476"/>
      <c r="AE43" s="476"/>
      <c r="AF43" s="476"/>
      <c r="AG43" s="535">
        <f>AO43+AS43+AW43+BA43+BG43+BK43+BO43+BS43</f>
        <v>0</v>
      </c>
      <c r="AH43" s="535">
        <f t="shared" si="20"/>
        <v>1440</v>
      </c>
      <c r="AI43" s="477">
        <f t="shared" si="9"/>
        <v>0</v>
      </c>
      <c r="AJ43" s="461"/>
      <c r="AK43" s="511">
        <v>0</v>
      </c>
      <c r="AL43" s="511">
        <v>0</v>
      </c>
      <c r="AM43" s="511">
        <v>0</v>
      </c>
      <c r="AN43" s="511">
        <v>0</v>
      </c>
      <c r="AO43" s="512">
        <f t="shared" si="10"/>
        <v>0</v>
      </c>
      <c r="AP43" s="511">
        <v>0</v>
      </c>
      <c r="AQ43" s="511">
        <v>0</v>
      </c>
      <c r="AR43" s="511">
        <v>0</v>
      </c>
      <c r="AS43" s="512">
        <f t="shared" si="11"/>
        <v>0</v>
      </c>
      <c r="AT43" s="511">
        <v>0</v>
      </c>
      <c r="AU43" s="511">
        <v>0</v>
      </c>
      <c r="AV43" s="511">
        <v>0</v>
      </c>
      <c r="AW43" s="512">
        <f t="shared" si="12"/>
        <v>0</v>
      </c>
      <c r="AX43" s="511">
        <v>0</v>
      </c>
      <c r="AY43" s="511">
        <v>0</v>
      </c>
      <c r="AZ43" s="511">
        <v>0</v>
      </c>
      <c r="BA43" s="512">
        <f t="shared" si="13"/>
        <v>0</v>
      </c>
      <c r="BB43" s="513"/>
      <c r="BC43" s="511">
        <v>0</v>
      </c>
      <c r="BD43" s="511">
        <v>0</v>
      </c>
      <c r="BE43" s="511">
        <v>0</v>
      </c>
      <c r="BF43" s="511">
        <v>0</v>
      </c>
      <c r="BG43" s="512">
        <f>SUM(BC43:BF43)</f>
        <v>0</v>
      </c>
      <c r="BH43" s="511">
        <v>0</v>
      </c>
      <c r="BI43" s="511">
        <v>0</v>
      </c>
      <c r="BJ43" s="511">
        <v>0</v>
      </c>
      <c r="BK43" s="512">
        <f>SUM(BH43:BJ43)</f>
        <v>0</v>
      </c>
      <c r="BL43" s="511">
        <v>0</v>
      </c>
      <c r="BM43" s="511">
        <v>0</v>
      </c>
      <c r="BN43" s="511">
        <v>0</v>
      </c>
      <c r="BO43" s="512">
        <f>SUM(BL43:BN43)</f>
        <v>0</v>
      </c>
      <c r="BP43" s="511">
        <v>0</v>
      </c>
      <c r="BQ43" s="511">
        <v>0</v>
      </c>
      <c r="BR43" s="511">
        <v>0</v>
      </c>
      <c r="BS43" s="512">
        <f>SUM(BP43:BR43)</f>
        <v>0</v>
      </c>
      <c r="BT43" s="513"/>
      <c r="BU43" s="748">
        <v>1440</v>
      </c>
      <c r="BV43" s="752">
        <v>250</v>
      </c>
      <c r="BW43" s="752">
        <v>250</v>
      </c>
      <c r="BX43" s="752">
        <v>250</v>
      </c>
      <c r="BY43" s="752">
        <v>250</v>
      </c>
      <c r="BZ43" s="752">
        <v>450</v>
      </c>
      <c r="CA43" s="753">
        <f t="shared" si="14"/>
        <v>1450</v>
      </c>
      <c r="CB43" s="754">
        <f t="shared" si="15"/>
        <v>1.0069444444444444</v>
      </c>
    </row>
    <row r="44" spans="1:80" s="460" customFormat="1" ht="15" customHeight="1" thickBot="1">
      <c r="A44" s="570" t="s">
        <v>491</v>
      </c>
      <c r="B44" s="805"/>
      <c r="C44" s="571" t="s">
        <v>492</v>
      </c>
      <c r="D44" s="564" t="s">
        <v>471</v>
      </c>
      <c r="E44" s="470" t="s">
        <v>367</v>
      </c>
      <c r="F44" s="572"/>
      <c r="G44" s="573"/>
      <c r="H44" s="572"/>
      <c r="I44" s="581">
        <f>F44*G44*H44</f>
        <v>0</v>
      </c>
      <c r="J44" s="575">
        <v>35</v>
      </c>
      <c r="K44" s="575">
        <v>5</v>
      </c>
      <c r="L44" s="575">
        <v>6</v>
      </c>
      <c r="M44" s="574">
        <f>J44*K44*L44</f>
        <v>1050</v>
      </c>
      <c r="N44" s="574">
        <f>M44+I44</f>
        <v>1050</v>
      </c>
      <c r="O44" s="536">
        <f t="shared" si="6"/>
        <v>0</v>
      </c>
      <c r="P44" s="536">
        <f t="shared" si="7"/>
        <v>807.6923076923076</v>
      </c>
      <c r="Q44" s="536">
        <f t="shared" si="8"/>
        <v>807.6923076923076</v>
      </c>
      <c r="R44" s="525">
        <f>BG44+BK44+BO44+BS44</f>
        <v>0</v>
      </c>
      <c r="S44" s="525">
        <f>M44-R44</f>
        <v>1050</v>
      </c>
      <c r="T44" s="475">
        <f>R44/M44</f>
        <v>0</v>
      </c>
      <c r="U44" s="476"/>
      <c r="V44" s="476"/>
      <c r="W44" s="476"/>
      <c r="X44" s="476"/>
      <c r="Y44" s="476"/>
      <c r="Z44" s="476"/>
      <c r="AA44" s="476"/>
      <c r="AB44" s="476"/>
      <c r="AC44" s="476"/>
      <c r="AD44" s="476"/>
      <c r="AE44" s="476"/>
      <c r="AF44" s="476"/>
      <c r="AG44" s="535">
        <f>AO44+AS44+AW44+BA44+BG44+BK44+BO44+BS44</f>
        <v>0</v>
      </c>
      <c r="AH44" s="535">
        <f t="shared" si="20"/>
        <v>1050</v>
      </c>
      <c r="AI44" s="477">
        <f t="shared" si="9"/>
        <v>0</v>
      </c>
      <c r="AJ44" s="461"/>
      <c r="AK44" s="511">
        <v>0</v>
      </c>
      <c r="AL44" s="511">
        <v>0</v>
      </c>
      <c r="AM44" s="511">
        <v>0</v>
      </c>
      <c r="AN44" s="511">
        <v>0</v>
      </c>
      <c r="AO44" s="512">
        <f t="shared" si="10"/>
        <v>0</v>
      </c>
      <c r="AP44" s="511">
        <v>0</v>
      </c>
      <c r="AQ44" s="511">
        <v>0</v>
      </c>
      <c r="AR44" s="511">
        <v>0</v>
      </c>
      <c r="AS44" s="512">
        <f t="shared" si="11"/>
        <v>0</v>
      </c>
      <c r="AT44" s="511">
        <v>0</v>
      </c>
      <c r="AU44" s="511">
        <v>0</v>
      </c>
      <c r="AV44" s="511">
        <v>0</v>
      </c>
      <c r="AW44" s="512">
        <f t="shared" si="12"/>
        <v>0</v>
      </c>
      <c r="AX44" s="511">
        <v>0</v>
      </c>
      <c r="AY44" s="511">
        <v>0</v>
      </c>
      <c r="AZ44" s="511">
        <v>0</v>
      </c>
      <c r="BA44" s="512">
        <f t="shared" si="13"/>
        <v>0</v>
      </c>
      <c r="BB44" s="513"/>
      <c r="BC44" s="511">
        <v>0</v>
      </c>
      <c r="BD44" s="511">
        <v>0</v>
      </c>
      <c r="BE44" s="511">
        <v>0</v>
      </c>
      <c r="BF44" s="511">
        <v>0</v>
      </c>
      <c r="BG44" s="512">
        <f>SUM(BC44:BF44)</f>
        <v>0</v>
      </c>
      <c r="BH44" s="511">
        <v>0</v>
      </c>
      <c r="BI44" s="511">
        <v>0</v>
      </c>
      <c r="BJ44" s="511">
        <v>0</v>
      </c>
      <c r="BK44" s="512">
        <f>SUM(BH44:BJ44)</f>
        <v>0</v>
      </c>
      <c r="BL44" s="511">
        <v>0</v>
      </c>
      <c r="BM44" s="511">
        <v>0</v>
      </c>
      <c r="BN44" s="511">
        <v>0</v>
      </c>
      <c r="BO44" s="512">
        <f>SUM(BL44:BN44)</f>
        <v>0</v>
      </c>
      <c r="BP44" s="511">
        <v>0</v>
      </c>
      <c r="BQ44" s="511">
        <v>0</v>
      </c>
      <c r="BR44" s="511">
        <v>0</v>
      </c>
      <c r="BS44" s="512">
        <f>SUM(BP44:BR44)</f>
        <v>0</v>
      </c>
      <c r="BT44" s="513"/>
      <c r="BU44" s="748">
        <v>1050</v>
      </c>
      <c r="BV44" s="752">
        <v>200</v>
      </c>
      <c r="BW44" s="752">
        <v>200</v>
      </c>
      <c r="BX44" s="752">
        <v>200</v>
      </c>
      <c r="BY44" s="752">
        <v>200</v>
      </c>
      <c r="BZ44" s="752">
        <v>250</v>
      </c>
      <c r="CA44" s="753">
        <f t="shared" si="14"/>
        <v>1050</v>
      </c>
      <c r="CB44" s="754">
        <f t="shared" si="15"/>
        <v>1</v>
      </c>
    </row>
    <row r="45" spans="1:80" s="460" customFormat="1" ht="15.75">
      <c r="A45" s="606" t="s">
        <v>67</v>
      </c>
      <c r="B45" s="803"/>
      <c r="C45" s="592" t="s">
        <v>493</v>
      </c>
      <c r="D45" s="607" t="s">
        <v>471</v>
      </c>
      <c r="E45" s="608" t="s">
        <v>44</v>
      </c>
      <c r="F45" s="609">
        <v>0</v>
      </c>
      <c r="G45" s="610">
        <v>0</v>
      </c>
      <c r="H45" s="609">
        <v>0</v>
      </c>
      <c r="I45" s="581">
        <f>F45*G45*H45</f>
        <v>0</v>
      </c>
      <c r="J45" s="611">
        <v>0</v>
      </c>
      <c r="K45" s="611">
        <v>0</v>
      </c>
      <c r="L45" s="611">
        <v>0</v>
      </c>
      <c r="M45" s="612">
        <v>0</v>
      </c>
      <c r="N45" s="612">
        <v>0</v>
      </c>
      <c r="O45" s="536">
        <f t="shared" si="6"/>
        <v>0</v>
      </c>
      <c r="P45" s="536">
        <f t="shared" si="7"/>
        <v>0</v>
      </c>
      <c r="Q45" s="536">
        <f t="shared" si="8"/>
        <v>0</v>
      </c>
      <c r="R45" s="525">
        <f>BG45+BK45+BO45+BS45</f>
        <v>0</v>
      </c>
      <c r="S45" s="525">
        <f>M45-R45</f>
        <v>0</v>
      </c>
      <c r="T45" s="475" t="e">
        <f>R45/M45</f>
        <v>#DIV/0!</v>
      </c>
      <c r="U45" s="476"/>
      <c r="V45" s="476"/>
      <c r="W45" s="476"/>
      <c r="X45" s="476"/>
      <c r="Y45" s="476"/>
      <c r="Z45" s="476"/>
      <c r="AA45" s="476"/>
      <c r="AB45" s="476"/>
      <c r="AC45" s="476"/>
      <c r="AD45" s="476"/>
      <c r="AE45" s="476"/>
      <c r="AF45" s="476"/>
      <c r="AG45" s="535">
        <f>AO45+AS45+AW45+BA45+BG45+BK45+BO45+BS45</f>
        <v>0</v>
      </c>
      <c r="AH45" s="535">
        <f t="shared" si="20"/>
        <v>0</v>
      </c>
      <c r="AI45" s="477" t="e">
        <f t="shared" si="9"/>
        <v>#DIV/0!</v>
      </c>
      <c r="AJ45" s="461"/>
      <c r="AK45" s="511">
        <v>0</v>
      </c>
      <c r="AL45" s="511">
        <v>0</v>
      </c>
      <c r="AM45" s="511">
        <v>0</v>
      </c>
      <c r="AN45" s="511">
        <v>0</v>
      </c>
      <c r="AO45" s="512">
        <f t="shared" si="10"/>
        <v>0</v>
      </c>
      <c r="AP45" s="511">
        <v>0</v>
      </c>
      <c r="AQ45" s="511">
        <v>0</v>
      </c>
      <c r="AR45" s="511">
        <v>0</v>
      </c>
      <c r="AS45" s="512">
        <f t="shared" si="11"/>
        <v>0</v>
      </c>
      <c r="AT45" s="511">
        <v>0</v>
      </c>
      <c r="AU45" s="511">
        <v>0</v>
      </c>
      <c r="AV45" s="511">
        <v>0</v>
      </c>
      <c r="AW45" s="512">
        <f t="shared" si="12"/>
        <v>0</v>
      </c>
      <c r="AX45" s="511">
        <v>0</v>
      </c>
      <c r="AY45" s="511">
        <v>0</v>
      </c>
      <c r="AZ45" s="511">
        <v>0</v>
      </c>
      <c r="BA45" s="512">
        <f t="shared" si="13"/>
        <v>0</v>
      </c>
      <c r="BB45" s="513"/>
      <c r="BC45" s="511">
        <v>0</v>
      </c>
      <c r="BD45" s="511">
        <v>0</v>
      </c>
      <c r="BE45" s="511">
        <v>0</v>
      </c>
      <c r="BF45" s="511">
        <v>0</v>
      </c>
      <c r="BG45" s="512">
        <f>SUM(BC45:BF45)</f>
        <v>0</v>
      </c>
      <c r="BH45" s="511">
        <v>0</v>
      </c>
      <c r="BI45" s="511">
        <v>0</v>
      </c>
      <c r="BJ45" s="511">
        <v>0</v>
      </c>
      <c r="BK45" s="512">
        <f>SUM(BH45:BJ45)</f>
        <v>0</v>
      </c>
      <c r="BL45" s="511">
        <v>0</v>
      </c>
      <c r="BM45" s="511">
        <v>0</v>
      </c>
      <c r="BN45" s="511">
        <v>0</v>
      </c>
      <c r="BO45" s="512">
        <f>SUM(BL45:BN45)</f>
        <v>0</v>
      </c>
      <c r="BP45" s="511">
        <v>0</v>
      </c>
      <c r="BQ45" s="511">
        <v>0</v>
      </c>
      <c r="BR45" s="511">
        <v>0</v>
      </c>
      <c r="BS45" s="512">
        <f>SUM(BP45:BR45)</f>
        <v>0</v>
      </c>
      <c r="BT45" s="513"/>
      <c r="BU45" s="748">
        <v>0</v>
      </c>
      <c r="BV45" s="752">
        <v>0</v>
      </c>
      <c r="BW45" s="752">
        <v>0</v>
      </c>
      <c r="BX45" s="752">
        <v>0</v>
      </c>
      <c r="BY45" s="752">
        <v>0</v>
      </c>
      <c r="BZ45" s="752">
        <v>0</v>
      </c>
      <c r="CA45" s="753">
        <f t="shared" si="14"/>
        <v>0</v>
      </c>
      <c r="CB45" s="754" t="e">
        <f t="shared" si="15"/>
        <v>#DIV/0!</v>
      </c>
    </row>
    <row r="46" spans="1:80" s="460" customFormat="1" ht="16.5" thickBot="1">
      <c r="A46" s="613"/>
      <c r="B46" s="614"/>
      <c r="C46" s="595" t="s">
        <v>0</v>
      </c>
      <c r="D46" s="596" t="s">
        <v>0</v>
      </c>
      <c r="E46" s="615"/>
      <c r="F46" s="614"/>
      <c r="G46" s="614"/>
      <c r="H46" s="614"/>
      <c r="I46" s="600">
        <f>SUM(I41:I45)</f>
        <v>13210</v>
      </c>
      <c r="J46" s="614"/>
      <c r="K46" s="614"/>
      <c r="L46" s="614"/>
      <c r="M46" s="600">
        <f>SUM(M41:M45)</f>
        <v>44130</v>
      </c>
      <c r="N46" s="600">
        <f>SUM(N41:N45)</f>
        <v>57340</v>
      </c>
      <c r="O46" s="600">
        <f aca="true" t="shared" si="24" ref="O46:BA46">SUM(O41:O45)</f>
        <v>10161.538461538461</v>
      </c>
      <c r="P46" s="600">
        <f t="shared" si="24"/>
        <v>33946.153846153844</v>
      </c>
      <c r="Q46" s="600">
        <f t="shared" si="24"/>
        <v>44107.6923076923</v>
      </c>
      <c r="R46" s="600">
        <f>SUM(R41:R45)</f>
        <v>35075.380000000005</v>
      </c>
      <c r="S46" s="600">
        <f t="shared" si="24"/>
        <v>9054.619999999999</v>
      </c>
      <c r="T46" s="725">
        <f>R46/I46</f>
        <v>2.655214231642695</v>
      </c>
      <c r="U46" s="600">
        <f t="shared" si="24"/>
        <v>0</v>
      </c>
      <c r="V46" s="600">
        <f t="shared" si="24"/>
        <v>0</v>
      </c>
      <c r="W46" s="600">
        <f t="shared" si="24"/>
        <v>0</v>
      </c>
      <c r="X46" s="600">
        <f t="shared" si="24"/>
        <v>0</v>
      </c>
      <c r="Y46" s="600">
        <f t="shared" si="24"/>
        <v>0</v>
      </c>
      <c r="Z46" s="600">
        <f t="shared" si="24"/>
        <v>0</v>
      </c>
      <c r="AA46" s="600">
        <f t="shared" si="24"/>
        <v>0</v>
      </c>
      <c r="AB46" s="600">
        <f t="shared" si="24"/>
        <v>0</v>
      </c>
      <c r="AC46" s="600">
        <f t="shared" si="24"/>
        <v>0</v>
      </c>
      <c r="AD46" s="600">
        <f t="shared" si="24"/>
        <v>0</v>
      </c>
      <c r="AE46" s="600">
        <f t="shared" si="24"/>
        <v>0</v>
      </c>
      <c r="AF46" s="600">
        <f t="shared" si="24"/>
        <v>0</v>
      </c>
      <c r="AG46" s="600">
        <f t="shared" si="24"/>
        <v>37025.380000000005</v>
      </c>
      <c r="AH46" s="600">
        <f t="shared" si="24"/>
        <v>20314.62</v>
      </c>
      <c r="AI46" s="725">
        <f t="shared" si="9"/>
        <v>0.6457164283222881</v>
      </c>
      <c r="AJ46" s="600">
        <f t="shared" si="24"/>
        <v>0</v>
      </c>
      <c r="AK46" s="600">
        <f>SUM(AK41:AK45)</f>
        <v>0</v>
      </c>
      <c r="AL46" s="600">
        <f t="shared" si="24"/>
        <v>0</v>
      </c>
      <c r="AM46" s="600">
        <f t="shared" si="24"/>
        <v>0</v>
      </c>
      <c r="AN46" s="600">
        <f t="shared" si="24"/>
        <v>0</v>
      </c>
      <c r="AO46" s="600">
        <f t="shared" si="24"/>
        <v>0</v>
      </c>
      <c r="AP46" s="600">
        <f t="shared" si="24"/>
        <v>0</v>
      </c>
      <c r="AQ46" s="600">
        <f t="shared" si="24"/>
        <v>0</v>
      </c>
      <c r="AR46" s="600">
        <f t="shared" si="24"/>
        <v>0</v>
      </c>
      <c r="AS46" s="600">
        <f t="shared" si="24"/>
        <v>0</v>
      </c>
      <c r="AT46" s="600">
        <f t="shared" si="24"/>
        <v>0</v>
      </c>
      <c r="AU46" s="600">
        <f t="shared" si="24"/>
        <v>0</v>
      </c>
      <c r="AV46" s="600">
        <f t="shared" si="24"/>
        <v>0</v>
      </c>
      <c r="AW46" s="600">
        <f t="shared" si="24"/>
        <v>0</v>
      </c>
      <c r="AX46" s="600">
        <f t="shared" si="24"/>
        <v>0</v>
      </c>
      <c r="AY46" s="600">
        <f t="shared" si="24"/>
        <v>0</v>
      </c>
      <c r="AZ46" s="600">
        <f t="shared" si="24"/>
        <v>1950</v>
      </c>
      <c r="BA46" s="600">
        <f t="shared" si="24"/>
        <v>1950</v>
      </c>
      <c r="BB46" s="513"/>
      <c r="BC46" s="600">
        <f>SUM(BC41:BC45)</f>
        <v>0</v>
      </c>
      <c r="BD46" s="600">
        <f aca="true" t="shared" si="25" ref="BD46:BS46">SUM(BD41:BD45)</f>
        <v>0</v>
      </c>
      <c r="BE46" s="600">
        <f t="shared" si="25"/>
        <v>19809.5</v>
      </c>
      <c r="BF46" s="600">
        <f t="shared" si="25"/>
        <v>0</v>
      </c>
      <c r="BG46" s="600">
        <f t="shared" si="25"/>
        <v>19809.5</v>
      </c>
      <c r="BH46" s="600">
        <f t="shared" si="25"/>
        <v>0</v>
      </c>
      <c r="BI46" s="600">
        <f t="shared" si="25"/>
        <v>0</v>
      </c>
      <c r="BJ46" s="600">
        <f t="shared" si="25"/>
        <v>0</v>
      </c>
      <c r="BK46" s="600">
        <f t="shared" si="25"/>
        <v>0</v>
      </c>
      <c r="BL46" s="600">
        <f t="shared" si="25"/>
        <v>6358.77</v>
      </c>
      <c r="BM46" s="600">
        <f t="shared" si="25"/>
        <v>0</v>
      </c>
      <c r="BN46" s="600">
        <f t="shared" si="25"/>
        <v>0</v>
      </c>
      <c r="BO46" s="600">
        <f t="shared" si="25"/>
        <v>6358.77</v>
      </c>
      <c r="BP46" s="600">
        <f t="shared" si="25"/>
        <v>8907.11</v>
      </c>
      <c r="BQ46" s="600">
        <f t="shared" si="25"/>
        <v>0</v>
      </c>
      <c r="BR46" s="600">
        <f t="shared" si="25"/>
        <v>0</v>
      </c>
      <c r="BS46" s="600">
        <f t="shared" si="25"/>
        <v>8907.11</v>
      </c>
      <c r="BT46" s="513"/>
      <c r="BU46" s="779">
        <f aca="true" t="shared" si="26" ref="BU46:BZ46">SUM(BU41:BU45)</f>
        <v>20314</v>
      </c>
      <c r="BV46" s="738">
        <f t="shared" si="26"/>
        <v>8450</v>
      </c>
      <c r="BW46" s="738">
        <f t="shared" si="26"/>
        <v>5950</v>
      </c>
      <c r="BX46" s="738">
        <f t="shared" si="26"/>
        <v>450</v>
      </c>
      <c r="BY46" s="738">
        <f t="shared" si="26"/>
        <v>4750</v>
      </c>
      <c r="BZ46" s="738">
        <f t="shared" si="26"/>
        <v>700</v>
      </c>
      <c r="CA46" s="755">
        <f t="shared" si="14"/>
        <v>20300</v>
      </c>
      <c r="CB46" s="756">
        <f t="shared" si="15"/>
        <v>0.9993108201240524</v>
      </c>
    </row>
    <row r="47" spans="1:80" s="460" customFormat="1" ht="16.5" thickBot="1">
      <c r="A47" s="484" t="s">
        <v>93</v>
      </c>
      <c r="B47" s="804" t="s">
        <v>494</v>
      </c>
      <c r="C47" s="578" t="s">
        <v>495</v>
      </c>
      <c r="D47" s="564" t="s">
        <v>471</v>
      </c>
      <c r="E47" s="469" t="s">
        <v>367</v>
      </c>
      <c r="F47" s="579">
        <v>1</v>
      </c>
      <c r="G47" s="579">
        <v>3260</v>
      </c>
      <c r="H47" s="579">
        <v>6</v>
      </c>
      <c r="I47" s="581">
        <f>F47*G47*H47</f>
        <v>19560</v>
      </c>
      <c r="J47" s="582">
        <v>1</v>
      </c>
      <c r="K47" s="582">
        <v>2000</v>
      </c>
      <c r="L47" s="582">
        <v>12</v>
      </c>
      <c r="M47" s="591">
        <f>J47*K47*L47</f>
        <v>24000</v>
      </c>
      <c r="N47" s="591">
        <f>I47+M47</f>
        <v>43560</v>
      </c>
      <c r="O47" s="536">
        <f t="shared" si="6"/>
        <v>15046.153846153846</v>
      </c>
      <c r="P47" s="536">
        <f t="shared" si="7"/>
        <v>18461.53846153846</v>
      </c>
      <c r="Q47" s="536">
        <f t="shared" si="8"/>
        <v>33507.692307692305</v>
      </c>
      <c r="R47" s="525">
        <f>BG47+BK47+BO47+BS47</f>
        <v>16891.11</v>
      </c>
      <c r="S47" s="525">
        <f>M47-R47</f>
        <v>7108.889999999999</v>
      </c>
      <c r="T47" s="475">
        <f>R47/M47</f>
        <v>0.70379625</v>
      </c>
      <c r="U47" s="476"/>
      <c r="V47" s="476"/>
      <c r="W47" s="476"/>
      <c r="X47" s="476"/>
      <c r="Y47" s="476"/>
      <c r="Z47" s="476"/>
      <c r="AA47" s="476"/>
      <c r="AB47" s="476"/>
      <c r="AC47" s="476"/>
      <c r="AD47" s="476"/>
      <c r="AE47" s="476"/>
      <c r="AF47" s="476"/>
      <c r="AG47" s="535">
        <f>AO47+AS47+AW47+BA47+BG47+BK47+BO47+BS47</f>
        <v>31556.32</v>
      </c>
      <c r="AH47" s="535">
        <f t="shared" si="20"/>
        <v>12003.68</v>
      </c>
      <c r="AI47" s="477">
        <f t="shared" si="9"/>
        <v>0.7244334251606979</v>
      </c>
      <c r="AJ47" s="461"/>
      <c r="AK47" s="511">
        <v>0</v>
      </c>
      <c r="AL47" s="511">
        <v>0</v>
      </c>
      <c r="AM47" s="511">
        <v>0</v>
      </c>
      <c r="AN47" s="511">
        <v>0</v>
      </c>
      <c r="AO47" s="512">
        <f t="shared" si="10"/>
        <v>0</v>
      </c>
      <c r="AP47" s="511">
        <v>0</v>
      </c>
      <c r="AQ47" s="511">
        <v>0</v>
      </c>
      <c r="AR47" s="511">
        <v>0</v>
      </c>
      <c r="AS47" s="512">
        <f t="shared" si="11"/>
        <v>0</v>
      </c>
      <c r="AT47" s="511">
        <v>0</v>
      </c>
      <c r="AU47" s="511">
        <v>0</v>
      </c>
      <c r="AV47" s="511">
        <v>0</v>
      </c>
      <c r="AW47" s="512">
        <f t="shared" si="12"/>
        <v>0</v>
      </c>
      <c r="AX47" s="511">
        <v>0</v>
      </c>
      <c r="AY47" s="511">
        <v>59.98</v>
      </c>
      <c r="AZ47" s="511">
        <v>14605.23</v>
      </c>
      <c r="BA47" s="512">
        <f t="shared" si="13"/>
        <v>14665.21</v>
      </c>
      <c r="BB47" s="513"/>
      <c r="BC47" s="511">
        <v>0</v>
      </c>
      <c r="BD47" s="511">
        <v>0</v>
      </c>
      <c r="BE47" s="511">
        <v>0</v>
      </c>
      <c r="BF47" s="511">
        <v>0</v>
      </c>
      <c r="BG47" s="512">
        <f>SUM(BC47:BF47)</f>
        <v>0</v>
      </c>
      <c r="BH47" s="511">
        <v>11074.93</v>
      </c>
      <c r="BI47" s="511">
        <v>0</v>
      </c>
      <c r="BJ47" s="511">
        <v>0</v>
      </c>
      <c r="BK47" s="512">
        <f>SUM(BH47:BJ47)</f>
        <v>11074.93</v>
      </c>
      <c r="BL47" s="511">
        <v>0</v>
      </c>
      <c r="BM47" s="511">
        <v>5816.18</v>
      </c>
      <c r="BN47" s="511">
        <v>0</v>
      </c>
      <c r="BO47" s="512">
        <f>SUM(BL47:BN47)</f>
        <v>5816.18</v>
      </c>
      <c r="BP47" s="511">
        <v>0</v>
      </c>
      <c r="BQ47" s="511">
        <v>0</v>
      </c>
      <c r="BR47" s="511">
        <v>0</v>
      </c>
      <c r="BS47" s="512">
        <f>SUM(BP47:BR47)</f>
        <v>0</v>
      </c>
      <c r="BT47" s="513"/>
      <c r="BU47" s="748">
        <v>12004</v>
      </c>
      <c r="BV47" s="752">
        <v>10000</v>
      </c>
      <c r="BW47" s="752">
        <v>2000</v>
      </c>
      <c r="BX47" s="752">
        <v>0</v>
      </c>
      <c r="BY47" s="752">
        <v>0</v>
      </c>
      <c r="BZ47" s="752">
        <v>0</v>
      </c>
      <c r="CA47" s="753">
        <f t="shared" si="14"/>
        <v>12000</v>
      </c>
      <c r="CB47" s="754">
        <f t="shared" si="15"/>
        <v>0.9996667777407531</v>
      </c>
    </row>
    <row r="48" spans="1:80" s="460" customFormat="1" ht="16.5" thickBot="1">
      <c r="A48" s="484" t="s">
        <v>94</v>
      </c>
      <c r="B48" s="805"/>
      <c r="C48" s="577" t="s">
        <v>496</v>
      </c>
      <c r="D48" s="564" t="s">
        <v>471</v>
      </c>
      <c r="E48" s="469" t="s">
        <v>367</v>
      </c>
      <c r="F48" s="579">
        <v>4</v>
      </c>
      <c r="G48" s="579">
        <v>200</v>
      </c>
      <c r="H48" s="579">
        <v>3</v>
      </c>
      <c r="I48" s="581">
        <f>F48*G48*H48</f>
        <v>2400</v>
      </c>
      <c r="J48" s="582">
        <v>4</v>
      </c>
      <c r="K48" s="582">
        <v>200</v>
      </c>
      <c r="L48" s="582">
        <v>12</v>
      </c>
      <c r="M48" s="591">
        <f>J48*K48*L48</f>
        <v>9600</v>
      </c>
      <c r="N48" s="591">
        <f>I48+M48</f>
        <v>12000</v>
      </c>
      <c r="O48" s="536">
        <f t="shared" si="6"/>
        <v>1846.1538461538462</v>
      </c>
      <c r="P48" s="536">
        <f t="shared" si="7"/>
        <v>7384.615384615385</v>
      </c>
      <c r="Q48" s="536">
        <f t="shared" si="8"/>
        <v>9230.76923076923</v>
      </c>
      <c r="R48" s="525">
        <f>BG48+BK48+BO48+BS48</f>
        <v>5959.5199999999995</v>
      </c>
      <c r="S48" s="525">
        <f>M48-R48</f>
        <v>3640.4800000000005</v>
      </c>
      <c r="T48" s="475">
        <f>R48/M48</f>
        <v>0.6207833333333332</v>
      </c>
      <c r="U48" s="476"/>
      <c r="V48" s="476"/>
      <c r="W48" s="476"/>
      <c r="X48" s="476"/>
      <c r="Y48" s="476"/>
      <c r="Z48" s="476"/>
      <c r="AA48" s="476"/>
      <c r="AB48" s="476"/>
      <c r="AC48" s="476"/>
      <c r="AD48" s="476"/>
      <c r="AE48" s="476"/>
      <c r="AF48" s="476"/>
      <c r="AG48" s="535">
        <f>AO48+AS48+AW48+BA48+BG48+BK48+BO48+BS48</f>
        <v>6559.33</v>
      </c>
      <c r="AH48" s="535">
        <f t="shared" si="20"/>
        <v>5440.67</v>
      </c>
      <c r="AI48" s="477">
        <f t="shared" si="9"/>
        <v>0.5466108333333334</v>
      </c>
      <c r="AJ48" s="461"/>
      <c r="AK48" s="511">
        <v>0</v>
      </c>
      <c r="AL48" s="511">
        <v>0</v>
      </c>
      <c r="AM48" s="511">
        <v>0</v>
      </c>
      <c r="AN48" s="511">
        <v>0</v>
      </c>
      <c r="AO48" s="512">
        <f t="shared" si="10"/>
        <v>0</v>
      </c>
      <c r="AP48" s="511">
        <v>0</v>
      </c>
      <c r="AQ48" s="511">
        <v>0</v>
      </c>
      <c r="AR48" s="511">
        <v>0</v>
      </c>
      <c r="AS48" s="512">
        <f t="shared" si="11"/>
        <v>0</v>
      </c>
      <c r="AT48" s="511">
        <v>0</v>
      </c>
      <c r="AU48" s="511">
        <v>0</v>
      </c>
      <c r="AV48" s="511">
        <v>0</v>
      </c>
      <c r="AW48" s="512">
        <f t="shared" si="12"/>
        <v>0</v>
      </c>
      <c r="AX48" s="511">
        <v>0</v>
      </c>
      <c r="AY48" s="511">
        <v>0</v>
      </c>
      <c r="AZ48" s="511">
        <v>599.81</v>
      </c>
      <c r="BA48" s="512">
        <f t="shared" si="13"/>
        <v>599.81</v>
      </c>
      <c r="BB48" s="513"/>
      <c r="BC48" s="511">
        <v>467.82</v>
      </c>
      <c r="BD48" s="511">
        <v>0</v>
      </c>
      <c r="BE48" s="511">
        <v>0</v>
      </c>
      <c r="BF48" s="511">
        <v>0</v>
      </c>
      <c r="BG48" s="512">
        <f>SUM(BC48:BF48)</f>
        <v>467.82</v>
      </c>
      <c r="BH48" s="511">
        <v>5491.7</v>
      </c>
      <c r="BI48" s="511">
        <v>0</v>
      </c>
      <c r="BJ48" s="511">
        <v>0</v>
      </c>
      <c r="BK48" s="512">
        <f>SUM(BH48:BJ48)</f>
        <v>5491.7</v>
      </c>
      <c r="BL48" s="511">
        <v>0</v>
      </c>
      <c r="BM48" s="511">
        <v>0</v>
      </c>
      <c r="BN48" s="511">
        <v>0</v>
      </c>
      <c r="BO48" s="512">
        <f>SUM(BL48:BN48)</f>
        <v>0</v>
      </c>
      <c r="BP48" s="511">
        <v>0</v>
      </c>
      <c r="BQ48" s="511">
        <v>0</v>
      </c>
      <c r="BR48" s="511">
        <v>0</v>
      </c>
      <c r="BS48" s="512">
        <f>SUM(BP48:BR48)</f>
        <v>0</v>
      </c>
      <c r="BT48" s="513"/>
      <c r="BU48" s="748">
        <v>5440</v>
      </c>
      <c r="BV48" s="752">
        <v>3000</v>
      </c>
      <c r="BW48" s="752">
        <v>600</v>
      </c>
      <c r="BX48" s="752">
        <v>600</v>
      </c>
      <c r="BY48" s="752">
        <v>600</v>
      </c>
      <c r="BZ48" s="752">
        <v>600</v>
      </c>
      <c r="CA48" s="753">
        <f t="shared" si="14"/>
        <v>5400</v>
      </c>
      <c r="CB48" s="754">
        <f t="shared" si="15"/>
        <v>0.9926470588235294</v>
      </c>
    </row>
    <row r="49" spans="1:80" s="460" customFormat="1" ht="15.75">
      <c r="A49" s="484" t="s">
        <v>95</v>
      </c>
      <c r="B49" s="807"/>
      <c r="C49" s="578" t="s">
        <v>497</v>
      </c>
      <c r="D49" s="564" t="s">
        <v>471</v>
      </c>
      <c r="E49" s="469" t="s">
        <v>367</v>
      </c>
      <c r="F49" s="579">
        <v>1</v>
      </c>
      <c r="G49" s="579">
        <v>300</v>
      </c>
      <c r="H49" s="579">
        <v>1</v>
      </c>
      <c r="I49" s="581">
        <f>F49*G49*H49</f>
        <v>300</v>
      </c>
      <c r="J49" s="582">
        <v>1</v>
      </c>
      <c r="K49" s="582">
        <v>300</v>
      </c>
      <c r="L49" s="582">
        <v>6</v>
      </c>
      <c r="M49" s="591">
        <f>J49*K49*L49</f>
        <v>1800</v>
      </c>
      <c r="N49" s="591">
        <f>I49+M49</f>
        <v>2100</v>
      </c>
      <c r="O49" s="536">
        <f t="shared" si="6"/>
        <v>230.76923076923077</v>
      </c>
      <c r="P49" s="536">
        <f t="shared" si="7"/>
        <v>1384.6153846153845</v>
      </c>
      <c r="Q49" s="536">
        <f t="shared" si="8"/>
        <v>1615.3846153846152</v>
      </c>
      <c r="R49" s="525">
        <f>BG49+BK49+BO49+BS49</f>
        <v>0</v>
      </c>
      <c r="S49" s="525">
        <f>M49-R49</f>
        <v>1800</v>
      </c>
      <c r="T49" s="475">
        <f>R49/M49</f>
        <v>0</v>
      </c>
      <c r="U49" s="476"/>
      <c r="V49" s="476"/>
      <c r="W49" s="476"/>
      <c r="X49" s="476"/>
      <c r="Y49" s="476"/>
      <c r="Z49" s="476"/>
      <c r="AA49" s="476"/>
      <c r="AB49" s="476"/>
      <c r="AC49" s="476"/>
      <c r="AD49" s="476"/>
      <c r="AE49" s="476"/>
      <c r="AF49" s="476"/>
      <c r="AG49" s="535">
        <f>AO49+AS49+AW49+BA49+BG49+BK49+BO49+BS49</f>
        <v>0</v>
      </c>
      <c r="AH49" s="535">
        <f t="shared" si="20"/>
        <v>2100</v>
      </c>
      <c r="AI49" s="477">
        <f t="shared" si="9"/>
        <v>0</v>
      </c>
      <c r="AJ49" s="461"/>
      <c r="AK49" s="511">
        <v>0</v>
      </c>
      <c r="AL49" s="511">
        <v>0</v>
      </c>
      <c r="AM49" s="511">
        <v>0</v>
      </c>
      <c r="AN49" s="511">
        <v>0</v>
      </c>
      <c r="AO49" s="512">
        <f t="shared" si="10"/>
        <v>0</v>
      </c>
      <c r="AP49" s="511">
        <v>0</v>
      </c>
      <c r="AQ49" s="511">
        <v>0</v>
      </c>
      <c r="AR49" s="511">
        <v>0</v>
      </c>
      <c r="AS49" s="512">
        <f t="shared" si="11"/>
        <v>0</v>
      </c>
      <c r="AT49" s="511">
        <v>0</v>
      </c>
      <c r="AU49" s="511">
        <v>0</v>
      </c>
      <c r="AV49" s="511">
        <v>461.85</v>
      </c>
      <c r="AW49" s="512">
        <f t="shared" si="12"/>
        <v>461.85</v>
      </c>
      <c r="AX49" s="511">
        <v>0</v>
      </c>
      <c r="AY49" s="511">
        <v>0</v>
      </c>
      <c r="AZ49" s="511">
        <v>-461.85</v>
      </c>
      <c r="BA49" s="512">
        <f t="shared" si="13"/>
        <v>-461.85</v>
      </c>
      <c r="BB49" s="513"/>
      <c r="BC49" s="511">
        <v>0</v>
      </c>
      <c r="BD49" s="511">
        <v>0</v>
      </c>
      <c r="BE49" s="511">
        <v>0</v>
      </c>
      <c r="BF49" s="511">
        <v>0</v>
      </c>
      <c r="BG49" s="512">
        <f>SUM(BC49:BF49)</f>
        <v>0</v>
      </c>
      <c r="BH49" s="511">
        <v>0</v>
      </c>
      <c r="BI49" s="511">
        <v>0</v>
      </c>
      <c r="BJ49" s="511">
        <v>0</v>
      </c>
      <c r="BK49" s="512">
        <f>SUM(BH49:BJ49)</f>
        <v>0</v>
      </c>
      <c r="BL49" s="511">
        <v>0</v>
      </c>
      <c r="BM49" s="511">
        <v>0</v>
      </c>
      <c r="BN49" s="511">
        <v>0</v>
      </c>
      <c r="BO49" s="512">
        <f>SUM(BL49:BN49)</f>
        <v>0</v>
      </c>
      <c r="BP49" s="511">
        <v>0</v>
      </c>
      <c r="BQ49" s="511">
        <v>0</v>
      </c>
      <c r="BR49" s="511">
        <v>0</v>
      </c>
      <c r="BS49" s="512">
        <f>SUM(BP49:BR49)</f>
        <v>0</v>
      </c>
      <c r="BT49" s="513"/>
      <c r="BU49" s="748">
        <v>2100</v>
      </c>
      <c r="BV49" s="752">
        <v>2100</v>
      </c>
      <c r="BW49" s="752">
        <v>0</v>
      </c>
      <c r="BX49" s="752">
        <v>0</v>
      </c>
      <c r="BY49" s="752">
        <v>0</v>
      </c>
      <c r="BZ49" s="752">
        <v>0</v>
      </c>
      <c r="CA49" s="753">
        <f t="shared" si="14"/>
        <v>2100</v>
      </c>
      <c r="CB49" s="754">
        <f t="shared" si="15"/>
        <v>1</v>
      </c>
    </row>
    <row r="50" spans="1:80" s="460" customFormat="1" ht="15.75">
      <c r="A50" s="616"/>
      <c r="B50" s="617"/>
      <c r="C50" s="595" t="s">
        <v>0</v>
      </c>
      <c r="D50" s="596" t="s">
        <v>0</v>
      </c>
      <c r="E50" s="618"/>
      <c r="F50" s="619"/>
      <c r="G50" s="619"/>
      <c r="H50" s="619"/>
      <c r="I50" s="620">
        <f>SUM(I47:I49)</f>
        <v>22260</v>
      </c>
      <c r="J50" s="621"/>
      <c r="K50" s="621"/>
      <c r="L50" s="621"/>
      <c r="M50" s="620">
        <f>SUM(M47:M49)</f>
        <v>35400</v>
      </c>
      <c r="N50" s="620">
        <f>SUM(N47:N49)</f>
        <v>57660</v>
      </c>
      <c r="O50" s="620">
        <f aca="true" t="shared" si="27" ref="O50:BA50">SUM(O47:O49)</f>
        <v>17123.076923076922</v>
      </c>
      <c r="P50" s="620">
        <f t="shared" si="27"/>
        <v>27230.769230769227</v>
      </c>
      <c r="Q50" s="620">
        <f t="shared" si="27"/>
        <v>44353.84615384615</v>
      </c>
      <c r="R50" s="620">
        <f t="shared" si="27"/>
        <v>22850.63</v>
      </c>
      <c r="S50" s="620">
        <f t="shared" si="27"/>
        <v>12549.369999999999</v>
      </c>
      <c r="T50" s="726">
        <f>R50/I50</f>
        <v>1.0265332434860737</v>
      </c>
      <c r="U50" s="620">
        <f t="shared" si="27"/>
        <v>0</v>
      </c>
      <c r="V50" s="620">
        <f t="shared" si="27"/>
        <v>0</v>
      </c>
      <c r="W50" s="620">
        <f t="shared" si="27"/>
        <v>0</v>
      </c>
      <c r="X50" s="620">
        <f t="shared" si="27"/>
        <v>0</v>
      </c>
      <c r="Y50" s="620">
        <f t="shared" si="27"/>
        <v>0</v>
      </c>
      <c r="Z50" s="620">
        <f t="shared" si="27"/>
        <v>0</v>
      </c>
      <c r="AA50" s="620">
        <f t="shared" si="27"/>
        <v>0</v>
      </c>
      <c r="AB50" s="620">
        <f t="shared" si="27"/>
        <v>0</v>
      </c>
      <c r="AC50" s="620">
        <f t="shared" si="27"/>
        <v>0</v>
      </c>
      <c r="AD50" s="620">
        <f t="shared" si="27"/>
        <v>0</v>
      </c>
      <c r="AE50" s="620">
        <f t="shared" si="27"/>
        <v>0</v>
      </c>
      <c r="AF50" s="620">
        <f t="shared" si="27"/>
        <v>0</v>
      </c>
      <c r="AG50" s="620">
        <f t="shared" si="27"/>
        <v>38115.65</v>
      </c>
      <c r="AH50" s="620">
        <f t="shared" si="27"/>
        <v>19544.35</v>
      </c>
      <c r="AI50" s="726">
        <f t="shared" si="9"/>
        <v>0.6610414498785987</v>
      </c>
      <c r="AJ50" s="620">
        <f t="shared" si="27"/>
        <v>0</v>
      </c>
      <c r="AK50" s="620">
        <f>SUM(AK47:AK49)</f>
        <v>0</v>
      </c>
      <c r="AL50" s="620">
        <f t="shared" si="27"/>
        <v>0</v>
      </c>
      <c r="AM50" s="620">
        <f t="shared" si="27"/>
        <v>0</v>
      </c>
      <c r="AN50" s="620">
        <f t="shared" si="27"/>
        <v>0</v>
      </c>
      <c r="AO50" s="620">
        <f t="shared" si="27"/>
        <v>0</v>
      </c>
      <c r="AP50" s="620">
        <f t="shared" si="27"/>
        <v>0</v>
      </c>
      <c r="AQ50" s="620">
        <f t="shared" si="27"/>
        <v>0</v>
      </c>
      <c r="AR50" s="620">
        <f t="shared" si="27"/>
        <v>0</v>
      </c>
      <c r="AS50" s="620">
        <f t="shared" si="27"/>
        <v>0</v>
      </c>
      <c r="AT50" s="620">
        <f t="shared" si="27"/>
        <v>0</v>
      </c>
      <c r="AU50" s="620">
        <f t="shared" si="27"/>
        <v>0</v>
      </c>
      <c r="AV50" s="620">
        <f t="shared" si="27"/>
        <v>461.85</v>
      </c>
      <c r="AW50" s="620">
        <f t="shared" si="27"/>
        <v>461.85</v>
      </c>
      <c r="AX50" s="620">
        <f t="shared" si="27"/>
        <v>0</v>
      </c>
      <c r="AY50" s="620">
        <f t="shared" si="27"/>
        <v>59.98</v>
      </c>
      <c r="AZ50" s="620">
        <f t="shared" si="27"/>
        <v>14743.189999999999</v>
      </c>
      <c r="BA50" s="620">
        <f t="shared" si="27"/>
        <v>14803.169999999998</v>
      </c>
      <c r="BB50" s="513"/>
      <c r="BC50" s="620">
        <f>SUM(BC47:BC49)</f>
        <v>467.82</v>
      </c>
      <c r="BD50" s="620">
        <f aca="true" t="shared" si="28" ref="BD50:BS50">SUM(BD47:BD49)</f>
        <v>0</v>
      </c>
      <c r="BE50" s="620">
        <f t="shared" si="28"/>
        <v>0</v>
      </c>
      <c r="BF50" s="620">
        <f t="shared" si="28"/>
        <v>0</v>
      </c>
      <c r="BG50" s="620">
        <f t="shared" si="28"/>
        <v>467.82</v>
      </c>
      <c r="BH50" s="620">
        <f t="shared" si="28"/>
        <v>16566.63</v>
      </c>
      <c r="BI50" s="620">
        <f t="shared" si="28"/>
        <v>0</v>
      </c>
      <c r="BJ50" s="620">
        <f t="shared" si="28"/>
        <v>0</v>
      </c>
      <c r="BK50" s="620">
        <f t="shared" si="28"/>
        <v>16566.63</v>
      </c>
      <c r="BL50" s="620">
        <f t="shared" si="28"/>
        <v>0</v>
      </c>
      <c r="BM50" s="620">
        <f t="shared" si="28"/>
        <v>5816.18</v>
      </c>
      <c r="BN50" s="620">
        <f t="shared" si="28"/>
        <v>0</v>
      </c>
      <c r="BO50" s="620">
        <f t="shared" si="28"/>
        <v>5816.18</v>
      </c>
      <c r="BP50" s="620">
        <f t="shared" si="28"/>
        <v>0</v>
      </c>
      <c r="BQ50" s="620">
        <f t="shared" si="28"/>
        <v>0</v>
      </c>
      <c r="BR50" s="620">
        <f t="shared" si="28"/>
        <v>0</v>
      </c>
      <c r="BS50" s="620">
        <f t="shared" si="28"/>
        <v>0</v>
      </c>
      <c r="BT50" s="513"/>
      <c r="BU50" s="780">
        <f aca="true" t="shared" si="29" ref="BU50:BZ50">SUM(BU47:BU49)</f>
        <v>19544</v>
      </c>
      <c r="BV50" s="738">
        <f t="shared" si="29"/>
        <v>15100</v>
      </c>
      <c r="BW50" s="738">
        <f t="shared" si="29"/>
        <v>2600</v>
      </c>
      <c r="BX50" s="738">
        <f t="shared" si="29"/>
        <v>600</v>
      </c>
      <c r="BY50" s="738">
        <f t="shared" si="29"/>
        <v>600</v>
      </c>
      <c r="BZ50" s="738">
        <f t="shared" si="29"/>
        <v>600</v>
      </c>
      <c r="CA50" s="755">
        <f t="shared" si="14"/>
        <v>19500</v>
      </c>
      <c r="CB50" s="756">
        <f t="shared" si="15"/>
        <v>0.9977486696684404</v>
      </c>
    </row>
    <row r="51" spans="1:80" s="460" customFormat="1" ht="15.75">
      <c r="A51" s="622"/>
      <c r="B51" s="623"/>
      <c r="C51" s="624" t="s">
        <v>498</v>
      </c>
      <c r="D51" s="625"/>
      <c r="E51" s="626"/>
      <c r="F51" s="627"/>
      <c r="G51" s="627"/>
      <c r="H51" s="627"/>
      <c r="I51" s="628">
        <f>I40+I46+I50</f>
        <v>78331</v>
      </c>
      <c r="J51" s="629"/>
      <c r="K51" s="629"/>
      <c r="L51" s="629"/>
      <c r="M51" s="628">
        <f>M40+M46+M50</f>
        <v>113985</v>
      </c>
      <c r="N51" s="628">
        <f>N40+N46+N50</f>
        <v>192316</v>
      </c>
      <c r="O51" s="628">
        <f aca="true" t="shared" si="30" ref="O51:BA51">O40+O46+O50</f>
        <v>60254.61538461538</v>
      </c>
      <c r="P51" s="628">
        <f t="shared" si="30"/>
        <v>87680.76923076922</v>
      </c>
      <c r="Q51" s="628">
        <f t="shared" si="30"/>
        <v>147935.3846153846</v>
      </c>
      <c r="R51" s="628">
        <f t="shared" si="30"/>
        <v>89874.14000000001</v>
      </c>
      <c r="S51" s="628">
        <f t="shared" si="30"/>
        <v>24110.859999999997</v>
      </c>
      <c r="T51" s="727">
        <f>R51/I51</f>
        <v>1.1473636235972988</v>
      </c>
      <c r="U51" s="628">
        <f t="shared" si="30"/>
        <v>0</v>
      </c>
      <c r="V51" s="628">
        <f t="shared" si="30"/>
        <v>0</v>
      </c>
      <c r="W51" s="628">
        <f t="shared" si="30"/>
        <v>0</v>
      </c>
      <c r="X51" s="628">
        <f t="shared" si="30"/>
        <v>0</v>
      </c>
      <c r="Y51" s="628">
        <f t="shared" si="30"/>
        <v>0</v>
      </c>
      <c r="Z51" s="628">
        <f t="shared" si="30"/>
        <v>0</v>
      </c>
      <c r="AA51" s="628">
        <f t="shared" si="30"/>
        <v>0</v>
      </c>
      <c r="AB51" s="628">
        <f t="shared" si="30"/>
        <v>0</v>
      </c>
      <c r="AC51" s="628">
        <f t="shared" si="30"/>
        <v>0</v>
      </c>
      <c r="AD51" s="628">
        <f t="shared" si="30"/>
        <v>0</v>
      </c>
      <c r="AE51" s="628">
        <f t="shared" si="30"/>
        <v>0</v>
      </c>
      <c r="AF51" s="628">
        <f t="shared" si="30"/>
        <v>0</v>
      </c>
      <c r="AG51" s="628">
        <f t="shared" si="30"/>
        <v>132234.9</v>
      </c>
      <c r="AH51" s="628">
        <f t="shared" si="30"/>
        <v>60081.1</v>
      </c>
      <c r="AI51" s="727">
        <f t="shared" si="9"/>
        <v>0.6875917760352752</v>
      </c>
      <c r="AJ51" s="628">
        <f t="shared" si="30"/>
        <v>0</v>
      </c>
      <c r="AK51" s="628">
        <f>AK40+AK46+AK50</f>
        <v>0</v>
      </c>
      <c r="AL51" s="628">
        <f t="shared" si="30"/>
        <v>0</v>
      </c>
      <c r="AM51" s="628">
        <f t="shared" si="30"/>
        <v>0</v>
      </c>
      <c r="AN51" s="628">
        <f t="shared" si="30"/>
        <v>0</v>
      </c>
      <c r="AO51" s="628">
        <f t="shared" si="30"/>
        <v>0</v>
      </c>
      <c r="AP51" s="628">
        <f t="shared" si="30"/>
        <v>0</v>
      </c>
      <c r="AQ51" s="628">
        <f t="shared" si="30"/>
        <v>0</v>
      </c>
      <c r="AR51" s="628">
        <f t="shared" si="30"/>
        <v>0</v>
      </c>
      <c r="AS51" s="628">
        <f t="shared" si="30"/>
        <v>0</v>
      </c>
      <c r="AT51" s="628">
        <f t="shared" si="30"/>
        <v>0</v>
      </c>
      <c r="AU51" s="628">
        <f t="shared" si="30"/>
        <v>2638.79</v>
      </c>
      <c r="AV51" s="628">
        <f t="shared" si="30"/>
        <v>1392.8400000000001</v>
      </c>
      <c r="AW51" s="628">
        <f t="shared" si="30"/>
        <v>4031.6299999999997</v>
      </c>
      <c r="AX51" s="628">
        <f t="shared" si="30"/>
        <v>411.02</v>
      </c>
      <c r="AY51" s="628">
        <f t="shared" si="30"/>
        <v>939.95</v>
      </c>
      <c r="AZ51" s="628">
        <f t="shared" si="30"/>
        <v>36978.16</v>
      </c>
      <c r="BA51" s="628">
        <f t="shared" si="30"/>
        <v>38329.13</v>
      </c>
      <c r="BB51" s="513"/>
      <c r="BC51" s="628">
        <f>BC40+BC46+BC50</f>
        <v>2655.8500000000004</v>
      </c>
      <c r="BD51" s="628">
        <f aca="true" t="shared" si="31" ref="BD51:BS51">BD40+BD46+BD50</f>
        <v>13138.98</v>
      </c>
      <c r="BE51" s="628">
        <f t="shared" si="31"/>
        <v>24105.5</v>
      </c>
      <c r="BF51" s="628">
        <f t="shared" si="31"/>
        <v>0</v>
      </c>
      <c r="BG51" s="628">
        <f t="shared" si="31"/>
        <v>39900.33</v>
      </c>
      <c r="BH51" s="628">
        <f t="shared" si="31"/>
        <v>16566.63</v>
      </c>
      <c r="BI51" s="628">
        <f t="shared" si="31"/>
        <v>2579.56</v>
      </c>
      <c r="BJ51" s="628">
        <f t="shared" si="31"/>
        <v>-1983.58</v>
      </c>
      <c r="BK51" s="628">
        <f t="shared" si="31"/>
        <v>17162.61</v>
      </c>
      <c r="BL51" s="628">
        <f t="shared" si="31"/>
        <v>6358.77</v>
      </c>
      <c r="BM51" s="628">
        <f t="shared" si="31"/>
        <v>8015.32</v>
      </c>
      <c r="BN51" s="628">
        <f t="shared" si="31"/>
        <v>893</v>
      </c>
      <c r="BO51" s="628">
        <f t="shared" si="31"/>
        <v>15267.09</v>
      </c>
      <c r="BP51" s="628">
        <f t="shared" si="31"/>
        <v>17544.11</v>
      </c>
      <c r="BQ51" s="628">
        <f t="shared" si="31"/>
        <v>0</v>
      </c>
      <c r="BR51" s="628">
        <f t="shared" si="31"/>
        <v>0</v>
      </c>
      <c r="BS51" s="628">
        <f t="shared" si="31"/>
        <v>17544.11</v>
      </c>
      <c r="BT51" s="513"/>
      <c r="BU51" s="781">
        <f aca="true" t="shared" si="32" ref="BU51:BZ51">BU40+BU46+BU50</f>
        <v>60080</v>
      </c>
      <c r="BV51" s="628">
        <f t="shared" si="32"/>
        <v>29750</v>
      </c>
      <c r="BW51" s="628">
        <f t="shared" si="32"/>
        <v>11871</v>
      </c>
      <c r="BX51" s="628">
        <f t="shared" si="32"/>
        <v>11750</v>
      </c>
      <c r="BY51" s="628">
        <f t="shared" si="32"/>
        <v>5590</v>
      </c>
      <c r="BZ51" s="628">
        <f t="shared" si="32"/>
        <v>1540</v>
      </c>
      <c r="CA51" s="757">
        <f t="shared" si="14"/>
        <v>60501</v>
      </c>
      <c r="CB51" s="758">
        <f t="shared" si="15"/>
        <v>1.0070073235685753</v>
      </c>
    </row>
    <row r="52" spans="1:80" s="460" customFormat="1" ht="25.5">
      <c r="A52" s="630"/>
      <c r="B52" s="631"/>
      <c r="C52" s="632" t="s">
        <v>499</v>
      </c>
      <c r="D52" s="633"/>
      <c r="E52" s="633"/>
      <c r="F52" s="633"/>
      <c r="G52" s="633"/>
      <c r="H52" s="633"/>
      <c r="I52" s="634"/>
      <c r="J52" s="635"/>
      <c r="K52" s="635"/>
      <c r="L52" s="635"/>
      <c r="M52" s="635"/>
      <c r="N52" s="635"/>
      <c r="O52" s="635"/>
      <c r="P52" s="635"/>
      <c r="Q52" s="635"/>
      <c r="R52" s="635"/>
      <c r="S52" s="635"/>
      <c r="T52" s="728"/>
      <c r="U52" s="635"/>
      <c r="V52" s="635"/>
      <c r="W52" s="635"/>
      <c r="X52" s="635"/>
      <c r="Y52" s="635"/>
      <c r="Z52" s="635"/>
      <c r="AA52" s="635"/>
      <c r="AB52" s="635"/>
      <c r="AC52" s="635"/>
      <c r="AD52" s="635"/>
      <c r="AE52" s="635"/>
      <c r="AF52" s="635"/>
      <c r="AG52" s="635"/>
      <c r="AH52" s="635"/>
      <c r="AI52" s="728"/>
      <c r="AJ52" s="635"/>
      <c r="AK52" s="635"/>
      <c r="AL52" s="635"/>
      <c r="AM52" s="635"/>
      <c r="AN52" s="635"/>
      <c r="AO52" s="635"/>
      <c r="AP52" s="635"/>
      <c r="AQ52" s="635"/>
      <c r="AR52" s="635"/>
      <c r="AS52" s="635"/>
      <c r="AT52" s="635"/>
      <c r="AU52" s="635"/>
      <c r="AV52" s="635"/>
      <c r="AW52" s="635"/>
      <c r="AX52" s="635"/>
      <c r="AY52" s="635"/>
      <c r="AZ52" s="635"/>
      <c r="BA52" s="635"/>
      <c r="BB52" s="513"/>
      <c r="BC52" s="635"/>
      <c r="BD52" s="635"/>
      <c r="BE52" s="635"/>
      <c r="BF52" s="635"/>
      <c r="BG52" s="635"/>
      <c r="BH52" s="635"/>
      <c r="BI52" s="635"/>
      <c r="BJ52" s="635"/>
      <c r="BK52" s="635"/>
      <c r="BL52" s="635"/>
      <c r="BM52" s="635"/>
      <c r="BN52" s="635"/>
      <c r="BO52" s="635"/>
      <c r="BP52" s="635"/>
      <c r="BQ52" s="635"/>
      <c r="BR52" s="635"/>
      <c r="BS52" s="635"/>
      <c r="BT52" s="513"/>
      <c r="BU52" s="748"/>
      <c r="BV52" s="740"/>
      <c r="BW52" s="740"/>
      <c r="BX52" s="740"/>
      <c r="BY52" s="740"/>
      <c r="BZ52" s="740"/>
      <c r="CA52" s="740"/>
      <c r="CB52" s="740"/>
    </row>
    <row r="53" spans="1:80" s="460" customFormat="1" ht="24">
      <c r="A53" s="484" t="s">
        <v>75</v>
      </c>
      <c r="B53" s="804" t="s">
        <v>500</v>
      </c>
      <c r="C53" s="636" t="s">
        <v>501</v>
      </c>
      <c r="D53" s="637" t="s">
        <v>471</v>
      </c>
      <c r="E53" s="466" t="s">
        <v>472</v>
      </c>
      <c r="F53" s="579">
        <v>100</v>
      </c>
      <c r="G53" s="580">
        <v>50</v>
      </c>
      <c r="H53" s="579">
        <v>8</v>
      </c>
      <c r="I53" s="581">
        <f aca="true" t="shared" si="33" ref="I53:I58">F53*G53*H53</f>
        <v>40000</v>
      </c>
      <c r="J53" s="582"/>
      <c r="K53" s="582"/>
      <c r="L53" s="582"/>
      <c r="M53" s="581">
        <f aca="true" t="shared" si="34" ref="M53:M58">J53*K53*L53</f>
        <v>0</v>
      </c>
      <c r="N53" s="581">
        <f aca="true" t="shared" si="35" ref="N53:N58">I53+M53</f>
        <v>40000</v>
      </c>
      <c r="O53" s="536">
        <f t="shared" si="6"/>
        <v>30769.23076923077</v>
      </c>
      <c r="P53" s="536">
        <f t="shared" si="7"/>
        <v>0</v>
      </c>
      <c r="Q53" s="536">
        <f t="shared" si="8"/>
        <v>30769.23076923077</v>
      </c>
      <c r="R53" s="525">
        <f aca="true" t="shared" si="36" ref="R53:R58">BG53+BK53+BO53+BS53</f>
        <v>0</v>
      </c>
      <c r="S53" s="525">
        <f aca="true" t="shared" si="37" ref="S53:S58">M53-R53</f>
        <v>0</v>
      </c>
      <c r="T53" s="475" t="e">
        <f aca="true" t="shared" si="38" ref="T53:T58">R53/M53</f>
        <v>#DIV/0!</v>
      </c>
      <c r="U53" s="476"/>
      <c r="V53" s="476"/>
      <c r="W53" s="476"/>
      <c r="X53" s="476"/>
      <c r="Y53" s="476"/>
      <c r="Z53" s="476"/>
      <c r="AA53" s="476"/>
      <c r="AB53" s="476"/>
      <c r="AC53" s="476"/>
      <c r="AD53" s="476"/>
      <c r="AE53" s="476"/>
      <c r="AF53" s="476"/>
      <c r="AG53" s="535">
        <f aca="true" t="shared" si="39" ref="AG53:AG58">AO53+AS53+AW53+BA53+BG53+BK53+BO53+BS53</f>
        <v>41522.48</v>
      </c>
      <c r="AH53" s="535">
        <f t="shared" si="20"/>
        <v>-1522.4800000000032</v>
      </c>
      <c r="AI53" s="477">
        <f t="shared" si="9"/>
        <v>1.038062</v>
      </c>
      <c r="AJ53" s="461"/>
      <c r="AK53" s="511">
        <v>0</v>
      </c>
      <c r="AL53" s="511">
        <v>0</v>
      </c>
      <c r="AM53" s="511">
        <v>0</v>
      </c>
      <c r="AN53" s="511">
        <v>0</v>
      </c>
      <c r="AO53" s="512">
        <f t="shared" si="10"/>
        <v>0</v>
      </c>
      <c r="AP53" s="511">
        <v>0</v>
      </c>
      <c r="AQ53" s="511">
        <v>0</v>
      </c>
      <c r="AR53" s="511">
        <v>0</v>
      </c>
      <c r="AS53" s="512">
        <f t="shared" si="11"/>
        <v>0</v>
      </c>
      <c r="AT53" s="511">
        <v>0</v>
      </c>
      <c r="AU53" s="511">
        <v>0</v>
      </c>
      <c r="AV53" s="511">
        <v>0</v>
      </c>
      <c r="AW53" s="512">
        <f t="shared" si="12"/>
        <v>0</v>
      </c>
      <c r="AX53" s="511">
        <v>213.5</v>
      </c>
      <c r="AY53" s="511">
        <v>2715.98</v>
      </c>
      <c r="AZ53" s="511">
        <v>38593</v>
      </c>
      <c r="BA53" s="512">
        <f t="shared" si="13"/>
        <v>41522.48</v>
      </c>
      <c r="BB53" s="513"/>
      <c r="BC53" s="511">
        <v>0</v>
      </c>
      <c r="BD53" s="511">
        <v>0</v>
      </c>
      <c r="BE53" s="511">
        <v>0</v>
      </c>
      <c r="BF53" s="511">
        <v>0</v>
      </c>
      <c r="BG53" s="512">
        <f aca="true" t="shared" si="40" ref="BG53:BG58">SUM(BC53:BF53)</f>
        <v>0</v>
      </c>
      <c r="BH53" s="511">
        <v>0</v>
      </c>
      <c r="BI53" s="511">
        <v>0</v>
      </c>
      <c r="BJ53" s="511">
        <v>0</v>
      </c>
      <c r="BK53" s="512">
        <f aca="true" t="shared" si="41" ref="BK53:BK58">SUM(BH53:BJ53)</f>
        <v>0</v>
      </c>
      <c r="BL53" s="511">
        <v>0</v>
      </c>
      <c r="BM53" s="511">
        <v>0</v>
      </c>
      <c r="BN53" s="511">
        <v>0</v>
      </c>
      <c r="BO53" s="512">
        <f aca="true" t="shared" si="42" ref="BO53:BO58">SUM(BL53:BN53)</f>
        <v>0</v>
      </c>
      <c r="BP53" s="511">
        <v>0</v>
      </c>
      <c r="BQ53" s="511">
        <v>0</v>
      </c>
      <c r="BR53" s="511">
        <v>0</v>
      </c>
      <c r="BS53" s="512">
        <f aca="true" t="shared" si="43" ref="BS53:BS58">SUM(BP53:BR53)</f>
        <v>0</v>
      </c>
      <c r="BT53" s="513"/>
      <c r="BU53" s="748">
        <f>0-1522</f>
        <v>-1522</v>
      </c>
      <c r="BV53" s="752">
        <v>0</v>
      </c>
      <c r="BW53" s="752">
        <v>0</v>
      </c>
      <c r="BX53" s="752">
        <v>0</v>
      </c>
      <c r="BY53" s="752">
        <v>0</v>
      </c>
      <c r="BZ53" s="752">
        <v>0</v>
      </c>
      <c r="CA53" s="753">
        <f t="shared" si="14"/>
        <v>0</v>
      </c>
      <c r="CB53" s="754">
        <f t="shared" si="15"/>
        <v>0</v>
      </c>
    </row>
    <row r="54" spans="1:80" s="460" customFormat="1" ht="24">
      <c r="A54" s="484" t="s">
        <v>76</v>
      </c>
      <c r="B54" s="805"/>
      <c r="C54" s="578" t="s">
        <v>502</v>
      </c>
      <c r="D54" s="637" t="s">
        <v>471</v>
      </c>
      <c r="E54" s="466" t="s">
        <v>472</v>
      </c>
      <c r="F54" s="603">
        <v>150</v>
      </c>
      <c r="G54" s="604">
        <v>15</v>
      </c>
      <c r="H54" s="603">
        <v>2</v>
      </c>
      <c r="I54" s="581">
        <f t="shared" si="33"/>
        <v>4500</v>
      </c>
      <c r="J54" s="605"/>
      <c r="K54" s="605"/>
      <c r="L54" s="605"/>
      <c r="M54" s="581">
        <f t="shared" si="34"/>
        <v>0</v>
      </c>
      <c r="N54" s="581">
        <f t="shared" si="35"/>
        <v>4500</v>
      </c>
      <c r="O54" s="536">
        <f t="shared" si="6"/>
        <v>3461.5384615384614</v>
      </c>
      <c r="P54" s="536">
        <f t="shared" si="7"/>
        <v>0</v>
      </c>
      <c r="Q54" s="536">
        <f t="shared" si="8"/>
        <v>3461.5384615384614</v>
      </c>
      <c r="R54" s="525">
        <f t="shared" si="36"/>
        <v>0</v>
      </c>
      <c r="S54" s="525">
        <f t="shared" si="37"/>
        <v>0</v>
      </c>
      <c r="T54" s="475" t="e">
        <f t="shared" si="38"/>
        <v>#DIV/0!</v>
      </c>
      <c r="U54" s="476"/>
      <c r="V54" s="476"/>
      <c r="W54" s="476"/>
      <c r="X54" s="476"/>
      <c r="Y54" s="476"/>
      <c r="Z54" s="476"/>
      <c r="AA54" s="476"/>
      <c r="AB54" s="476"/>
      <c r="AC54" s="476"/>
      <c r="AD54" s="476"/>
      <c r="AE54" s="476"/>
      <c r="AF54" s="476"/>
      <c r="AG54" s="535">
        <f t="shared" si="39"/>
        <v>0</v>
      </c>
      <c r="AH54" s="535">
        <f t="shared" si="20"/>
        <v>4500</v>
      </c>
      <c r="AI54" s="477">
        <f t="shared" si="9"/>
        <v>0</v>
      </c>
      <c r="AJ54" s="461"/>
      <c r="AK54" s="511">
        <v>0</v>
      </c>
      <c r="AL54" s="511">
        <v>0</v>
      </c>
      <c r="AM54" s="511">
        <v>0</v>
      </c>
      <c r="AN54" s="511">
        <v>0</v>
      </c>
      <c r="AO54" s="512">
        <f t="shared" si="10"/>
        <v>0</v>
      </c>
      <c r="AP54" s="511">
        <v>0</v>
      </c>
      <c r="AQ54" s="511">
        <v>0</v>
      </c>
      <c r="AR54" s="511">
        <v>0</v>
      </c>
      <c r="AS54" s="512">
        <f t="shared" si="11"/>
        <v>0</v>
      </c>
      <c r="AT54" s="511">
        <v>0</v>
      </c>
      <c r="AU54" s="511">
        <v>0</v>
      </c>
      <c r="AV54" s="511">
        <v>0</v>
      </c>
      <c r="AW54" s="512">
        <f t="shared" si="12"/>
        <v>0</v>
      </c>
      <c r="AX54" s="511">
        <v>0</v>
      </c>
      <c r="AY54" s="511">
        <v>0</v>
      </c>
      <c r="AZ54" s="511">
        <v>0</v>
      </c>
      <c r="BA54" s="512">
        <f t="shared" si="13"/>
        <v>0</v>
      </c>
      <c r="BB54" s="513"/>
      <c r="BC54" s="511">
        <v>0</v>
      </c>
      <c r="BD54" s="511">
        <v>0</v>
      </c>
      <c r="BE54" s="511">
        <v>0</v>
      </c>
      <c r="BF54" s="511">
        <v>0</v>
      </c>
      <c r="BG54" s="512">
        <f t="shared" si="40"/>
        <v>0</v>
      </c>
      <c r="BH54" s="511">
        <v>0</v>
      </c>
      <c r="BI54" s="511">
        <v>0</v>
      </c>
      <c r="BJ54" s="511">
        <v>0</v>
      </c>
      <c r="BK54" s="512">
        <f t="shared" si="41"/>
        <v>0</v>
      </c>
      <c r="BL54" s="511">
        <v>0</v>
      </c>
      <c r="BM54" s="511">
        <v>0</v>
      </c>
      <c r="BN54" s="511">
        <v>0</v>
      </c>
      <c r="BO54" s="512">
        <f t="shared" si="42"/>
        <v>0</v>
      </c>
      <c r="BP54" s="511">
        <v>0</v>
      </c>
      <c r="BQ54" s="511">
        <v>0</v>
      </c>
      <c r="BR54" s="511">
        <v>0</v>
      </c>
      <c r="BS54" s="512">
        <f t="shared" si="43"/>
        <v>0</v>
      </c>
      <c r="BT54" s="513"/>
      <c r="BU54" s="748">
        <v>4500</v>
      </c>
      <c r="BV54" s="752">
        <v>4500</v>
      </c>
      <c r="BW54" s="752">
        <v>0</v>
      </c>
      <c r="BX54" s="752">
        <v>0</v>
      </c>
      <c r="BY54" s="752">
        <v>0</v>
      </c>
      <c r="BZ54" s="752">
        <v>0</v>
      </c>
      <c r="CA54" s="753">
        <f t="shared" si="14"/>
        <v>4500</v>
      </c>
      <c r="CB54" s="754">
        <f t="shared" si="15"/>
        <v>1</v>
      </c>
    </row>
    <row r="55" spans="1:80" s="460" customFormat="1" ht="15" customHeight="1">
      <c r="A55" s="583" t="s">
        <v>77</v>
      </c>
      <c r="B55" s="805"/>
      <c r="C55" s="592" t="s">
        <v>503</v>
      </c>
      <c r="D55" s="638" t="s">
        <v>471</v>
      </c>
      <c r="E55" s="586" t="s">
        <v>368</v>
      </c>
      <c r="F55" s="587">
        <v>0</v>
      </c>
      <c r="G55" s="588">
        <v>0</v>
      </c>
      <c r="H55" s="587">
        <v>0</v>
      </c>
      <c r="I55" s="589">
        <f t="shared" si="33"/>
        <v>0</v>
      </c>
      <c r="J55" s="590"/>
      <c r="K55" s="590"/>
      <c r="L55" s="590"/>
      <c r="M55" s="581">
        <f t="shared" si="34"/>
        <v>0</v>
      </c>
      <c r="N55" s="589">
        <f t="shared" si="35"/>
        <v>0</v>
      </c>
      <c r="O55" s="536">
        <f t="shared" si="6"/>
        <v>0</v>
      </c>
      <c r="P55" s="536">
        <f t="shared" si="7"/>
        <v>0</v>
      </c>
      <c r="Q55" s="536">
        <f t="shared" si="8"/>
        <v>0</v>
      </c>
      <c r="R55" s="525">
        <f t="shared" si="36"/>
        <v>7.5</v>
      </c>
      <c r="S55" s="525">
        <f t="shared" si="37"/>
        <v>-7.5</v>
      </c>
      <c r="T55" s="475" t="e">
        <f t="shared" si="38"/>
        <v>#DIV/0!</v>
      </c>
      <c r="U55" s="476"/>
      <c r="V55" s="476"/>
      <c r="W55" s="476"/>
      <c r="X55" s="476"/>
      <c r="Y55" s="476"/>
      <c r="Z55" s="476"/>
      <c r="AA55" s="476"/>
      <c r="AB55" s="476"/>
      <c r="AC55" s="476"/>
      <c r="AD55" s="476"/>
      <c r="AE55" s="476"/>
      <c r="AF55" s="476"/>
      <c r="AG55" s="535">
        <f t="shared" si="39"/>
        <v>7.5</v>
      </c>
      <c r="AH55" s="535">
        <f t="shared" si="20"/>
        <v>-7.5</v>
      </c>
      <c r="AI55" s="477" t="e">
        <f t="shared" si="9"/>
        <v>#DIV/0!</v>
      </c>
      <c r="AJ55" s="461"/>
      <c r="AK55" s="511">
        <v>0</v>
      </c>
      <c r="AL55" s="511">
        <v>0</v>
      </c>
      <c r="AM55" s="511">
        <v>0</v>
      </c>
      <c r="AN55" s="511">
        <v>0</v>
      </c>
      <c r="AO55" s="512">
        <f t="shared" si="10"/>
        <v>0</v>
      </c>
      <c r="AP55" s="511">
        <v>0</v>
      </c>
      <c r="AQ55" s="511">
        <v>0</v>
      </c>
      <c r="AR55" s="511">
        <v>0</v>
      </c>
      <c r="AS55" s="512">
        <f t="shared" si="11"/>
        <v>0</v>
      </c>
      <c r="AT55" s="511">
        <v>0</v>
      </c>
      <c r="AU55" s="511">
        <v>0</v>
      </c>
      <c r="AV55" s="511">
        <v>0</v>
      </c>
      <c r="AW55" s="512">
        <f t="shared" si="12"/>
        <v>0</v>
      </c>
      <c r="AX55" s="511">
        <v>0</v>
      </c>
      <c r="AY55" s="511">
        <v>0</v>
      </c>
      <c r="AZ55" s="511">
        <v>0</v>
      </c>
      <c r="BA55" s="512">
        <f t="shared" si="13"/>
        <v>0</v>
      </c>
      <c r="BB55" s="513"/>
      <c r="BC55" s="511">
        <v>0</v>
      </c>
      <c r="BD55" s="511">
        <v>0</v>
      </c>
      <c r="BE55" s="511">
        <v>0</v>
      </c>
      <c r="BF55" s="511">
        <v>0</v>
      </c>
      <c r="BG55" s="512">
        <f t="shared" si="40"/>
        <v>0</v>
      </c>
      <c r="BH55" s="511">
        <v>0</v>
      </c>
      <c r="BI55" s="511">
        <v>0</v>
      </c>
      <c r="BJ55" s="511">
        <v>0</v>
      </c>
      <c r="BK55" s="512">
        <f t="shared" si="41"/>
        <v>0</v>
      </c>
      <c r="BL55" s="511">
        <v>0</v>
      </c>
      <c r="BM55" s="511">
        <v>0</v>
      </c>
      <c r="BN55" s="511">
        <v>7.5</v>
      </c>
      <c r="BO55" s="512">
        <f t="shared" si="42"/>
        <v>7.5</v>
      </c>
      <c r="BP55" s="511">
        <v>0</v>
      </c>
      <c r="BQ55" s="511">
        <v>0</v>
      </c>
      <c r="BR55" s="511">
        <v>0</v>
      </c>
      <c r="BS55" s="512">
        <f t="shared" si="43"/>
        <v>0</v>
      </c>
      <c r="BT55" s="513"/>
      <c r="BU55" s="748">
        <f>0-8</f>
        <v>-8</v>
      </c>
      <c r="BV55" s="752">
        <v>0</v>
      </c>
      <c r="BW55" s="752">
        <v>0</v>
      </c>
      <c r="BX55" s="752">
        <v>0</v>
      </c>
      <c r="BY55" s="752">
        <v>0</v>
      </c>
      <c r="BZ55" s="752">
        <v>0</v>
      </c>
      <c r="CA55" s="753">
        <f t="shared" si="14"/>
        <v>0</v>
      </c>
      <c r="CB55" s="754">
        <f t="shared" si="15"/>
        <v>0</v>
      </c>
    </row>
    <row r="56" spans="1:80" s="460" customFormat="1" ht="22.5">
      <c r="A56" s="570" t="s">
        <v>504</v>
      </c>
      <c r="B56" s="805"/>
      <c r="C56" s="571" t="s">
        <v>505</v>
      </c>
      <c r="D56" s="637" t="s">
        <v>471</v>
      </c>
      <c r="E56" s="466" t="s">
        <v>472</v>
      </c>
      <c r="F56" s="579">
        <v>100</v>
      </c>
      <c r="G56" s="580">
        <v>50</v>
      </c>
      <c r="H56" s="579">
        <v>4</v>
      </c>
      <c r="I56" s="581">
        <f t="shared" si="33"/>
        <v>20000</v>
      </c>
      <c r="J56" s="582"/>
      <c r="K56" s="582"/>
      <c r="L56" s="582"/>
      <c r="M56" s="581">
        <f t="shared" si="34"/>
        <v>0</v>
      </c>
      <c r="N56" s="581">
        <f t="shared" si="35"/>
        <v>20000</v>
      </c>
      <c r="O56" s="536">
        <f t="shared" si="6"/>
        <v>15384.615384615385</v>
      </c>
      <c r="P56" s="536">
        <f t="shared" si="7"/>
        <v>0</v>
      </c>
      <c r="Q56" s="536">
        <f t="shared" si="8"/>
        <v>15384.615384615385</v>
      </c>
      <c r="R56" s="525">
        <f t="shared" si="36"/>
        <v>46293.13</v>
      </c>
      <c r="S56" s="525">
        <f t="shared" si="37"/>
        <v>-46293.13</v>
      </c>
      <c r="T56" s="475" t="e">
        <f t="shared" si="38"/>
        <v>#DIV/0!</v>
      </c>
      <c r="U56" s="476"/>
      <c r="V56" s="476"/>
      <c r="W56" s="476"/>
      <c r="X56" s="476"/>
      <c r="Y56" s="476"/>
      <c r="Z56" s="476"/>
      <c r="AA56" s="476"/>
      <c r="AB56" s="476"/>
      <c r="AC56" s="476"/>
      <c r="AD56" s="476"/>
      <c r="AE56" s="476"/>
      <c r="AF56" s="476"/>
      <c r="AG56" s="535">
        <f t="shared" si="39"/>
        <v>46293.13</v>
      </c>
      <c r="AH56" s="535">
        <f t="shared" si="20"/>
        <v>-26293.129999999997</v>
      </c>
      <c r="AI56" s="477">
        <f t="shared" si="9"/>
        <v>2.3146565</v>
      </c>
      <c r="AJ56" s="461"/>
      <c r="AK56" s="511">
        <v>0</v>
      </c>
      <c r="AL56" s="511">
        <v>0</v>
      </c>
      <c r="AM56" s="511">
        <v>0</v>
      </c>
      <c r="AN56" s="511">
        <v>0</v>
      </c>
      <c r="AO56" s="512">
        <f t="shared" si="10"/>
        <v>0</v>
      </c>
      <c r="AP56" s="511">
        <v>0</v>
      </c>
      <c r="AQ56" s="511">
        <v>0</v>
      </c>
      <c r="AR56" s="511">
        <v>0</v>
      </c>
      <c r="AS56" s="512">
        <f t="shared" si="11"/>
        <v>0</v>
      </c>
      <c r="AT56" s="511">
        <v>0</v>
      </c>
      <c r="AU56" s="511">
        <v>0</v>
      </c>
      <c r="AV56" s="511">
        <v>0</v>
      </c>
      <c r="AW56" s="512">
        <f t="shared" si="12"/>
        <v>0</v>
      </c>
      <c r="AX56" s="511">
        <v>0</v>
      </c>
      <c r="AY56" s="511">
        <v>0</v>
      </c>
      <c r="AZ56" s="511">
        <v>0</v>
      </c>
      <c r="BA56" s="512">
        <f t="shared" si="13"/>
        <v>0</v>
      </c>
      <c r="BB56" s="513"/>
      <c r="BC56" s="511">
        <v>0</v>
      </c>
      <c r="BD56" s="511">
        <v>0</v>
      </c>
      <c r="BE56" s="511">
        <v>0</v>
      </c>
      <c r="BF56" s="511">
        <v>0</v>
      </c>
      <c r="BG56" s="512">
        <f t="shared" si="40"/>
        <v>0</v>
      </c>
      <c r="BH56" s="511">
        <v>0</v>
      </c>
      <c r="BI56" s="511">
        <v>0</v>
      </c>
      <c r="BJ56" s="511">
        <v>506.01</v>
      </c>
      <c r="BK56" s="512">
        <f t="shared" si="41"/>
        <v>506.01</v>
      </c>
      <c r="BL56" s="511">
        <v>40044.81</v>
      </c>
      <c r="BM56" s="511">
        <v>0</v>
      </c>
      <c r="BN56" s="511">
        <v>0</v>
      </c>
      <c r="BO56" s="512">
        <f t="shared" si="42"/>
        <v>40044.81</v>
      </c>
      <c r="BP56" s="511">
        <v>5742.31</v>
      </c>
      <c r="BQ56" s="511">
        <v>0</v>
      </c>
      <c r="BR56" s="511">
        <v>0</v>
      </c>
      <c r="BS56" s="512">
        <f t="shared" si="43"/>
        <v>5742.31</v>
      </c>
      <c r="BT56" s="513"/>
      <c r="BU56" s="748">
        <f>0-26293</f>
        <v>-26293</v>
      </c>
      <c r="BV56" s="752">
        <v>0</v>
      </c>
      <c r="BW56" s="752">
        <v>0</v>
      </c>
      <c r="BX56" s="752">
        <v>0</v>
      </c>
      <c r="BY56" s="752">
        <v>0</v>
      </c>
      <c r="BZ56" s="752">
        <v>0</v>
      </c>
      <c r="CA56" s="753">
        <f t="shared" si="14"/>
        <v>0</v>
      </c>
      <c r="CB56" s="754">
        <f t="shared" si="15"/>
        <v>0</v>
      </c>
    </row>
    <row r="57" spans="1:80" s="459" customFormat="1" ht="22.5">
      <c r="A57" s="570" t="s">
        <v>506</v>
      </c>
      <c r="B57" s="805"/>
      <c r="C57" s="571" t="s">
        <v>507</v>
      </c>
      <c r="D57" s="637" t="s">
        <v>471</v>
      </c>
      <c r="E57" s="466" t="s">
        <v>472</v>
      </c>
      <c r="F57" s="579">
        <v>15</v>
      </c>
      <c r="G57" s="580">
        <v>20</v>
      </c>
      <c r="H57" s="579">
        <v>2</v>
      </c>
      <c r="I57" s="581">
        <f t="shared" si="33"/>
        <v>600</v>
      </c>
      <c r="J57" s="582">
        <v>1</v>
      </c>
      <c r="K57" s="582">
        <v>700</v>
      </c>
      <c r="L57" s="582">
        <v>12</v>
      </c>
      <c r="M57" s="581">
        <f t="shared" si="34"/>
        <v>8400</v>
      </c>
      <c r="N57" s="581">
        <f t="shared" si="35"/>
        <v>9000</v>
      </c>
      <c r="O57" s="536">
        <f t="shared" si="6"/>
        <v>461.53846153846155</v>
      </c>
      <c r="P57" s="536">
        <f t="shared" si="7"/>
        <v>6461.538461538461</v>
      </c>
      <c r="Q57" s="536">
        <f t="shared" si="8"/>
        <v>6923.076923076923</v>
      </c>
      <c r="R57" s="525">
        <f t="shared" si="36"/>
        <v>4900.46</v>
      </c>
      <c r="S57" s="525">
        <f t="shared" si="37"/>
        <v>3499.54</v>
      </c>
      <c r="T57" s="475">
        <f t="shared" si="38"/>
        <v>0.5833880952380952</v>
      </c>
      <c r="U57" s="476"/>
      <c r="V57" s="476"/>
      <c r="W57" s="476"/>
      <c r="X57" s="476"/>
      <c r="Y57" s="476"/>
      <c r="Z57" s="476"/>
      <c r="AA57" s="476"/>
      <c r="AB57" s="476"/>
      <c r="AC57" s="476"/>
      <c r="AD57" s="476"/>
      <c r="AE57" s="476"/>
      <c r="AF57" s="476"/>
      <c r="AG57" s="535">
        <f t="shared" si="39"/>
        <v>4900.46</v>
      </c>
      <c r="AH57" s="535">
        <f t="shared" si="20"/>
        <v>4099.54</v>
      </c>
      <c r="AI57" s="477">
        <f t="shared" si="9"/>
        <v>0.5444955555555555</v>
      </c>
      <c r="AJ57" s="461"/>
      <c r="AK57" s="511">
        <v>0</v>
      </c>
      <c r="AL57" s="511">
        <v>0</v>
      </c>
      <c r="AM57" s="511">
        <v>0</v>
      </c>
      <c r="AN57" s="511">
        <v>0</v>
      </c>
      <c r="AO57" s="512">
        <f t="shared" si="10"/>
        <v>0</v>
      </c>
      <c r="AP57" s="511">
        <v>0</v>
      </c>
      <c r="AQ57" s="511">
        <v>0</v>
      </c>
      <c r="AR57" s="511">
        <v>0</v>
      </c>
      <c r="AS57" s="512">
        <f t="shared" si="11"/>
        <v>0</v>
      </c>
      <c r="AT57" s="511">
        <v>0</v>
      </c>
      <c r="AU57" s="511">
        <v>0</v>
      </c>
      <c r="AV57" s="511">
        <v>0</v>
      </c>
      <c r="AW57" s="512">
        <f t="shared" si="12"/>
        <v>0</v>
      </c>
      <c r="AX57" s="511">
        <v>0</v>
      </c>
      <c r="AY57" s="511">
        <v>0</v>
      </c>
      <c r="AZ57" s="511">
        <v>0</v>
      </c>
      <c r="BA57" s="512">
        <f t="shared" si="13"/>
        <v>0</v>
      </c>
      <c r="BB57" s="513"/>
      <c r="BC57" s="511">
        <v>0</v>
      </c>
      <c r="BD57" s="511">
        <v>0</v>
      </c>
      <c r="BE57" s="511">
        <v>0</v>
      </c>
      <c r="BF57" s="511">
        <v>0</v>
      </c>
      <c r="BG57" s="512">
        <f t="shared" si="40"/>
        <v>0</v>
      </c>
      <c r="BH57" s="511">
        <v>0</v>
      </c>
      <c r="BI57" s="511">
        <v>0</v>
      </c>
      <c r="BJ57" s="511">
        <v>0</v>
      </c>
      <c r="BK57" s="512">
        <f t="shared" si="41"/>
        <v>0</v>
      </c>
      <c r="BL57" s="511">
        <v>2022.6</v>
      </c>
      <c r="BM57" s="511">
        <v>0</v>
      </c>
      <c r="BN57" s="511">
        <v>0</v>
      </c>
      <c r="BO57" s="512">
        <f t="shared" si="42"/>
        <v>2022.6</v>
      </c>
      <c r="BP57" s="511">
        <v>2877.86</v>
      </c>
      <c r="BQ57" s="511">
        <v>0</v>
      </c>
      <c r="BR57" s="511">
        <v>0</v>
      </c>
      <c r="BS57" s="512">
        <f t="shared" si="43"/>
        <v>2877.86</v>
      </c>
      <c r="BT57" s="513"/>
      <c r="BU57" s="748">
        <v>4099</v>
      </c>
      <c r="BV57" s="752">
        <v>2000</v>
      </c>
      <c r="BW57" s="752">
        <v>0</v>
      </c>
      <c r="BX57" s="752">
        <v>2100</v>
      </c>
      <c r="BY57" s="752">
        <v>0</v>
      </c>
      <c r="BZ57" s="752">
        <v>0</v>
      </c>
      <c r="CA57" s="753">
        <f t="shared" si="14"/>
        <v>4100</v>
      </c>
      <c r="CB57" s="754">
        <f t="shared" si="15"/>
        <v>1.000243961941937</v>
      </c>
    </row>
    <row r="58" spans="1:80" s="459" customFormat="1" ht="22.5">
      <c r="A58" s="484" t="s">
        <v>82</v>
      </c>
      <c r="B58" s="805"/>
      <c r="C58" s="578" t="s">
        <v>508</v>
      </c>
      <c r="D58" s="637" t="s">
        <v>471</v>
      </c>
      <c r="E58" s="466" t="s">
        <v>472</v>
      </c>
      <c r="F58" s="579">
        <v>200</v>
      </c>
      <c r="G58" s="580">
        <v>30</v>
      </c>
      <c r="H58" s="579">
        <v>3</v>
      </c>
      <c r="I58" s="581">
        <f t="shared" si="33"/>
        <v>18000</v>
      </c>
      <c r="J58" s="582"/>
      <c r="K58" s="582"/>
      <c r="L58" s="582"/>
      <c r="M58" s="581">
        <f t="shared" si="34"/>
        <v>0</v>
      </c>
      <c r="N58" s="581">
        <f t="shared" si="35"/>
        <v>18000</v>
      </c>
      <c r="O58" s="536">
        <f t="shared" si="6"/>
        <v>13846.153846153846</v>
      </c>
      <c r="P58" s="536">
        <f t="shared" si="7"/>
        <v>0</v>
      </c>
      <c r="Q58" s="536">
        <f t="shared" si="8"/>
        <v>13846.153846153846</v>
      </c>
      <c r="R58" s="525">
        <f t="shared" si="36"/>
        <v>16589.01</v>
      </c>
      <c r="S58" s="525">
        <f t="shared" si="37"/>
        <v>-16589.01</v>
      </c>
      <c r="T58" s="475" t="e">
        <f t="shared" si="38"/>
        <v>#DIV/0!</v>
      </c>
      <c r="U58" s="476"/>
      <c r="V58" s="476"/>
      <c r="W58" s="476"/>
      <c r="X58" s="476"/>
      <c r="Y58" s="476"/>
      <c r="Z58" s="476"/>
      <c r="AA58" s="476"/>
      <c r="AB58" s="476"/>
      <c r="AC58" s="476"/>
      <c r="AD58" s="476"/>
      <c r="AE58" s="476"/>
      <c r="AF58" s="476"/>
      <c r="AG58" s="535">
        <f t="shared" si="39"/>
        <v>16589.01</v>
      </c>
      <c r="AH58" s="535">
        <f t="shared" si="20"/>
        <v>1410.9900000000016</v>
      </c>
      <c r="AI58" s="477">
        <f t="shared" si="9"/>
        <v>0.9216116666666666</v>
      </c>
      <c r="AJ58" s="461"/>
      <c r="AK58" s="511">
        <v>0</v>
      </c>
      <c r="AL58" s="511">
        <v>0</v>
      </c>
      <c r="AM58" s="511">
        <v>0</v>
      </c>
      <c r="AN58" s="511">
        <v>0</v>
      </c>
      <c r="AO58" s="512">
        <f t="shared" si="10"/>
        <v>0</v>
      </c>
      <c r="AP58" s="511">
        <v>0</v>
      </c>
      <c r="AQ58" s="511">
        <v>0</v>
      </c>
      <c r="AR58" s="511">
        <v>0</v>
      </c>
      <c r="AS58" s="512">
        <f t="shared" si="11"/>
        <v>0</v>
      </c>
      <c r="AT58" s="511">
        <v>0</v>
      </c>
      <c r="AU58" s="511">
        <v>0</v>
      </c>
      <c r="AV58" s="511">
        <v>0</v>
      </c>
      <c r="AW58" s="512">
        <f t="shared" si="12"/>
        <v>0</v>
      </c>
      <c r="AX58" s="511">
        <v>0</v>
      </c>
      <c r="AY58" s="511">
        <v>0</v>
      </c>
      <c r="AZ58" s="511">
        <v>0</v>
      </c>
      <c r="BA58" s="512">
        <f t="shared" si="13"/>
        <v>0</v>
      </c>
      <c r="BB58" s="513"/>
      <c r="BC58" s="511">
        <v>0</v>
      </c>
      <c r="BD58" s="511">
        <v>0</v>
      </c>
      <c r="BE58" s="511">
        <v>0</v>
      </c>
      <c r="BF58" s="511">
        <v>0</v>
      </c>
      <c r="BG58" s="512">
        <f t="shared" si="40"/>
        <v>0</v>
      </c>
      <c r="BH58" s="511">
        <v>0</v>
      </c>
      <c r="BI58" s="511">
        <v>0</v>
      </c>
      <c r="BJ58" s="511">
        <v>0</v>
      </c>
      <c r="BK58" s="512">
        <f t="shared" si="41"/>
        <v>0</v>
      </c>
      <c r="BL58" s="511">
        <v>1128.95</v>
      </c>
      <c r="BM58" s="511">
        <v>0</v>
      </c>
      <c r="BN58" s="511">
        <v>0</v>
      </c>
      <c r="BO58" s="512">
        <f t="shared" si="42"/>
        <v>1128.95</v>
      </c>
      <c r="BP58" s="511">
        <v>15460.06</v>
      </c>
      <c r="BQ58" s="511">
        <v>0</v>
      </c>
      <c r="BR58" s="511">
        <v>0</v>
      </c>
      <c r="BS58" s="512">
        <f t="shared" si="43"/>
        <v>15460.06</v>
      </c>
      <c r="BT58" s="513"/>
      <c r="BU58" s="748">
        <v>1411</v>
      </c>
      <c r="BV58" s="752">
        <v>0</v>
      </c>
      <c r="BW58" s="752">
        <v>0</v>
      </c>
      <c r="BX58" s="752">
        <v>0</v>
      </c>
      <c r="BY58" s="752">
        <v>0</v>
      </c>
      <c r="BZ58" s="752">
        <v>0</v>
      </c>
      <c r="CA58" s="753">
        <f t="shared" si="14"/>
        <v>0</v>
      </c>
      <c r="CB58" s="754">
        <f t="shared" si="15"/>
        <v>0</v>
      </c>
    </row>
    <row r="59" spans="1:80" s="460" customFormat="1" ht="15" customHeight="1">
      <c r="A59" s="593"/>
      <c r="B59" s="594"/>
      <c r="C59" s="595" t="s">
        <v>0</v>
      </c>
      <c r="D59" s="596" t="s">
        <v>0</v>
      </c>
      <c r="E59" s="597"/>
      <c r="F59" s="598"/>
      <c r="G59" s="599"/>
      <c r="H59" s="598"/>
      <c r="I59" s="639">
        <f>SUM(I53:I58)</f>
        <v>83100</v>
      </c>
      <c r="J59" s="601"/>
      <c r="K59" s="601"/>
      <c r="L59" s="601"/>
      <c r="M59" s="639">
        <f>SUM(M53:M58)</f>
        <v>8400</v>
      </c>
      <c r="N59" s="639">
        <f>SUM(N53:N58)</f>
        <v>91500</v>
      </c>
      <c r="O59" s="639">
        <f aca="true" t="shared" si="44" ref="O59:BA59">SUM(O53:O58)</f>
        <v>63923.07692307692</v>
      </c>
      <c r="P59" s="639">
        <f t="shared" si="44"/>
        <v>6461.538461538461</v>
      </c>
      <c r="Q59" s="639">
        <f t="shared" si="44"/>
        <v>70384.61538461539</v>
      </c>
      <c r="R59" s="639">
        <f>SUM(R53:R58)</f>
        <v>67790.09999999999</v>
      </c>
      <c r="S59" s="639">
        <f t="shared" si="44"/>
        <v>-59390.09999999999</v>
      </c>
      <c r="T59" s="729">
        <f>R59/I59</f>
        <v>0.8157653429602887</v>
      </c>
      <c r="U59" s="639">
        <f t="shared" si="44"/>
        <v>0</v>
      </c>
      <c r="V59" s="639">
        <f t="shared" si="44"/>
        <v>0</v>
      </c>
      <c r="W59" s="639">
        <f t="shared" si="44"/>
        <v>0</v>
      </c>
      <c r="X59" s="639">
        <f t="shared" si="44"/>
        <v>0</v>
      </c>
      <c r="Y59" s="639">
        <f t="shared" si="44"/>
        <v>0</v>
      </c>
      <c r="Z59" s="639">
        <f t="shared" si="44"/>
        <v>0</v>
      </c>
      <c r="AA59" s="639">
        <f t="shared" si="44"/>
        <v>0</v>
      </c>
      <c r="AB59" s="639">
        <f t="shared" si="44"/>
        <v>0</v>
      </c>
      <c r="AC59" s="639">
        <f t="shared" si="44"/>
        <v>0</v>
      </c>
      <c r="AD59" s="639">
        <f t="shared" si="44"/>
        <v>0</v>
      </c>
      <c r="AE59" s="639">
        <f t="shared" si="44"/>
        <v>0</v>
      </c>
      <c r="AF59" s="639">
        <f t="shared" si="44"/>
        <v>0</v>
      </c>
      <c r="AG59" s="639">
        <f>SUM(AG53:AG58)</f>
        <v>109312.58</v>
      </c>
      <c r="AH59" s="639">
        <f t="shared" si="44"/>
        <v>-17812.579999999998</v>
      </c>
      <c r="AI59" s="729">
        <f t="shared" si="9"/>
        <v>1.194673005464481</v>
      </c>
      <c r="AJ59" s="639">
        <f t="shared" si="44"/>
        <v>0</v>
      </c>
      <c r="AK59" s="639">
        <f>SUM(AK53:AK58)</f>
        <v>0</v>
      </c>
      <c r="AL59" s="639">
        <f t="shared" si="44"/>
        <v>0</v>
      </c>
      <c r="AM59" s="639">
        <f t="shared" si="44"/>
        <v>0</v>
      </c>
      <c r="AN59" s="639">
        <f t="shared" si="44"/>
        <v>0</v>
      </c>
      <c r="AO59" s="639">
        <f t="shared" si="44"/>
        <v>0</v>
      </c>
      <c r="AP59" s="639">
        <f t="shared" si="44"/>
        <v>0</v>
      </c>
      <c r="AQ59" s="639">
        <f t="shared" si="44"/>
        <v>0</v>
      </c>
      <c r="AR59" s="639">
        <f t="shared" si="44"/>
        <v>0</v>
      </c>
      <c r="AS59" s="639">
        <f t="shared" si="44"/>
        <v>0</v>
      </c>
      <c r="AT59" s="639">
        <f t="shared" si="44"/>
        <v>0</v>
      </c>
      <c r="AU59" s="639">
        <f t="shared" si="44"/>
        <v>0</v>
      </c>
      <c r="AV59" s="639">
        <f t="shared" si="44"/>
        <v>0</v>
      </c>
      <c r="AW59" s="639">
        <f t="shared" si="44"/>
        <v>0</v>
      </c>
      <c r="AX59" s="639">
        <f t="shared" si="44"/>
        <v>213.5</v>
      </c>
      <c r="AY59" s="639">
        <f t="shared" si="44"/>
        <v>2715.98</v>
      </c>
      <c r="AZ59" s="639">
        <f t="shared" si="44"/>
        <v>38593</v>
      </c>
      <c r="BA59" s="639">
        <f t="shared" si="44"/>
        <v>41522.48</v>
      </c>
      <c r="BB59" s="513"/>
      <c r="BC59" s="639">
        <f>SUM(BC53:BC58)</f>
        <v>0</v>
      </c>
      <c r="BD59" s="639">
        <f aca="true" t="shared" si="45" ref="BD59:BS59">SUM(BD53:BD58)</f>
        <v>0</v>
      </c>
      <c r="BE59" s="639">
        <f t="shared" si="45"/>
        <v>0</v>
      </c>
      <c r="BF59" s="639">
        <f t="shared" si="45"/>
        <v>0</v>
      </c>
      <c r="BG59" s="639">
        <f t="shared" si="45"/>
        <v>0</v>
      </c>
      <c r="BH59" s="639">
        <f t="shared" si="45"/>
        <v>0</v>
      </c>
      <c r="BI59" s="639">
        <f t="shared" si="45"/>
        <v>0</v>
      </c>
      <c r="BJ59" s="639">
        <f t="shared" si="45"/>
        <v>506.01</v>
      </c>
      <c r="BK59" s="639">
        <f t="shared" si="45"/>
        <v>506.01</v>
      </c>
      <c r="BL59" s="639">
        <f t="shared" si="45"/>
        <v>43196.35999999999</v>
      </c>
      <c r="BM59" s="639">
        <f t="shared" si="45"/>
        <v>0</v>
      </c>
      <c r="BN59" s="639">
        <f t="shared" si="45"/>
        <v>7.5</v>
      </c>
      <c r="BO59" s="639">
        <f t="shared" si="45"/>
        <v>43203.85999999999</v>
      </c>
      <c r="BP59" s="639">
        <f t="shared" si="45"/>
        <v>24080.23</v>
      </c>
      <c r="BQ59" s="639">
        <f t="shared" si="45"/>
        <v>0</v>
      </c>
      <c r="BR59" s="639">
        <f t="shared" si="45"/>
        <v>0</v>
      </c>
      <c r="BS59" s="639">
        <f t="shared" si="45"/>
        <v>24080.23</v>
      </c>
      <c r="BT59" s="513"/>
      <c r="BU59" s="781">
        <f aca="true" t="shared" si="46" ref="BU59:BZ59">SUM(BU53:BU58)</f>
        <v>-17813</v>
      </c>
      <c r="BV59" s="738">
        <f t="shared" si="46"/>
        <v>6500</v>
      </c>
      <c r="BW59" s="738">
        <f t="shared" si="46"/>
        <v>0</v>
      </c>
      <c r="BX59" s="738">
        <f t="shared" si="46"/>
        <v>2100</v>
      </c>
      <c r="BY59" s="738">
        <f t="shared" si="46"/>
        <v>0</v>
      </c>
      <c r="BZ59" s="738">
        <f t="shared" si="46"/>
        <v>0</v>
      </c>
      <c r="CA59" s="755">
        <f t="shared" si="14"/>
        <v>8600</v>
      </c>
      <c r="CB59" s="756">
        <f t="shared" si="15"/>
        <v>-0.48279346544658397</v>
      </c>
    </row>
    <row r="60" spans="1:80" s="460" customFormat="1" ht="15.75">
      <c r="A60" s="484" t="s">
        <v>90</v>
      </c>
      <c r="B60" s="804" t="s">
        <v>509</v>
      </c>
      <c r="C60" s="578" t="s">
        <v>510</v>
      </c>
      <c r="D60" s="637" t="s">
        <v>471</v>
      </c>
      <c r="E60" s="469" t="s">
        <v>44</v>
      </c>
      <c r="F60" s="640">
        <v>1</v>
      </c>
      <c r="G60" s="641">
        <v>40000</v>
      </c>
      <c r="H60" s="640">
        <v>1</v>
      </c>
      <c r="I60" s="642">
        <f>F60*G60*H60</f>
        <v>40000</v>
      </c>
      <c r="J60" s="643">
        <v>1</v>
      </c>
      <c r="K60" s="643">
        <v>45000</v>
      </c>
      <c r="L60" s="643">
        <v>1</v>
      </c>
      <c r="M60" s="642">
        <f>J60*K60*L60</f>
        <v>45000</v>
      </c>
      <c r="N60" s="642">
        <f>M60+I60</f>
        <v>85000</v>
      </c>
      <c r="O60" s="536">
        <f t="shared" si="6"/>
        <v>30769.23076923077</v>
      </c>
      <c r="P60" s="536">
        <f t="shared" si="7"/>
        <v>34615.38461538462</v>
      </c>
      <c r="Q60" s="536">
        <f t="shared" si="8"/>
        <v>65384.61538461539</v>
      </c>
      <c r="R60" s="525">
        <f>BG60+BK60+BO60+BS60</f>
        <v>40289.74</v>
      </c>
      <c r="S60" s="525">
        <f>M60-R60</f>
        <v>4710.260000000002</v>
      </c>
      <c r="T60" s="475">
        <f>R60/M60</f>
        <v>0.8953275555555555</v>
      </c>
      <c r="U60" s="476"/>
      <c r="V60" s="476"/>
      <c r="W60" s="476"/>
      <c r="X60" s="476"/>
      <c r="Y60" s="476"/>
      <c r="Z60" s="476"/>
      <c r="AA60" s="476"/>
      <c r="AB60" s="476"/>
      <c r="AC60" s="476"/>
      <c r="AD60" s="476"/>
      <c r="AE60" s="476"/>
      <c r="AF60" s="476"/>
      <c r="AG60" s="535">
        <f>AO60+AS60+AW60+BA60+BG60+BK60+BO60+BS60</f>
        <v>40289.74</v>
      </c>
      <c r="AH60" s="535">
        <f t="shared" si="20"/>
        <v>44710.26</v>
      </c>
      <c r="AI60" s="477">
        <f t="shared" si="9"/>
        <v>0.47399694117647057</v>
      </c>
      <c r="AJ60" s="461"/>
      <c r="AK60" s="511">
        <v>0</v>
      </c>
      <c r="AL60" s="511">
        <v>0</v>
      </c>
      <c r="AM60" s="511">
        <v>0</v>
      </c>
      <c r="AN60" s="511">
        <v>0</v>
      </c>
      <c r="AO60" s="512">
        <f t="shared" si="10"/>
        <v>0</v>
      </c>
      <c r="AP60" s="511">
        <v>0</v>
      </c>
      <c r="AQ60" s="511">
        <v>0</v>
      </c>
      <c r="AR60" s="511">
        <v>0</v>
      </c>
      <c r="AS60" s="512">
        <f t="shared" si="11"/>
        <v>0</v>
      </c>
      <c r="AT60" s="511">
        <v>0</v>
      </c>
      <c r="AU60" s="511">
        <v>0</v>
      </c>
      <c r="AV60" s="511">
        <v>0</v>
      </c>
      <c r="AW60" s="512">
        <f t="shared" si="12"/>
        <v>0</v>
      </c>
      <c r="AX60" s="511">
        <v>0</v>
      </c>
      <c r="AY60" s="511">
        <v>0</v>
      </c>
      <c r="AZ60" s="511">
        <v>0</v>
      </c>
      <c r="BA60" s="512">
        <f t="shared" si="13"/>
        <v>0</v>
      </c>
      <c r="BB60" s="513"/>
      <c r="BC60" s="511">
        <v>0</v>
      </c>
      <c r="BD60" s="511">
        <v>0</v>
      </c>
      <c r="BE60" s="511">
        <v>0</v>
      </c>
      <c r="BF60" s="511">
        <v>0</v>
      </c>
      <c r="BG60" s="512">
        <f>SUM(BC60:BF60)</f>
        <v>0</v>
      </c>
      <c r="BH60" s="511">
        <v>40289.74</v>
      </c>
      <c r="BI60" s="511">
        <v>0</v>
      </c>
      <c r="BJ60" s="511">
        <v>0</v>
      </c>
      <c r="BK60" s="512">
        <f>SUM(BH60:BJ60)</f>
        <v>40289.74</v>
      </c>
      <c r="BL60" s="511">
        <v>0</v>
      </c>
      <c r="BM60" s="511">
        <v>0</v>
      </c>
      <c r="BN60" s="511">
        <v>0</v>
      </c>
      <c r="BO60" s="512">
        <f>SUM(BL60:BN60)</f>
        <v>0</v>
      </c>
      <c r="BP60" s="511">
        <v>0</v>
      </c>
      <c r="BQ60" s="511">
        <v>0</v>
      </c>
      <c r="BR60" s="511">
        <v>0</v>
      </c>
      <c r="BS60" s="512">
        <f>SUM(BP60:BR60)</f>
        <v>0</v>
      </c>
      <c r="BT60" s="513"/>
      <c r="BU60" s="748">
        <v>44710</v>
      </c>
      <c r="BV60" s="752">
        <v>44700</v>
      </c>
      <c r="BW60" s="752">
        <v>0</v>
      </c>
      <c r="BX60" s="752">
        <v>0</v>
      </c>
      <c r="BY60" s="752">
        <v>0</v>
      </c>
      <c r="BZ60" s="752">
        <v>0</v>
      </c>
      <c r="CA60" s="753">
        <f t="shared" si="14"/>
        <v>44700</v>
      </c>
      <c r="CB60" s="754">
        <f t="shared" si="15"/>
        <v>0.9997763363900694</v>
      </c>
    </row>
    <row r="61" spans="1:80" s="460" customFormat="1" ht="15.75">
      <c r="A61" s="484" t="s">
        <v>91</v>
      </c>
      <c r="B61" s="805"/>
      <c r="C61" s="578" t="s">
        <v>511</v>
      </c>
      <c r="D61" s="637" t="s">
        <v>471</v>
      </c>
      <c r="E61" s="469" t="s">
        <v>44</v>
      </c>
      <c r="F61" s="579">
        <v>25</v>
      </c>
      <c r="G61" s="580">
        <v>30</v>
      </c>
      <c r="H61" s="579">
        <v>5</v>
      </c>
      <c r="I61" s="581">
        <f>F61*G61*H61</f>
        <v>3750</v>
      </c>
      <c r="J61" s="582"/>
      <c r="K61" s="582"/>
      <c r="L61" s="582"/>
      <c r="M61" s="581"/>
      <c r="N61" s="591">
        <f>I61+M61</f>
        <v>3750</v>
      </c>
      <c r="O61" s="536">
        <f t="shared" si="6"/>
        <v>2884.6153846153843</v>
      </c>
      <c r="P61" s="536">
        <f t="shared" si="7"/>
        <v>0</v>
      </c>
      <c r="Q61" s="536">
        <f t="shared" si="8"/>
        <v>2884.6153846153843</v>
      </c>
      <c r="R61" s="525">
        <f>BG61+BK61+BO61+BS61</f>
        <v>6350</v>
      </c>
      <c r="S61" s="525">
        <f>M61-R61</f>
        <v>-6350</v>
      </c>
      <c r="T61" s="475" t="e">
        <f>R61/M61</f>
        <v>#DIV/0!</v>
      </c>
      <c r="U61" s="476"/>
      <c r="V61" s="476"/>
      <c r="W61" s="476"/>
      <c r="X61" s="476"/>
      <c r="Y61" s="476"/>
      <c r="Z61" s="476"/>
      <c r="AA61" s="476"/>
      <c r="AB61" s="476"/>
      <c r="AC61" s="476"/>
      <c r="AD61" s="476"/>
      <c r="AE61" s="476"/>
      <c r="AF61" s="476"/>
      <c r="AG61" s="535">
        <f>AO61+AS61+AW61+BA61+BG61+BK61+BO61+BS61</f>
        <v>6350</v>
      </c>
      <c r="AH61" s="535">
        <f t="shared" si="20"/>
        <v>-2600</v>
      </c>
      <c r="AI61" s="477">
        <f t="shared" si="9"/>
        <v>1.6933333333333334</v>
      </c>
      <c r="AJ61" s="461"/>
      <c r="AK61" s="511">
        <v>0</v>
      </c>
      <c r="AL61" s="511">
        <v>0</v>
      </c>
      <c r="AM61" s="511">
        <v>0</v>
      </c>
      <c r="AN61" s="511">
        <v>0</v>
      </c>
      <c r="AO61" s="512">
        <f t="shared" si="10"/>
        <v>0</v>
      </c>
      <c r="AP61" s="511">
        <v>0</v>
      </c>
      <c r="AQ61" s="511">
        <v>0</v>
      </c>
      <c r="AR61" s="511">
        <v>0</v>
      </c>
      <c r="AS61" s="512">
        <f t="shared" si="11"/>
        <v>0</v>
      </c>
      <c r="AT61" s="511">
        <v>0</v>
      </c>
      <c r="AU61" s="511">
        <v>0</v>
      </c>
      <c r="AV61" s="511">
        <v>0</v>
      </c>
      <c r="AW61" s="512">
        <f t="shared" si="12"/>
        <v>0</v>
      </c>
      <c r="AX61" s="511">
        <v>0</v>
      </c>
      <c r="AY61" s="511">
        <v>0</v>
      </c>
      <c r="AZ61" s="511">
        <v>0</v>
      </c>
      <c r="BA61" s="512">
        <f t="shared" si="13"/>
        <v>0</v>
      </c>
      <c r="BB61" s="513"/>
      <c r="BC61" s="511">
        <v>0</v>
      </c>
      <c r="BD61" s="511">
        <v>2222</v>
      </c>
      <c r="BE61" s="511">
        <v>4128</v>
      </c>
      <c r="BF61" s="511">
        <v>0</v>
      </c>
      <c r="BG61" s="512">
        <f>SUM(BC61:BF61)</f>
        <v>6350</v>
      </c>
      <c r="BH61" s="511">
        <v>0</v>
      </c>
      <c r="BI61" s="511">
        <v>0</v>
      </c>
      <c r="BJ61" s="511">
        <v>0</v>
      </c>
      <c r="BK61" s="512">
        <f>SUM(BH61:BJ61)</f>
        <v>0</v>
      </c>
      <c r="BL61" s="511">
        <v>0</v>
      </c>
      <c r="BM61" s="511">
        <v>0</v>
      </c>
      <c r="BN61" s="511">
        <v>0</v>
      </c>
      <c r="BO61" s="512">
        <f>SUM(BL61:BN61)</f>
        <v>0</v>
      </c>
      <c r="BP61" s="511">
        <v>0</v>
      </c>
      <c r="BQ61" s="511">
        <v>0</v>
      </c>
      <c r="BR61" s="511">
        <v>0</v>
      </c>
      <c r="BS61" s="512">
        <f>SUM(BP61:BR61)</f>
        <v>0</v>
      </c>
      <c r="BT61" s="513"/>
      <c r="BU61" s="748">
        <f>0-2600</f>
        <v>-2600</v>
      </c>
      <c r="BV61" s="752">
        <v>0</v>
      </c>
      <c r="BW61" s="752">
        <v>0</v>
      </c>
      <c r="BX61" s="752">
        <v>0</v>
      </c>
      <c r="BY61" s="752">
        <v>0</v>
      </c>
      <c r="BZ61" s="752">
        <v>0</v>
      </c>
      <c r="CA61" s="753">
        <f t="shared" si="14"/>
        <v>0</v>
      </c>
      <c r="CB61" s="754">
        <f t="shared" si="15"/>
        <v>0</v>
      </c>
    </row>
    <row r="62" spans="1:80" s="460" customFormat="1" ht="22.5">
      <c r="A62" s="484" t="s">
        <v>92</v>
      </c>
      <c r="B62" s="805"/>
      <c r="C62" s="578" t="s">
        <v>512</v>
      </c>
      <c r="D62" s="637" t="s">
        <v>471</v>
      </c>
      <c r="E62" s="469" t="s">
        <v>472</v>
      </c>
      <c r="F62" s="579"/>
      <c r="G62" s="580"/>
      <c r="H62" s="579"/>
      <c r="I62" s="581"/>
      <c r="J62" s="582">
        <v>196</v>
      </c>
      <c r="K62" s="582">
        <v>30</v>
      </c>
      <c r="L62" s="582">
        <v>3</v>
      </c>
      <c r="M62" s="581">
        <f>J62*K62*L62</f>
        <v>17640</v>
      </c>
      <c r="N62" s="591">
        <f>I62+M62</f>
        <v>17640</v>
      </c>
      <c r="O62" s="536">
        <f t="shared" si="6"/>
        <v>0</v>
      </c>
      <c r="P62" s="536">
        <f t="shared" si="7"/>
        <v>13569.23076923077</v>
      </c>
      <c r="Q62" s="536">
        <f t="shared" si="8"/>
        <v>13569.23076923077</v>
      </c>
      <c r="R62" s="525">
        <f>BG62+BK62+BO62+BS62</f>
        <v>0</v>
      </c>
      <c r="S62" s="525">
        <f>M62-R62</f>
        <v>17640</v>
      </c>
      <c r="T62" s="475">
        <f>R62/M62</f>
        <v>0</v>
      </c>
      <c r="U62" s="476"/>
      <c r="V62" s="476"/>
      <c r="W62" s="476"/>
      <c r="X62" s="476"/>
      <c r="Y62" s="476"/>
      <c r="Z62" s="476"/>
      <c r="AA62" s="476"/>
      <c r="AB62" s="476"/>
      <c r="AC62" s="476"/>
      <c r="AD62" s="476"/>
      <c r="AE62" s="476"/>
      <c r="AF62" s="476"/>
      <c r="AG62" s="535">
        <f>AO62+AS62+AW62+BA62+BG62+BK62+BO62+BS62</f>
        <v>0</v>
      </c>
      <c r="AH62" s="535">
        <f t="shared" si="20"/>
        <v>17640</v>
      </c>
      <c r="AI62" s="477">
        <f t="shared" si="9"/>
        <v>0</v>
      </c>
      <c r="AJ62" s="461"/>
      <c r="AK62" s="511">
        <v>0</v>
      </c>
      <c r="AL62" s="511">
        <v>0</v>
      </c>
      <c r="AM62" s="511">
        <v>0</v>
      </c>
      <c r="AN62" s="511">
        <v>0</v>
      </c>
      <c r="AO62" s="512">
        <f t="shared" si="10"/>
        <v>0</v>
      </c>
      <c r="AP62" s="511">
        <v>0</v>
      </c>
      <c r="AQ62" s="511">
        <v>0</v>
      </c>
      <c r="AR62" s="511">
        <v>0</v>
      </c>
      <c r="AS62" s="512">
        <f t="shared" si="11"/>
        <v>0</v>
      </c>
      <c r="AT62" s="511">
        <v>0</v>
      </c>
      <c r="AU62" s="511">
        <v>0</v>
      </c>
      <c r="AV62" s="511">
        <v>0</v>
      </c>
      <c r="AW62" s="512">
        <f t="shared" si="12"/>
        <v>0</v>
      </c>
      <c r="AX62" s="511">
        <v>0</v>
      </c>
      <c r="AY62" s="511">
        <v>0</v>
      </c>
      <c r="AZ62" s="511">
        <v>0</v>
      </c>
      <c r="BA62" s="512">
        <f t="shared" si="13"/>
        <v>0</v>
      </c>
      <c r="BB62" s="513"/>
      <c r="BC62" s="511">
        <v>0</v>
      </c>
      <c r="BD62" s="511">
        <v>0</v>
      </c>
      <c r="BE62" s="511">
        <v>0</v>
      </c>
      <c r="BF62" s="511">
        <v>0</v>
      </c>
      <c r="BG62" s="512">
        <f>SUM(BC62:BF62)</f>
        <v>0</v>
      </c>
      <c r="BH62" s="511">
        <v>0</v>
      </c>
      <c r="BI62" s="511">
        <v>0</v>
      </c>
      <c r="BJ62" s="511">
        <v>0</v>
      </c>
      <c r="BK62" s="512">
        <f>SUM(BH62:BJ62)</f>
        <v>0</v>
      </c>
      <c r="BL62" s="511">
        <v>0</v>
      </c>
      <c r="BM62" s="511">
        <v>0</v>
      </c>
      <c r="BN62" s="511">
        <v>0</v>
      </c>
      <c r="BO62" s="512">
        <f>SUM(BL62:BN62)</f>
        <v>0</v>
      </c>
      <c r="BP62" s="511">
        <v>0</v>
      </c>
      <c r="BQ62" s="511">
        <v>0</v>
      </c>
      <c r="BR62" s="511">
        <v>0</v>
      </c>
      <c r="BS62" s="512">
        <f>SUM(BP62:BR62)</f>
        <v>0</v>
      </c>
      <c r="BT62" s="513"/>
      <c r="BU62" s="748">
        <v>17640</v>
      </c>
      <c r="BV62" s="752">
        <v>17640</v>
      </c>
      <c r="BW62" s="752">
        <v>0</v>
      </c>
      <c r="BX62" s="752">
        <v>0</v>
      </c>
      <c r="BY62" s="752">
        <v>0</v>
      </c>
      <c r="BZ62" s="752">
        <v>0</v>
      </c>
      <c r="CA62" s="753">
        <f t="shared" si="14"/>
        <v>17640</v>
      </c>
      <c r="CB62" s="754">
        <f t="shared" si="15"/>
        <v>1</v>
      </c>
    </row>
    <row r="63" spans="1:80" s="460" customFormat="1" ht="20.25" customHeight="1">
      <c r="A63" s="570" t="s">
        <v>574</v>
      </c>
      <c r="B63" s="805"/>
      <c r="C63" s="571" t="s">
        <v>513</v>
      </c>
      <c r="D63" s="637" t="s">
        <v>471</v>
      </c>
      <c r="E63" s="469" t="s">
        <v>472</v>
      </c>
      <c r="F63" s="640"/>
      <c r="G63" s="641"/>
      <c r="H63" s="640"/>
      <c r="I63" s="642"/>
      <c r="J63" s="643">
        <v>1</v>
      </c>
      <c r="K63" s="643">
        <v>700</v>
      </c>
      <c r="L63" s="643">
        <v>12</v>
      </c>
      <c r="M63" s="642">
        <f>J63*K63*L63</f>
        <v>8400</v>
      </c>
      <c r="N63" s="644">
        <f>I63+M63</f>
        <v>8400</v>
      </c>
      <c r="O63" s="536">
        <f t="shared" si="6"/>
        <v>0</v>
      </c>
      <c r="P63" s="536">
        <f t="shared" si="7"/>
        <v>6461.538461538461</v>
      </c>
      <c r="Q63" s="536">
        <f t="shared" si="8"/>
        <v>6461.538461538461</v>
      </c>
      <c r="R63" s="525">
        <f>BG63+BK63+BO63+BS63</f>
        <v>0</v>
      </c>
      <c r="S63" s="525">
        <f>M63-R63</f>
        <v>8400</v>
      </c>
      <c r="T63" s="475">
        <f>R63/M63</f>
        <v>0</v>
      </c>
      <c r="U63" s="476"/>
      <c r="V63" s="476"/>
      <c r="W63" s="476"/>
      <c r="X63" s="476"/>
      <c r="Y63" s="476"/>
      <c r="Z63" s="476"/>
      <c r="AA63" s="476"/>
      <c r="AB63" s="476"/>
      <c r="AC63" s="476"/>
      <c r="AD63" s="476"/>
      <c r="AE63" s="476"/>
      <c r="AF63" s="476"/>
      <c r="AG63" s="535">
        <f>AO63+AS63+AW63+BA63+BG63+BK63+BO63+BS63</f>
        <v>0</v>
      </c>
      <c r="AH63" s="535">
        <f t="shared" si="20"/>
        <v>8400</v>
      </c>
      <c r="AI63" s="477">
        <f t="shared" si="9"/>
        <v>0</v>
      </c>
      <c r="AJ63" s="461"/>
      <c r="AK63" s="511">
        <v>0</v>
      </c>
      <c r="AL63" s="511">
        <v>0</v>
      </c>
      <c r="AM63" s="511">
        <v>0</v>
      </c>
      <c r="AN63" s="511">
        <v>0</v>
      </c>
      <c r="AO63" s="512">
        <f t="shared" si="10"/>
        <v>0</v>
      </c>
      <c r="AP63" s="511">
        <v>0</v>
      </c>
      <c r="AQ63" s="511">
        <v>0</v>
      </c>
      <c r="AR63" s="511">
        <v>0</v>
      </c>
      <c r="AS63" s="512">
        <f t="shared" si="11"/>
        <v>0</v>
      </c>
      <c r="AT63" s="511">
        <v>0</v>
      </c>
      <c r="AU63" s="511">
        <v>0</v>
      </c>
      <c r="AV63" s="511">
        <v>0</v>
      </c>
      <c r="AW63" s="512">
        <f t="shared" si="12"/>
        <v>0</v>
      </c>
      <c r="AX63" s="511">
        <v>0</v>
      </c>
      <c r="AY63" s="511">
        <v>0</v>
      </c>
      <c r="AZ63" s="511">
        <v>0</v>
      </c>
      <c r="BA63" s="512">
        <f t="shared" si="13"/>
        <v>0</v>
      </c>
      <c r="BB63" s="513"/>
      <c r="BC63" s="511">
        <v>0</v>
      </c>
      <c r="BD63" s="511">
        <v>0</v>
      </c>
      <c r="BE63" s="511">
        <v>0</v>
      </c>
      <c r="BF63" s="511">
        <v>0</v>
      </c>
      <c r="BG63" s="512">
        <f>SUM(BC63:BF63)</f>
        <v>0</v>
      </c>
      <c r="BH63" s="511">
        <v>0</v>
      </c>
      <c r="BI63" s="511">
        <v>0</v>
      </c>
      <c r="BJ63" s="511">
        <v>0</v>
      </c>
      <c r="BK63" s="512">
        <f>SUM(BH63:BJ63)</f>
        <v>0</v>
      </c>
      <c r="BL63" s="511">
        <v>0</v>
      </c>
      <c r="BM63" s="511">
        <v>0</v>
      </c>
      <c r="BN63" s="511">
        <v>0</v>
      </c>
      <c r="BO63" s="512">
        <f>SUM(BL63:BN63)</f>
        <v>0</v>
      </c>
      <c r="BP63" s="511">
        <v>0</v>
      </c>
      <c r="BQ63" s="511">
        <v>0</v>
      </c>
      <c r="BR63" s="511">
        <v>0</v>
      </c>
      <c r="BS63" s="512">
        <f>SUM(BP63:BR63)</f>
        <v>0</v>
      </c>
      <c r="BT63" s="513"/>
      <c r="BU63" s="748">
        <v>8400</v>
      </c>
      <c r="BV63" s="752">
        <v>0</v>
      </c>
      <c r="BW63" s="752">
        <v>2100</v>
      </c>
      <c r="BX63" s="752">
        <v>2100</v>
      </c>
      <c r="BY63" s="752">
        <v>2100</v>
      </c>
      <c r="BZ63" s="752">
        <v>2100</v>
      </c>
      <c r="CA63" s="753">
        <f t="shared" si="14"/>
        <v>8400</v>
      </c>
      <c r="CB63" s="754">
        <f t="shared" si="15"/>
        <v>1</v>
      </c>
    </row>
    <row r="64" spans="1:80" s="460" customFormat="1" ht="15" customHeight="1">
      <c r="A64" s="484" t="s">
        <v>72</v>
      </c>
      <c r="B64" s="803"/>
      <c r="C64" s="577" t="s">
        <v>514</v>
      </c>
      <c r="D64" s="637" t="s">
        <v>471</v>
      </c>
      <c r="E64" s="469" t="s">
        <v>367</v>
      </c>
      <c r="F64" s="579">
        <v>1</v>
      </c>
      <c r="G64" s="579">
        <v>20000</v>
      </c>
      <c r="H64" s="579">
        <v>1</v>
      </c>
      <c r="I64" s="581">
        <f>F64*G64*H64</f>
        <v>20000</v>
      </c>
      <c r="J64" s="582"/>
      <c r="K64" s="582"/>
      <c r="L64" s="582"/>
      <c r="M64" s="581">
        <f>J64*K64*L64</f>
        <v>0</v>
      </c>
      <c r="N64" s="591">
        <f>I64+M64</f>
        <v>20000</v>
      </c>
      <c r="O64" s="536">
        <f t="shared" si="6"/>
        <v>15384.615384615385</v>
      </c>
      <c r="P64" s="536">
        <f t="shared" si="7"/>
        <v>0</v>
      </c>
      <c r="Q64" s="536">
        <f t="shared" si="8"/>
        <v>15384.615384615385</v>
      </c>
      <c r="R64" s="525">
        <f>BG64+BK64+BO64+BS64</f>
        <v>718.48</v>
      </c>
      <c r="S64" s="525">
        <f>M64-R64</f>
        <v>-718.48</v>
      </c>
      <c r="T64" s="475" t="e">
        <f>R64/M64</f>
        <v>#DIV/0!</v>
      </c>
      <c r="U64" s="476"/>
      <c r="V64" s="476"/>
      <c r="W64" s="476"/>
      <c r="X64" s="476"/>
      <c r="Y64" s="476"/>
      <c r="Z64" s="476"/>
      <c r="AA64" s="476"/>
      <c r="AB64" s="476"/>
      <c r="AC64" s="476"/>
      <c r="AD64" s="476"/>
      <c r="AE64" s="476"/>
      <c r="AF64" s="476"/>
      <c r="AG64" s="535">
        <f>AO64+AS64+AW64+BA64+BG64+BK64+BO64+BS64</f>
        <v>19591.49</v>
      </c>
      <c r="AH64" s="535">
        <f t="shared" si="20"/>
        <v>408.5099999999984</v>
      </c>
      <c r="AI64" s="477">
        <f t="shared" si="9"/>
        <v>0.9795745000000001</v>
      </c>
      <c r="AJ64" s="461"/>
      <c r="AK64" s="511">
        <v>0</v>
      </c>
      <c r="AL64" s="511">
        <v>0</v>
      </c>
      <c r="AM64" s="511">
        <v>0</v>
      </c>
      <c r="AN64" s="511">
        <v>0</v>
      </c>
      <c r="AO64" s="512">
        <f t="shared" si="10"/>
        <v>0</v>
      </c>
      <c r="AP64" s="511">
        <v>0</v>
      </c>
      <c r="AQ64" s="511">
        <v>0</v>
      </c>
      <c r="AR64" s="511">
        <v>0</v>
      </c>
      <c r="AS64" s="512">
        <f t="shared" si="11"/>
        <v>0</v>
      </c>
      <c r="AT64" s="511">
        <v>0</v>
      </c>
      <c r="AU64" s="511">
        <v>15345.16</v>
      </c>
      <c r="AV64" s="511">
        <v>0</v>
      </c>
      <c r="AW64" s="512">
        <f t="shared" si="12"/>
        <v>15345.16</v>
      </c>
      <c r="AX64" s="511">
        <v>0</v>
      </c>
      <c r="AY64" s="511">
        <v>0</v>
      </c>
      <c r="AZ64" s="511">
        <v>3527.85</v>
      </c>
      <c r="BA64" s="512">
        <f t="shared" si="13"/>
        <v>3527.85</v>
      </c>
      <c r="BB64" s="513"/>
      <c r="BC64" s="511">
        <v>0</v>
      </c>
      <c r="BD64" s="511">
        <v>171.15</v>
      </c>
      <c r="BE64" s="511">
        <v>0</v>
      </c>
      <c r="BF64" s="511">
        <v>0</v>
      </c>
      <c r="BG64" s="512">
        <f>SUM(BC64:BF64)</f>
        <v>171.15</v>
      </c>
      <c r="BH64" s="511">
        <v>24.34</v>
      </c>
      <c r="BI64" s="511">
        <v>0</v>
      </c>
      <c r="BJ64" s="511">
        <v>0</v>
      </c>
      <c r="BK64" s="512">
        <f>SUM(BH64:BJ64)</f>
        <v>24.34</v>
      </c>
      <c r="BL64" s="511">
        <v>0</v>
      </c>
      <c r="BM64" s="511">
        <v>522.99</v>
      </c>
      <c r="BN64" s="511">
        <v>0</v>
      </c>
      <c r="BO64" s="512">
        <f>SUM(BL64:BN64)</f>
        <v>522.99</v>
      </c>
      <c r="BP64" s="511">
        <v>0</v>
      </c>
      <c r="BQ64" s="511">
        <v>0</v>
      </c>
      <c r="BR64" s="511">
        <v>0</v>
      </c>
      <c r="BS64" s="512">
        <f>SUM(BP64:BR64)</f>
        <v>0</v>
      </c>
      <c r="BT64" s="513"/>
      <c r="BU64" s="748">
        <v>408</v>
      </c>
      <c r="BV64" s="752">
        <v>408</v>
      </c>
      <c r="BW64" s="752">
        <v>0</v>
      </c>
      <c r="BX64" s="752">
        <v>0</v>
      </c>
      <c r="BY64" s="752">
        <v>0</v>
      </c>
      <c r="BZ64" s="752">
        <v>0</v>
      </c>
      <c r="CA64" s="753">
        <f t="shared" si="14"/>
        <v>408</v>
      </c>
      <c r="CB64" s="754">
        <f t="shared" si="15"/>
        <v>1</v>
      </c>
    </row>
    <row r="65" spans="1:80" s="459" customFormat="1" ht="16.5" thickBot="1">
      <c r="A65" s="645"/>
      <c r="B65" s="594"/>
      <c r="C65" s="595" t="s">
        <v>0</v>
      </c>
      <c r="D65" s="596" t="s">
        <v>0</v>
      </c>
      <c r="E65" s="597"/>
      <c r="F65" s="598"/>
      <c r="G65" s="599"/>
      <c r="H65" s="598"/>
      <c r="I65" s="639">
        <f>SUM(I60:I64)</f>
        <v>63750</v>
      </c>
      <c r="J65" s="601"/>
      <c r="K65" s="601"/>
      <c r="L65" s="601"/>
      <c r="M65" s="639">
        <f>SUM(M60:M64)</f>
        <v>71040</v>
      </c>
      <c r="N65" s="639">
        <f>SUM(N60:N64)</f>
        <v>134790</v>
      </c>
      <c r="O65" s="639">
        <f aca="true" t="shared" si="47" ref="O65:BA65">SUM(O60:O64)</f>
        <v>49038.46153846154</v>
      </c>
      <c r="P65" s="639">
        <f t="shared" si="47"/>
        <v>54646.15384615385</v>
      </c>
      <c r="Q65" s="639">
        <f t="shared" si="47"/>
        <v>103684.61538461539</v>
      </c>
      <c r="R65" s="639">
        <f t="shared" si="47"/>
        <v>47358.22</v>
      </c>
      <c r="S65" s="639">
        <f t="shared" si="47"/>
        <v>23681.780000000002</v>
      </c>
      <c r="T65" s="729">
        <f>R65/I65</f>
        <v>0.7428740392156863</v>
      </c>
      <c r="U65" s="639">
        <f t="shared" si="47"/>
        <v>0</v>
      </c>
      <c r="V65" s="639">
        <f t="shared" si="47"/>
        <v>0</v>
      </c>
      <c r="W65" s="639">
        <f t="shared" si="47"/>
        <v>0</v>
      </c>
      <c r="X65" s="639">
        <f t="shared" si="47"/>
        <v>0</v>
      </c>
      <c r="Y65" s="639">
        <f t="shared" si="47"/>
        <v>0</v>
      </c>
      <c r="Z65" s="639">
        <f t="shared" si="47"/>
        <v>0</v>
      </c>
      <c r="AA65" s="639">
        <f t="shared" si="47"/>
        <v>0</v>
      </c>
      <c r="AB65" s="639">
        <f t="shared" si="47"/>
        <v>0</v>
      </c>
      <c r="AC65" s="639">
        <f t="shared" si="47"/>
        <v>0</v>
      </c>
      <c r="AD65" s="639">
        <f t="shared" si="47"/>
        <v>0</v>
      </c>
      <c r="AE65" s="639">
        <f t="shared" si="47"/>
        <v>0</v>
      </c>
      <c r="AF65" s="639">
        <f t="shared" si="47"/>
        <v>0</v>
      </c>
      <c r="AG65" s="639">
        <f t="shared" si="47"/>
        <v>66231.23</v>
      </c>
      <c r="AH65" s="639">
        <f t="shared" si="47"/>
        <v>68558.77</v>
      </c>
      <c r="AI65" s="729">
        <f t="shared" si="9"/>
        <v>0.4913660508939832</v>
      </c>
      <c r="AJ65" s="639">
        <f t="shared" si="47"/>
        <v>0</v>
      </c>
      <c r="AK65" s="639">
        <f>SUM(AK60:AK64)</f>
        <v>0</v>
      </c>
      <c r="AL65" s="639">
        <f t="shared" si="47"/>
        <v>0</v>
      </c>
      <c r="AM65" s="639">
        <f t="shared" si="47"/>
        <v>0</v>
      </c>
      <c r="AN65" s="639">
        <f t="shared" si="47"/>
        <v>0</v>
      </c>
      <c r="AO65" s="639">
        <f t="shared" si="47"/>
        <v>0</v>
      </c>
      <c r="AP65" s="639">
        <f t="shared" si="47"/>
        <v>0</v>
      </c>
      <c r="AQ65" s="639">
        <f t="shared" si="47"/>
        <v>0</v>
      </c>
      <c r="AR65" s="639">
        <f t="shared" si="47"/>
        <v>0</v>
      </c>
      <c r="AS65" s="639">
        <f t="shared" si="47"/>
        <v>0</v>
      </c>
      <c r="AT65" s="639">
        <f t="shared" si="47"/>
        <v>0</v>
      </c>
      <c r="AU65" s="639">
        <f t="shared" si="47"/>
        <v>15345.16</v>
      </c>
      <c r="AV65" s="639">
        <f t="shared" si="47"/>
        <v>0</v>
      </c>
      <c r="AW65" s="639">
        <f t="shared" si="47"/>
        <v>15345.16</v>
      </c>
      <c r="AX65" s="639">
        <f t="shared" si="47"/>
        <v>0</v>
      </c>
      <c r="AY65" s="639">
        <f t="shared" si="47"/>
        <v>0</v>
      </c>
      <c r="AZ65" s="639">
        <f t="shared" si="47"/>
        <v>3527.85</v>
      </c>
      <c r="BA65" s="639">
        <f t="shared" si="47"/>
        <v>3527.85</v>
      </c>
      <c r="BB65" s="513"/>
      <c r="BC65" s="639">
        <f>SUM(BC60:BC64)</f>
        <v>0</v>
      </c>
      <c r="BD65" s="639">
        <f aca="true" t="shared" si="48" ref="BD65:BS65">SUM(BD60:BD64)</f>
        <v>2393.15</v>
      </c>
      <c r="BE65" s="639">
        <f t="shared" si="48"/>
        <v>4128</v>
      </c>
      <c r="BF65" s="639">
        <f t="shared" si="48"/>
        <v>0</v>
      </c>
      <c r="BG65" s="639">
        <f t="shared" si="48"/>
        <v>6521.15</v>
      </c>
      <c r="BH65" s="639">
        <f t="shared" si="48"/>
        <v>40314.079999999994</v>
      </c>
      <c r="BI65" s="639">
        <f t="shared" si="48"/>
        <v>0</v>
      </c>
      <c r="BJ65" s="639">
        <f t="shared" si="48"/>
        <v>0</v>
      </c>
      <c r="BK65" s="639">
        <f t="shared" si="48"/>
        <v>40314.079999999994</v>
      </c>
      <c r="BL65" s="639">
        <f t="shared" si="48"/>
        <v>0</v>
      </c>
      <c r="BM65" s="639">
        <f t="shared" si="48"/>
        <v>522.99</v>
      </c>
      <c r="BN65" s="639">
        <f t="shared" si="48"/>
        <v>0</v>
      </c>
      <c r="BO65" s="639">
        <f t="shared" si="48"/>
        <v>522.99</v>
      </c>
      <c r="BP65" s="639">
        <f t="shared" si="48"/>
        <v>0</v>
      </c>
      <c r="BQ65" s="639">
        <f t="shared" si="48"/>
        <v>0</v>
      </c>
      <c r="BR65" s="639">
        <f t="shared" si="48"/>
        <v>0</v>
      </c>
      <c r="BS65" s="639">
        <f t="shared" si="48"/>
        <v>0</v>
      </c>
      <c r="BT65" s="513"/>
      <c r="BU65" s="781">
        <f aca="true" t="shared" si="49" ref="BU65:BZ65">SUM(BU60:BU64)</f>
        <v>68558</v>
      </c>
      <c r="BV65" s="738">
        <f t="shared" si="49"/>
        <v>62748</v>
      </c>
      <c r="BW65" s="738">
        <f t="shared" si="49"/>
        <v>2100</v>
      </c>
      <c r="BX65" s="738">
        <f t="shared" si="49"/>
        <v>2100</v>
      </c>
      <c r="BY65" s="738">
        <f t="shared" si="49"/>
        <v>2100</v>
      </c>
      <c r="BZ65" s="738">
        <f t="shared" si="49"/>
        <v>2100</v>
      </c>
      <c r="CA65" s="755">
        <f t="shared" si="14"/>
        <v>71148</v>
      </c>
      <c r="CB65" s="756">
        <f t="shared" si="15"/>
        <v>1.0377782315703492</v>
      </c>
    </row>
    <row r="66" spans="1:80" s="459" customFormat="1" ht="24" customHeight="1" thickBot="1">
      <c r="A66" s="570" t="s">
        <v>515</v>
      </c>
      <c r="B66" s="808" t="s">
        <v>516</v>
      </c>
      <c r="C66" s="571" t="s">
        <v>517</v>
      </c>
      <c r="D66" s="564" t="s">
        <v>471</v>
      </c>
      <c r="E66" s="469" t="s">
        <v>367</v>
      </c>
      <c r="F66" s="579">
        <v>0</v>
      </c>
      <c r="G66" s="580">
        <v>0</v>
      </c>
      <c r="H66" s="579">
        <v>0</v>
      </c>
      <c r="I66" s="581">
        <f>F66*G66*H66</f>
        <v>0</v>
      </c>
      <c r="J66" s="582">
        <v>1</v>
      </c>
      <c r="K66" s="582">
        <v>125000</v>
      </c>
      <c r="L66" s="582">
        <v>1</v>
      </c>
      <c r="M66" s="581">
        <f>J66*K66*L66</f>
        <v>125000</v>
      </c>
      <c r="N66" s="591">
        <f>I66+M66</f>
        <v>125000</v>
      </c>
      <c r="O66" s="536">
        <f t="shared" si="6"/>
        <v>0</v>
      </c>
      <c r="P66" s="536">
        <f t="shared" si="7"/>
        <v>96153.84615384616</v>
      </c>
      <c r="Q66" s="536">
        <f t="shared" si="8"/>
        <v>96153.84615384616</v>
      </c>
      <c r="R66" s="525">
        <f>BG66+BK66+BO66+BS66</f>
        <v>0</v>
      </c>
      <c r="S66" s="525">
        <f>M66-R66</f>
        <v>125000</v>
      </c>
      <c r="T66" s="475">
        <f>R66/M66</f>
        <v>0</v>
      </c>
      <c r="U66" s="476"/>
      <c r="V66" s="476"/>
      <c r="W66" s="476"/>
      <c r="X66" s="476"/>
      <c r="Y66" s="476"/>
      <c r="Z66" s="476"/>
      <c r="AA66" s="476"/>
      <c r="AB66" s="476"/>
      <c r="AC66" s="476"/>
      <c r="AD66" s="476"/>
      <c r="AE66" s="476"/>
      <c r="AF66" s="476"/>
      <c r="AG66" s="535">
        <f>AO66+AS66+AW66+BA66+BG66+BK66+BO66+BS66</f>
        <v>0</v>
      </c>
      <c r="AH66" s="535">
        <f t="shared" si="20"/>
        <v>125000</v>
      </c>
      <c r="AI66" s="477">
        <f t="shared" si="9"/>
        <v>0</v>
      </c>
      <c r="AJ66" s="461"/>
      <c r="AK66" s="511">
        <v>0</v>
      </c>
      <c r="AL66" s="511">
        <v>0</v>
      </c>
      <c r="AM66" s="511">
        <v>0</v>
      </c>
      <c r="AN66" s="511">
        <v>0</v>
      </c>
      <c r="AO66" s="512">
        <f t="shared" si="10"/>
        <v>0</v>
      </c>
      <c r="AP66" s="511">
        <v>0</v>
      </c>
      <c r="AQ66" s="511">
        <v>0</v>
      </c>
      <c r="AR66" s="511">
        <v>0</v>
      </c>
      <c r="AS66" s="512">
        <f t="shared" si="11"/>
        <v>0</v>
      </c>
      <c r="AT66" s="511">
        <v>0</v>
      </c>
      <c r="AU66" s="511">
        <v>0</v>
      </c>
      <c r="AV66" s="511">
        <v>0</v>
      </c>
      <c r="AW66" s="512">
        <f t="shared" si="12"/>
        <v>0</v>
      </c>
      <c r="AX66" s="511">
        <v>0</v>
      </c>
      <c r="AY66" s="511">
        <v>0</v>
      </c>
      <c r="AZ66" s="511">
        <v>0</v>
      </c>
      <c r="BA66" s="512">
        <f t="shared" si="13"/>
        <v>0</v>
      </c>
      <c r="BB66" s="513"/>
      <c r="BC66" s="511">
        <v>0</v>
      </c>
      <c r="BD66" s="511">
        <v>0</v>
      </c>
      <c r="BE66" s="511">
        <v>0</v>
      </c>
      <c r="BF66" s="511">
        <v>0</v>
      </c>
      <c r="BG66" s="512">
        <f>SUM(BC66:BF66)</f>
        <v>0</v>
      </c>
      <c r="BH66" s="511">
        <v>0</v>
      </c>
      <c r="BI66" s="511">
        <v>0</v>
      </c>
      <c r="BJ66" s="511">
        <v>0</v>
      </c>
      <c r="BK66" s="512">
        <f>SUM(BH66:BJ66)</f>
        <v>0</v>
      </c>
      <c r="BL66" s="511">
        <v>0</v>
      </c>
      <c r="BM66" s="511">
        <v>0</v>
      </c>
      <c r="BN66" s="511">
        <v>0</v>
      </c>
      <c r="BO66" s="512">
        <f>SUM(BL66:BN66)</f>
        <v>0</v>
      </c>
      <c r="BP66" s="511">
        <v>0</v>
      </c>
      <c r="BQ66" s="511">
        <v>0</v>
      </c>
      <c r="BR66" s="511">
        <v>0</v>
      </c>
      <c r="BS66" s="512">
        <f>SUM(BP66:BR66)</f>
        <v>0</v>
      </c>
      <c r="BT66" s="513"/>
      <c r="BU66" s="748">
        <v>125000</v>
      </c>
      <c r="BV66" s="752">
        <v>30000</v>
      </c>
      <c r="BW66" s="752">
        <v>50000</v>
      </c>
      <c r="BX66" s="752">
        <v>20000</v>
      </c>
      <c r="BY66" s="752">
        <v>5000</v>
      </c>
      <c r="BZ66" s="752">
        <v>0</v>
      </c>
      <c r="CA66" s="753">
        <f t="shared" si="14"/>
        <v>105000</v>
      </c>
      <c r="CB66" s="754">
        <f t="shared" si="15"/>
        <v>0.84</v>
      </c>
    </row>
    <row r="67" spans="1:80" s="459" customFormat="1" ht="30" customHeight="1">
      <c r="A67" s="570" t="s">
        <v>518</v>
      </c>
      <c r="B67" s="809"/>
      <c r="C67" s="571" t="s">
        <v>519</v>
      </c>
      <c r="D67" s="564" t="s">
        <v>471</v>
      </c>
      <c r="E67" s="466" t="s">
        <v>44</v>
      </c>
      <c r="F67" s="579">
        <v>0</v>
      </c>
      <c r="G67" s="580">
        <v>0</v>
      </c>
      <c r="H67" s="579">
        <v>0</v>
      </c>
      <c r="I67" s="581">
        <f>F67*G67*H67</f>
        <v>0</v>
      </c>
      <c r="J67" s="582">
        <v>1</v>
      </c>
      <c r="K67" s="582">
        <v>125000</v>
      </c>
      <c r="L67" s="582">
        <v>1</v>
      </c>
      <c r="M67" s="581">
        <f>J67*K67*L67</f>
        <v>125000</v>
      </c>
      <c r="N67" s="581">
        <f>I67+M67</f>
        <v>125000</v>
      </c>
      <c r="O67" s="536">
        <f t="shared" si="6"/>
        <v>0</v>
      </c>
      <c r="P67" s="536">
        <f t="shared" si="7"/>
        <v>96153.84615384616</v>
      </c>
      <c r="Q67" s="536">
        <f t="shared" si="8"/>
        <v>96153.84615384616</v>
      </c>
      <c r="R67" s="525">
        <f>BG67+BK67+BO67+BS67</f>
        <v>0</v>
      </c>
      <c r="S67" s="525">
        <f>M67-R67</f>
        <v>125000</v>
      </c>
      <c r="T67" s="475">
        <f>R67/M67</f>
        <v>0</v>
      </c>
      <c r="U67" s="476"/>
      <c r="V67" s="476"/>
      <c r="W67" s="476"/>
      <c r="X67" s="476"/>
      <c r="Y67" s="476"/>
      <c r="Z67" s="476"/>
      <c r="AA67" s="476"/>
      <c r="AB67" s="476"/>
      <c r="AC67" s="476"/>
      <c r="AD67" s="476"/>
      <c r="AE67" s="476"/>
      <c r="AF67" s="476"/>
      <c r="AG67" s="535">
        <f>AO67+AS67+AW67+BA67+BG67+BK67+BO67+BS67</f>
        <v>0</v>
      </c>
      <c r="AH67" s="535">
        <f t="shared" si="20"/>
        <v>125000</v>
      </c>
      <c r="AI67" s="477">
        <f t="shared" si="9"/>
        <v>0</v>
      </c>
      <c r="AJ67" s="461"/>
      <c r="AK67" s="511">
        <v>0</v>
      </c>
      <c r="AL67" s="511">
        <v>0</v>
      </c>
      <c r="AM67" s="511">
        <v>0</v>
      </c>
      <c r="AN67" s="511">
        <v>0</v>
      </c>
      <c r="AO67" s="512">
        <f t="shared" si="10"/>
        <v>0</v>
      </c>
      <c r="AP67" s="511">
        <v>0</v>
      </c>
      <c r="AQ67" s="511">
        <v>0</v>
      </c>
      <c r="AR67" s="511">
        <v>0</v>
      </c>
      <c r="AS67" s="512">
        <f t="shared" si="11"/>
        <v>0</v>
      </c>
      <c r="AT67" s="511">
        <v>0</v>
      </c>
      <c r="AU67" s="511">
        <v>0</v>
      </c>
      <c r="AV67" s="511">
        <v>0</v>
      </c>
      <c r="AW67" s="512">
        <f t="shared" si="12"/>
        <v>0</v>
      </c>
      <c r="AX67" s="511">
        <v>0</v>
      </c>
      <c r="AY67" s="511">
        <v>0</v>
      </c>
      <c r="AZ67" s="511">
        <v>0</v>
      </c>
      <c r="BA67" s="512">
        <f t="shared" si="13"/>
        <v>0</v>
      </c>
      <c r="BB67" s="513"/>
      <c r="BC67" s="511">
        <v>0</v>
      </c>
      <c r="BD67" s="511">
        <v>0</v>
      </c>
      <c r="BE67" s="511">
        <v>0</v>
      </c>
      <c r="BF67" s="511">
        <v>0</v>
      </c>
      <c r="BG67" s="512">
        <f>SUM(BC67:BF67)</f>
        <v>0</v>
      </c>
      <c r="BH67" s="511">
        <v>0</v>
      </c>
      <c r="BI67" s="511">
        <v>0</v>
      </c>
      <c r="BJ67" s="511">
        <v>0</v>
      </c>
      <c r="BK67" s="512">
        <f>SUM(BH67:BJ67)</f>
        <v>0</v>
      </c>
      <c r="BL67" s="511">
        <v>0</v>
      </c>
      <c r="BM67" s="511">
        <v>0</v>
      </c>
      <c r="BN67" s="511">
        <v>0</v>
      </c>
      <c r="BO67" s="512">
        <f>SUM(BL67:BN67)</f>
        <v>0</v>
      </c>
      <c r="BP67" s="511">
        <v>0</v>
      </c>
      <c r="BQ67" s="511">
        <v>0</v>
      </c>
      <c r="BR67" s="511">
        <v>0</v>
      </c>
      <c r="BS67" s="512">
        <f>SUM(BP67:BR67)</f>
        <v>0</v>
      </c>
      <c r="BT67" s="513"/>
      <c r="BU67" s="748">
        <v>125000</v>
      </c>
      <c r="BV67" s="752">
        <v>20000</v>
      </c>
      <c r="BW67" s="752">
        <v>30000</v>
      </c>
      <c r="BX67" s="752">
        <v>30000</v>
      </c>
      <c r="BY67" s="752">
        <v>20000</v>
      </c>
      <c r="BZ67" s="752">
        <v>0</v>
      </c>
      <c r="CA67" s="753">
        <f t="shared" si="14"/>
        <v>100000</v>
      </c>
      <c r="CB67" s="754">
        <f t="shared" si="15"/>
        <v>0.8</v>
      </c>
    </row>
    <row r="68" spans="1:80" s="459" customFormat="1" ht="15.75">
      <c r="A68" s="613"/>
      <c r="B68" s="614"/>
      <c r="C68" s="595" t="s">
        <v>0</v>
      </c>
      <c r="D68" s="596" t="s">
        <v>0</v>
      </c>
      <c r="E68" s="615"/>
      <c r="F68" s="614"/>
      <c r="G68" s="614"/>
      <c r="H68" s="614"/>
      <c r="I68" s="646">
        <f>I66+I67</f>
        <v>0</v>
      </c>
      <c r="J68" s="614"/>
      <c r="K68" s="614"/>
      <c r="L68" s="614"/>
      <c r="M68" s="646">
        <f>M66+M67</f>
        <v>250000</v>
      </c>
      <c r="N68" s="646">
        <f>N66+N67</f>
        <v>250000</v>
      </c>
      <c r="O68" s="646">
        <f aca="true" t="shared" si="50" ref="O68:BA68">O66+O67</f>
        <v>0</v>
      </c>
      <c r="P68" s="646">
        <f t="shared" si="50"/>
        <v>192307.6923076923</v>
      </c>
      <c r="Q68" s="646">
        <f t="shared" si="50"/>
        <v>192307.6923076923</v>
      </c>
      <c r="R68" s="646">
        <f t="shared" si="50"/>
        <v>0</v>
      </c>
      <c r="S68" s="646">
        <f t="shared" si="50"/>
        <v>250000</v>
      </c>
      <c r="T68" s="730" t="e">
        <f>R68/I68</f>
        <v>#DIV/0!</v>
      </c>
      <c r="U68" s="646">
        <f t="shared" si="50"/>
        <v>0</v>
      </c>
      <c r="V68" s="646">
        <f t="shared" si="50"/>
        <v>0</v>
      </c>
      <c r="W68" s="646">
        <f t="shared" si="50"/>
        <v>0</v>
      </c>
      <c r="X68" s="646">
        <f t="shared" si="50"/>
        <v>0</v>
      </c>
      <c r="Y68" s="646">
        <f t="shared" si="50"/>
        <v>0</v>
      </c>
      <c r="Z68" s="646">
        <f t="shared" si="50"/>
        <v>0</v>
      </c>
      <c r="AA68" s="646">
        <f t="shared" si="50"/>
        <v>0</v>
      </c>
      <c r="AB68" s="646">
        <f t="shared" si="50"/>
        <v>0</v>
      </c>
      <c r="AC68" s="646">
        <f t="shared" si="50"/>
        <v>0</v>
      </c>
      <c r="AD68" s="646">
        <f t="shared" si="50"/>
        <v>0</v>
      </c>
      <c r="AE68" s="646">
        <f t="shared" si="50"/>
        <v>0</v>
      </c>
      <c r="AF68" s="646">
        <f t="shared" si="50"/>
        <v>0</v>
      </c>
      <c r="AG68" s="646">
        <f t="shared" si="50"/>
        <v>0</v>
      </c>
      <c r="AH68" s="646">
        <f t="shared" si="50"/>
        <v>250000</v>
      </c>
      <c r="AI68" s="730">
        <f t="shared" si="9"/>
        <v>0</v>
      </c>
      <c r="AJ68" s="646">
        <f t="shared" si="50"/>
        <v>0</v>
      </c>
      <c r="AK68" s="646">
        <f>AK66+AK67</f>
        <v>0</v>
      </c>
      <c r="AL68" s="646">
        <f t="shared" si="50"/>
        <v>0</v>
      </c>
      <c r="AM68" s="646">
        <f t="shared" si="50"/>
        <v>0</v>
      </c>
      <c r="AN68" s="646">
        <f t="shared" si="50"/>
        <v>0</v>
      </c>
      <c r="AO68" s="646">
        <f t="shared" si="50"/>
        <v>0</v>
      </c>
      <c r="AP68" s="646">
        <f t="shared" si="50"/>
        <v>0</v>
      </c>
      <c r="AQ68" s="646">
        <f t="shared" si="50"/>
        <v>0</v>
      </c>
      <c r="AR68" s="646">
        <f t="shared" si="50"/>
        <v>0</v>
      </c>
      <c r="AS68" s="646">
        <f t="shared" si="50"/>
        <v>0</v>
      </c>
      <c r="AT68" s="646">
        <f t="shared" si="50"/>
        <v>0</v>
      </c>
      <c r="AU68" s="646">
        <f t="shared" si="50"/>
        <v>0</v>
      </c>
      <c r="AV68" s="646">
        <f t="shared" si="50"/>
        <v>0</v>
      </c>
      <c r="AW68" s="646">
        <f t="shared" si="50"/>
        <v>0</v>
      </c>
      <c r="AX68" s="646">
        <f t="shared" si="50"/>
        <v>0</v>
      </c>
      <c r="AY68" s="646">
        <f t="shared" si="50"/>
        <v>0</v>
      </c>
      <c r="AZ68" s="646">
        <f t="shared" si="50"/>
        <v>0</v>
      </c>
      <c r="BA68" s="646">
        <f t="shared" si="50"/>
        <v>0</v>
      </c>
      <c r="BB68" s="513"/>
      <c r="BC68" s="646">
        <f>BC66+BC67</f>
        <v>0</v>
      </c>
      <c r="BD68" s="646">
        <f aca="true" t="shared" si="51" ref="BD68:BS68">BD66+BD67</f>
        <v>0</v>
      </c>
      <c r="BE68" s="646">
        <f t="shared" si="51"/>
        <v>0</v>
      </c>
      <c r="BF68" s="646">
        <f t="shared" si="51"/>
        <v>0</v>
      </c>
      <c r="BG68" s="646">
        <f t="shared" si="51"/>
        <v>0</v>
      </c>
      <c r="BH68" s="646">
        <f t="shared" si="51"/>
        <v>0</v>
      </c>
      <c r="BI68" s="646">
        <f t="shared" si="51"/>
        <v>0</v>
      </c>
      <c r="BJ68" s="646">
        <f t="shared" si="51"/>
        <v>0</v>
      </c>
      <c r="BK68" s="646">
        <f t="shared" si="51"/>
        <v>0</v>
      </c>
      <c r="BL68" s="646">
        <f t="shared" si="51"/>
        <v>0</v>
      </c>
      <c r="BM68" s="646">
        <f t="shared" si="51"/>
        <v>0</v>
      </c>
      <c r="BN68" s="646">
        <f t="shared" si="51"/>
        <v>0</v>
      </c>
      <c r="BO68" s="646">
        <f t="shared" si="51"/>
        <v>0</v>
      </c>
      <c r="BP68" s="646">
        <f t="shared" si="51"/>
        <v>0</v>
      </c>
      <c r="BQ68" s="646">
        <f t="shared" si="51"/>
        <v>0</v>
      </c>
      <c r="BR68" s="646">
        <f t="shared" si="51"/>
        <v>0</v>
      </c>
      <c r="BS68" s="646">
        <f t="shared" si="51"/>
        <v>0</v>
      </c>
      <c r="BT68" s="513"/>
      <c r="BU68" s="782">
        <f>BU66+BU67</f>
        <v>250000</v>
      </c>
      <c r="BV68" s="738">
        <f>SUM(BV66:BV67)</f>
        <v>50000</v>
      </c>
      <c r="BW68" s="738">
        <f>SUM(BW66:BW67)</f>
        <v>80000</v>
      </c>
      <c r="BX68" s="738">
        <f>SUM(BX66:BX67)</f>
        <v>50000</v>
      </c>
      <c r="BY68" s="738">
        <f>SUM(BY66:BY67)</f>
        <v>25000</v>
      </c>
      <c r="BZ68" s="738">
        <f>SUM(BZ66:BZ67)</f>
        <v>0</v>
      </c>
      <c r="CA68" s="755">
        <f t="shared" si="14"/>
        <v>205000</v>
      </c>
      <c r="CB68" s="756">
        <f t="shared" si="15"/>
        <v>0.82</v>
      </c>
    </row>
    <row r="69" spans="1:80" s="459" customFormat="1" ht="18" customHeight="1">
      <c r="A69" s="647"/>
      <c r="B69" s="648"/>
      <c r="C69" s="624" t="s">
        <v>520</v>
      </c>
      <c r="D69" s="649"/>
      <c r="E69" s="650"/>
      <c r="F69" s="648"/>
      <c r="G69" s="648"/>
      <c r="H69" s="648"/>
      <c r="I69" s="651">
        <f>I68+I65+I59</f>
        <v>146850</v>
      </c>
      <c r="J69" s="648"/>
      <c r="K69" s="648"/>
      <c r="L69" s="648"/>
      <c r="M69" s="651">
        <f>M68+M65+M59</f>
        <v>329440</v>
      </c>
      <c r="N69" s="651">
        <f>N68+N65+N59</f>
        <v>476290</v>
      </c>
      <c r="O69" s="651">
        <f aca="true" t="shared" si="52" ref="O69:BA69">O68+O65+O59</f>
        <v>112961.53846153847</v>
      </c>
      <c r="P69" s="651">
        <f t="shared" si="52"/>
        <v>253415.38461538462</v>
      </c>
      <c r="Q69" s="651">
        <f t="shared" si="52"/>
        <v>366376.92307692306</v>
      </c>
      <c r="R69" s="651">
        <f t="shared" si="52"/>
        <v>115148.31999999999</v>
      </c>
      <c r="S69" s="651">
        <f t="shared" si="52"/>
        <v>214291.68000000005</v>
      </c>
      <c r="T69" s="731">
        <f>R69/I69</f>
        <v>0.7841220292815798</v>
      </c>
      <c r="U69" s="651">
        <f t="shared" si="52"/>
        <v>0</v>
      </c>
      <c r="V69" s="651">
        <f t="shared" si="52"/>
        <v>0</v>
      </c>
      <c r="W69" s="651">
        <f t="shared" si="52"/>
        <v>0</v>
      </c>
      <c r="X69" s="651">
        <f t="shared" si="52"/>
        <v>0</v>
      </c>
      <c r="Y69" s="651">
        <f t="shared" si="52"/>
        <v>0</v>
      </c>
      <c r="Z69" s="651">
        <f t="shared" si="52"/>
        <v>0</v>
      </c>
      <c r="AA69" s="651">
        <f t="shared" si="52"/>
        <v>0</v>
      </c>
      <c r="AB69" s="651">
        <f t="shared" si="52"/>
        <v>0</v>
      </c>
      <c r="AC69" s="651">
        <f t="shared" si="52"/>
        <v>0</v>
      </c>
      <c r="AD69" s="651">
        <f t="shared" si="52"/>
        <v>0</v>
      </c>
      <c r="AE69" s="651">
        <f t="shared" si="52"/>
        <v>0</v>
      </c>
      <c r="AF69" s="651">
        <f t="shared" si="52"/>
        <v>0</v>
      </c>
      <c r="AG69" s="651">
        <f t="shared" si="52"/>
        <v>175543.81</v>
      </c>
      <c r="AH69" s="651">
        <f t="shared" si="52"/>
        <v>300746.19</v>
      </c>
      <c r="AI69" s="731">
        <f t="shared" si="9"/>
        <v>0.3685649709210775</v>
      </c>
      <c r="AJ69" s="651">
        <f t="shared" si="52"/>
        <v>0</v>
      </c>
      <c r="AK69" s="651">
        <f>AK68+AK65+AK59</f>
        <v>0</v>
      </c>
      <c r="AL69" s="651">
        <f t="shared" si="52"/>
        <v>0</v>
      </c>
      <c r="AM69" s="651">
        <f t="shared" si="52"/>
        <v>0</v>
      </c>
      <c r="AN69" s="651">
        <f t="shared" si="52"/>
        <v>0</v>
      </c>
      <c r="AO69" s="651">
        <f t="shared" si="52"/>
        <v>0</v>
      </c>
      <c r="AP69" s="651">
        <f t="shared" si="52"/>
        <v>0</v>
      </c>
      <c r="AQ69" s="651">
        <f t="shared" si="52"/>
        <v>0</v>
      </c>
      <c r="AR69" s="651">
        <f t="shared" si="52"/>
        <v>0</v>
      </c>
      <c r="AS69" s="651">
        <f t="shared" si="52"/>
        <v>0</v>
      </c>
      <c r="AT69" s="651">
        <f t="shared" si="52"/>
        <v>0</v>
      </c>
      <c r="AU69" s="651">
        <f t="shared" si="52"/>
        <v>15345.16</v>
      </c>
      <c r="AV69" s="651">
        <f t="shared" si="52"/>
        <v>0</v>
      </c>
      <c r="AW69" s="651">
        <f t="shared" si="52"/>
        <v>15345.16</v>
      </c>
      <c r="AX69" s="651">
        <f t="shared" si="52"/>
        <v>213.5</v>
      </c>
      <c r="AY69" s="651">
        <f t="shared" si="52"/>
        <v>2715.98</v>
      </c>
      <c r="AZ69" s="651">
        <f t="shared" si="52"/>
        <v>42120.85</v>
      </c>
      <c r="BA69" s="651">
        <f t="shared" si="52"/>
        <v>45050.33</v>
      </c>
      <c r="BB69" s="513"/>
      <c r="BC69" s="651">
        <f>BC68+BC65+BC59</f>
        <v>0</v>
      </c>
      <c r="BD69" s="651">
        <f aca="true" t="shared" si="53" ref="BD69:BS69">BD68+BD65+BD59</f>
        <v>2393.15</v>
      </c>
      <c r="BE69" s="651">
        <f t="shared" si="53"/>
        <v>4128</v>
      </c>
      <c r="BF69" s="651">
        <f t="shared" si="53"/>
        <v>0</v>
      </c>
      <c r="BG69" s="651">
        <f t="shared" si="53"/>
        <v>6521.15</v>
      </c>
      <c r="BH69" s="651">
        <f t="shared" si="53"/>
        <v>40314.079999999994</v>
      </c>
      <c r="BI69" s="651">
        <f t="shared" si="53"/>
        <v>0</v>
      </c>
      <c r="BJ69" s="651">
        <f t="shared" si="53"/>
        <v>506.01</v>
      </c>
      <c r="BK69" s="651">
        <f t="shared" si="53"/>
        <v>40820.09</v>
      </c>
      <c r="BL69" s="651">
        <f t="shared" si="53"/>
        <v>43196.35999999999</v>
      </c>
      <c r="BM69" s="651">
        <f t="shared" si="53"/>
        <v>522.99</v>
      </c>
      <c r="BN69" s="651">
        <f t="shared" si="53"/>
        <v>7.5</v>
      </c>
      <c r="BO69" s="651">
        <f t="shared" si="53"/>
        <v>43726.84999999999</v>
      </c>
      <c r="BP69" s="651">
        <f t="shared" si="53"/>
        <v>24080.23</v>
      </c>
      <c r="BQ69" s="651">
        <f t="shared" si="53"/>
        <v>0</v>
      </c>
      <c r="BR69" s="651">
        <f t="shared" si="53"/>
        <v>0</v>
      </c>
      <c r="BS69" s="651">
        <f t="shared" si="53"/>
        <v>24080.23</v>
      </c>
      <c r="BT69" s="513"/>
      <c r="BU69" s="782">
        <f aca="true" t="shared" si="54" ref="BU69:BZ69">BU68+BU65+BU59</f>
        <v>300745</v>
      </c>
      <c r="BV69" s="651">
        <f t="shared" si="54"/>
        <v>119248</v>
      </c>
      <c r="BW69" s="651">
        <f t="shared" si="54"/>
        <v>82100</v>
      </c>
      <c r="BX69" s="651">
        <f t="shared" si="54"/>
        <v>54200</v>
      </c>
      <c r="BY69" s="651">
        <f t="shared" si="54"/>
        <v>27100</v>
      </c>
      <c r="BZ69" s="651">
        <f t="shared" si="54"/>
        <v>2100</v>
      </c>
      <c r="CA69" s="757">
        <f t="shared" si="14"/>
        <v>284748</v>
      </c>
      <c r="CB69" s="758">
        <f t="shared" si="15"/>
        <v>0.9468087582503449</v>
      </c>
    </row>
    <row r="70" spans="1:80" s="460" customFormat="1" ht="15.75">
      <c r="A70" s="630"/>
      <c r="B70" s="631"/>
      <c r="C70" s="652" t="s">
        <v>521</v>
      </c>
      <c r="D70" s="653"/>
      <c r="E70" s="654"/>
      <c r="F70" s="655"/>
      <c r="G70" s="655"/>
      <c r="H70" s="655"/>
      <c r="I70" s="655"/>
      <c r="J70" s="655"/>
      <c r="K70" s="655"/>
      <c r="L70" s="655"/>
      <c r="M70" s="655"/>
      <c r="N70" s="655"/>
      <c r="O70" s="655"/>
      <c r="P70" s="655"/>
      <c r="Q70" s="655"/>
      <c r="R70" s="655"/>
      <c r="S70" s="655"/>
      <c r="T70" s="732"/>
      <c r="U70" s="655"/>
      <c r="V70" s="655"/>
      <c r="W70" s="655"/>
      <c r="X70" s="655"/>
      <c r="Y70" s="655"/>
      <c r="Z70" s="655"/>
      <c r="AA70" s="655"/>
      <c r="AB70" s="655"/>
      <c r="AC70" s="655"/>
      <c r="AD70" s="655"/>
      <c r="AE70" s="655"/>
      <c r="AF70" s="655"/>
      <c r="AG70" s="655"/>
      <c r="AH70" s="655"/>
      <c r="AI70" s="732"/>
      <c r="AJ70" s="655"/>
      <c r="AK70" s="655"/>
      <c r="AL70" s="655"/>
      <c r="AM70" s="655"/>
      <c r="AN70" s="655"/>
      <c r="AO70" s="655"/>
      <c r="AP70" s="655"/>
      <c r="AQ70" s="655"/>
      <c r="AR70" s="655"/>
      <c r="AS70" s="655"/>
      <c r="AT70" s="655"/>
      <c r="AU70" s="655"/>
      <c r="AV70" s="655"/>
      <c r="AW70" s="655"/>
      <c r="AX70" s="655"/>
      <c r="AY70" s="655"/>
      <c r="AZ70" s="655"/>
      <c r="BA70" s="655"/>
      <c r="BB70" s="513"/>
      <c r="BC70" s="655"/>
      <c r="BD70" s="655"/>
      <c r="BE70" s="655"/>
      <c r="BF70" s="655"/>
      <c r="BG70" s="655"/>
      <c r="BH70" s="655"/>
      <c r="BI70" s="655"/>
      <c r="BJ70" s="655"/>
      <c r="BK70" s="655"/>
      <c r="BL70" s="655"/>
      <c r="BM70" s="655"/>
      <c r="BN70" s="655"/>
      <c r="BO70" s="655"/>
      <c r="BP70" s="655"/>
      <c r="BQ70" s="655"/>
      <c r="BR70" s="655"/>
      <c r="BS70" s="655"/>
      <c r="BT70" s="513"/>
      <c r="BU70" s="748"/>
      <c r="BV70" s="740"/>
      <c r="BW70" s="740"/>
      <c r="BX70" s="740"/>
      <c r="BY70" s="740"/>
      <c r="BZ70" s="740"/>
      <c r="CA70" s="740"/>
      <c r="CB70" s="740"/>
    </row>
    <row r="71" spans="1:80" s="460" customFormat="1" ht="15" customHeight="1">
      <c r="A71" s="570" t="s">
        <v>522</v>
      </c>
      <c r="B71" s="804" t="s">
        <v>523</v>
      </c>
      <c r="C71" s="571" t="s">
        <v>524</v>
      </c>
      <c r="D71" s="637" t="s">
        <v>471</v>
      </c>
      <c r="E71" s="469" t="s">
        <v>44</v>
      </c>
      <c r="F71" s="579">
        <v>1</v>
      </c>
      <c r="G71" s="579">
        <v>3765</v>
      </c>
      <c r="H71" s="579">
        <v>1</v>
      </c>
      <c r="I71" s="581">
        <f aca="true" t="shared" si="55" ref="I71:I77">F71*G71*H71</f>
        <v>3765</v>
      </c>
      <c r="J71" s="582"/>
      <c r="K71" s="582"/>
      <c r="L71" s="582"/>
      <c r="M71" s="581">
        <f>J71*K71*L71</f>
        <v>0</v>
      </c>
      <c r="N71" s="591">
        <f aca="true" t="shared" si="56" ref="N71:N86">I71+M71</f>
        <v>3765</v>
      </c>
      <c r="O71" s="536">
        <f t="shared" si="6"/>
        <v>2896.153846153846</v>
      </c>
      <c r="P71" s="536">
        <f t="shared" si="7"/>
        <v>0</v>
      </c>
      <c r="Q71" s="536">
        <f t="shared" si="8"/>
        <v>2896.153846153846</v>
      </c>
      <c r="R71" s="525">
        <f aca="true" t="shared" si="57" ref="R71:R86">BG71+BK71+BO71+BS71</f>
        <v>4770.8</v>
      </c>
      <c r="S71" s="525">
        <f aca="true" t="shared" si="58" ref="S71:S86">M71-R71</f>
        <v>-4770.8</v>
      </c>
      <c r="T71" s="475" t="e">
        <f aca="true" t="shared" si="59" ref="T71:T86">R71/M71</f>
        <v>#DIV/0!</v>
      </c>
      <c r="U71" s="476"/>
      <c r="V71" s="476"/>
      <c r="W71" s="476"/>
      <c r="X71" s="476"/>
      <c r="Y71" s="476"/>
      <c r="Z71" s="476"/>
      <c r="AA71" s="476"/>
      <c r="AB71" s="476"/>
      <c r="AC71" s="476"/>
      <c r="AD71" s="476"/>
      <c r="AE71" s="476"/>
      <c r="AF71" s="476"/>
      <c r="AG71" s="535">
        <f aca="true" t="shared" si="60" ref="AG71:AG86">AO71+AS71+AW71+BA71+BG71+BK71+BO71+BS71</f>
        <v>4770.8</v>
      </c>
      <c r="AH71" s="535">
        <f t="shared" si="20"/>
        <v>-1005.8000000000002</v>
      </c>
      <c r="AI71" s="477">
        <f t="shared" si="9"/>
        <v>1.2671447543160692</v>
      </c>
      <c r="AJ71" s="461"/>
      <c r="AK71" s="511">
        <v>0</v>
      </c>
      <c r="AL71" s="511">
        <v>0</v>
      </c>
      <c r="AM71" s="511">
        <v>0</v>
      </c>
      <c r="AN71" s="511">
        <v>0</v>
      </c>
      <c r="AO71" s="512">
        <f t="shared" si="10"/>
        <v>0</v>
      </c>
      <c r="AP71" s="511">
        <v>0</v>
      </c>
      <c r="AQ71" s="511">
        <v>0</v>
      </c>
      <c r="AR71" s="511">
        <v>0</v>
      </c>
      <c r="AS71" s="512">
        <f t="shared" si="11"/>
        <v>0</v>
      </c>
      <c r="AT71" s="511">
        <v>0</v>
      </c>
      <c r="AU71" s="511">
        <v>0</v>
      </c>
      <c r="AV71" s="511">
        <v>0</v>
      </c>
      <c r="AW71" s="512">
        <f t="shared" si="12"/>
        <v>0</v>
      </c>
      <c r="AX71" s="511">
        <v>0</v>
      </c>
      <c r="AY71" s="511">
        <v>0</v>
      </c>
      <c r="AZ71" s="511">
        <v>0</v>
      </c>
      <c r="BA71" s="512">
        <f t="shared" si="13"/>
        <v>0</v>
      </c>
      <c r="BB71" s="513"/>
      <c r="BC71" s="511">
        <v>0</v>
      </c>
      <c r="BD71" s="511">
        <v>0</v>
      </c>
      <c r="BE71" s="511">
        <v>0</v>
      </c>
      <c r="BF71" s="511">
        <v>0</v>
      </c>
      <c r="BG71" s="512">
        <f aca="true" t="shared" si="61" ref="BG71:BG86">SUM(BC71:BF71)</f>
        <v>0</v>
      </c>
      <c r="BH71" s="511">
        <v>3780.11</v>
      </c>
      <c r="BI71" s="511">
        <v>0</v>
      </c>
      <c r="BJ71" s="511">
        <v>0</v>
      </c>
      <c r="BK71" s="512">
        <f aca="true" t="shared" si="62" ref="BK71:BK86">SUM(BH71:BJ71)</f>
        <v>3780.11</v>
      </c>
      <c r="BL71" s="511">
        <v>0</v>
      </c>
      <c r="BM71" s="511">
        <v>990.69</v>
      </c>
      <c r="BN71" s="511">
        <v>0</v>
      </c>
      <c r="BO71" s="512">
        <f aca="true" t="shared" si="63" ref="BO71:BO86">SUM(BL71:BN71)</f>
        <v>990.69</v>
      </c>
      <c r="BP71" s="511">
        <v>0</v>
      </c>
      <c r="BQ71" s="511">
        <v>0</v>
      </c>
      <c r="BR71" s="511">
        <v>0</v>
      </c>
      <c r="BS71" s="512">
        <f aca="true" t="shared" si="64" ref="BS71:BS86">SUM(BP71:BR71)</f>
        <v>0</v>
      </c>
      <c r="BT71" s="513"/>
      <c r="BU71" s="748">
        <f>0-1005</f>
        <v>-1005</v>
      </c>
      <c r="BV71" s="752">
        <v>0</v>
      </c>
      <c r="BW71" s="752">
        <v>0</v>
      </c>
      <c r="BX71" s="752">
        <v>0</v>
      </c>
      <c r="BY71" s="752">
        <v>0</v>
      </c>
      <c r="BZ71" s="752">
        <v>0</v>
      </c>
      <c r="CA71" s="753">
        <f t="shared" si="14"/>
        <v>0</v>
      </c>
      <c r="CB71" s="754">
        <f t="shared" si="15"/>
        <v>0</v>
      </c>
    </row>
    <row r="72" spans="1:80" s="460" customFormat="1" ht="15.75">
      <c r="A72" s="484" t="s">
        <v>69</v>
      </c>
      <c r="B72" s="805"/>
      <c r="C72" s="577" t="s">
        <v>525</v>
      </c>
      <c r="D72" s="637" t="s">
        <v>471</v>
      </c>
      <c r="E72" s="469" t="s">
        <v>44</v>
      </c>
      <c r="F72" s="579">
        <v>12</v>
      </c>
      <c r="G72" s="579">
        <v>15</v>
      </c>
      <c r="H72" s="579">
        <v>1</v>
      </c>
      <c r="I72" s="581">
        <f t="shared" si="55"/>
        <v>180</v>
      </c>
      <c r="J72" s="582">
        <v>25</v>
      </c>
      <c r="K72" s="582">
        <v>15</v>
      </c>
      <c r="L72" s="582">
        <v>4</v>
      </c>
      <c r="M72" s="581">
        <f aca="true" t="shared" si="65" ref="M72:M86">J72*K72*L72</f>
        <v>1500</v>
      </c>
      <c r="N72" s="591">
        <f t="shared" si="56"/>
        <v>1680</v>
      </c>
      <c r="O72" s="536">
        <f t="shared" si="6"/>
        <v>138.46153846153845</v>
      </c>
      <c r="P72" s="536">
        <f t="shared" si="7"/>
        <v>1153.8461538461538</v>
      </c>
      <c r="Q72" s="536">
        <f t="shared" si="8"/>
        <v>1292.3076923076924</v>
      </c>
      <c r="R72" s="525">
        <f t="shared" si="57"/>
        <v>0</v>
      </c>
      <c r="S72" s="525">
        <f t="shared" si="58"/>
        <v>1500</v>
      </c>
      <c r="T72" s="475">
        <f t="shared" si="59"/>
        <v>0</v>
      </c>
      <c r="U72" s="476"/>
      <c r="V72" s="476"/>
      <c r="W72" s="476"/>
      <c r="X72" s="476"/>
      <c r="Y72" s="476"/>
      <c r="Z72" s="476"/>
      <c r="AA72" s="476"/>
      <c r="AB72" s="476"/>
      <c r="AC72" s="476"/>
      <c r="AD72" s="476"/>
      <c r="AE72" s="476"/>
      <c r="AF72" s="476"/>
      <c r="AG72" s="535">
        <f t="shared" si="60"/>
        <v>0</v>
      </c>
      <c r="AH72" s="535">
        <f t="shared" si="20"/>
        <v>1680</v>
      </c>
      <c r="AI72" s="477">
        <f t="shared" si="9"/>
        <v>0</v>
      </c>
      <c r="AJ72" s="461"/>
      <c r="AK72" s="511">
        <v>0</v>
      </c>
      <c r="AL72" s="511">
        <v>498.41</v>
      </c>
      <c r="AM72" s="511">
        <v>-498.41</v>
      </c>
      <c r="AN72" s="511">
        <v>0</v>
      </c>
      <c r="AO72" s="512">
        <f t="shared" si="10"/>
        <v>0</v>
      </c>
      <c r="AP72" s="511">
        <v>0</v>
      </c>
      <c r="AQ72" s="511">
        <v>0</v>
      </c>
      <c r="AR72" s="511">
        <v>0</v>
      </c>
      <c r="AS72" s="512">
        <f t="shared" si="11"/>
        <v>0</v>
      </c>
      <c r="AT72" s="511">
        <v>0</v>
      </c>
      <c r="AU72" s="511">
        <v>0</v>
      </c>
      <c r="AV72" s="511">
        <v>0</v>
      </c>
      <c r="AW72" s="512">
        <f t="shared" si="12"/>
        <v>0</v>
      </c>
      <c r="AX72" s="511">
        <v>0</v>
      </c>
      <c r="AY72" s="511">
        <v>0</v>
      </c>
      <c r="AZ72" s="511">
        <v>0</v>
      </c>
      <c r="BA72" s="512">
        <f t="shared" si="13"/>
        <v>0</v>
      </c>
      <c r="BB72" s="513"/>
      <c r="BC72" s="511">
        <v>0</v>
      </c>
      <c r="BD72" s="511">
        <v>0</v>
      </c>
      <c r="BE72" s="511">
        <v>0</v>
      </c>
      <c r="BF72" s="511">
        <v>0</v>
      </c>
      <c r="BG72" s="512">
        <f t="shared" si="61"/>
        <v>0</v>
      </c>
      <c r="BH72" s="511">
        <v>0</v>
      </c>
      <c r="BI72" s="511">
        <v>0</v>
      </c>
      <c r="BJ72" s="511">
        <v>0</v>
      </c>
      <c r="BK72" s="512">
        <f t="shared" si="62"/>
        <v>0</v>
      </c>
      <c r="BL72" s="511">
        <v>0</v>
      </c>
      <c r="BM72" s="511">
        <v>0</v>
      </c>
      <c r="BN72" s="511">
        <v>0</v>
      </c>
      <c r="BO72" s="512">
        <f t="shared" si="63"/>
        <v>0</v>
      </c>
      <c r="BP72" s="511">
        <v>0</v>
      </c>
      <c r="BQ72" s="511">
        <v>0</v>
      </c>
      <c r="BR72" s="511">
        <v>0</v>
      </c>
      <c r="BS72" s="512">
        <f t="shared" si="64"/>
        <v>0</v>
      </c>
      <c r="BT72" s="513"/>
      <c r="BU72" s="748">
        <v>1680</v>
      </c>
      <c r="BV72" s="752">
        <v>0</v>
      </c>
      <c r="BW72" s="752">
        <v>1000</v>
      </c>
      <c r="BX72" s="752">
        <v>0</v>
      </c>
      <c r="BY72" s="752">
        <v>680</v>
      </c>
      <c r="BZ72" s="752">
        <v>0</v>
      </c>
      <c r="CA72" s="753">
        <f t="shared" si="14"/>
        <v>1680</v>
      </c>
      <c r="CB72" s="754">
        <f t="shared" si="15"/>
        <v>1</v>
      </c>
    </row>
    <row r="73" spans="1:80" s="460" customFormat="1" ht="24">
      <c r="A73" s="484" t="s">
        <v>70</v>
      </c>
      <c r="B73" s="805"/>
      <c r="C73" s="578" t="s">
        <v>526</v>
      </c>
      <c r="D73" s="637" t="s">
        <v>471</v>
      </c>
      <c r="E73" s="469" t="s">
        <v>44</v>
      </c>
      <c r="F73" s="579">
        <v>0</v>
      </c>
      <c r="G73" s="579">
        <v>0</v>
      </c>
      <c r="H73" s="579">
        <v>0</v>
      </c>
      <c r="I73" s="581">
        <f t="shared" si="55"/>
        <v>0</v>
      </c>
      <c r="J73" s="582">
        <v>12</v>
      </c>
      <c r="K73" s="582">
        <v>150</v>
      </c>
      <c r="L73" s="582">
        <v>2</v>
      </c>
      <c r="M73" s="581">
        <f t="shared" si="65"/>
        <v>3600</v>
      </c>
      <c r="N73" s="591">
        <f t="shared" si="56"/>
        <v>3600</v>
      </c>
      <c r="O73" s="536">
        <f t="shared" si="6"/>
        <v>0</v>
      </c>
      <c r="P73" s="536">
        <f t="shared" si="7"/>
        <v>2769.230769230769</v>
      </c>
      <c r="Q73" s="536">
        <f t="shared" si="8"/>
        <v>2769.230769230769</v>
      </c>
      <c r="R73" s="525">
        <f t="shared" si="57"/>
        <v>0</v>
      </c>
      <c r="S73" s="525">
        <f t="shared" si="58"/>
        <v>3600</v>
      </c>
      <c r="T73" s="475">
        <f t="shared" si="59"/>
        <v>0</v>
      </c>
      <c r="U73" s="476"/>
      <c r="V73" s="476"/>
      <c r="W73" s="476"/>
      <c r="X73" s="476"/>
      <c r="Y73" s="476"/>
      <c r="Z73" s="476"/>
      <c r="AA73" s="476"/>
      <c r="AB73" s="476"/>
      <c r="AC73" s="476"/>
      <c r="AD73" s="476"/>
      <c r="AE73" s="476"/>
      <c r="AF73" s="476"/>
      <c r="AG73" s="535">
        <f t="shared" si="60"/>
        <v>0</v>
      </c>
      <c r="AH73" s="535">
        <f t="shared" si="20"/>
        <v>3600</v>
      </c>
      <c r="AI73" s="477">
        <f t="shared" si="9"/>
        <v>0</v>
      </c>
      <c r="AJ73" s="461"/>
      <c r="AK73" s="511">
        <v>0</v>
      </c>
      <c r="AL73" s="511">
        <v>0</v>
      </c>
      <c r="AM73" s="511">
        <v>0</v>
      </c>
      <c r="AN73" s="511">
        <v>0</v>
      </c>
      <c r="AO73" s="512">
        <f t="shared" si="10"/>
        <v>0</v>
      </c>
      <c r="AP73" s="511">
        <v>0</v>
      </c>
      <c r="AQ73" s="511">
        <v>0</v>
      </c>
      <c r="AR73" s="511">
        <v>0</v>
      </c>
      <c r="AS73" s="512">
        <f t="shared" si="11"/>
        <v>0</v>
      </c>
      <c r="AT73" s="511">
        <v>0</v>
      </c>
      <c r="AU73" s="511">
        <v>0</v>
      </c>
      <c r="AV73" s="511">
        <v>0</v>
      </c>
      <c r="AW73" s="512">
        <f t="shared" si="12"/>
        <v>0</v>
      </c>
      <c r="AX73" s="511">
        <v>0</v>
      </c>
      <c r="AY73" s="511">
        <v>0</v>
      </c>
      <c r="AZ73" s="511">
        <v>0</v>
      </c>
      <c r="BA73" s="512">
        <f t="shared" si="13"/>
        <v>0</v>
      </c>
      <c r="BB73" s="513"/>
      <c r="BC73" s="511">
        <v>0</v>
      </c>
      <c r="BD73" s="511">
        <v>0</v>
      </c>
      <c r="BE73" s="511">
        <v>0</v>
      </c>
      <c r="BF73" s="511">
        <v>0</v>
      </c>
      <c r="BG73" s="512">
        <f t="shared" si="61"/>
        <v>0</v>
      </c>
      <c r="BH73" s="511">
        <v>0</v>
      </c>
      <c r="BI73" s="511">
        <v>0</v>
      </c>
      <c r="BJ73" s="511">
        <v>0</v>
      </c>
      <c r="BK73" s="512">
        <f t="shared" si="62"/>
        <v>0</v>
      </c>
      <c r="BL73" s="511">
        <v>0</v>
      </c>
      <c r="BM73" s="511">
        <v>0</v>
      </c>
      <c r="BN73" s="511">
        <v>0</v>
      </c>
      <c r="BO73" s="512">
        <f t="shared" si="63"/>
        <v>0</v>
      </c>
      <c r="BP73" s="511">
        <v>0</v>
      </c>
      <c r="BQ73" s="511">
        <v>0</v>
      </c>
      <c r="BR73" s="511">
        <v>0</v>
      </c>
      <c r="BS73" s="512">
        <f t="shared" si="64"/>
        <v>0</v>
      </c>
      <c r="BT73" s="513"/>
      <c r="BU73" s="748">
        <v>3600</v>
      </c>
      <c r="BV73" s="752">
        <v>0</v>
      </c>
      <c r="BW73" s="752">
        <v>1500</v>
      </c>
      <c r="BX73" s="752">
        <v>0</v>
      </c>
      <c r="BY73" s="752">
        <v>2100</v>
      </c>
      <c r="BZ73" s="752">
        <v>0</v>
      </c>
      <c r="CA73" s="753">
        <f t="shared" si="14"/>
        <v>3600</v>
      </c>
      <c r="CB73" s="754">
        <f t="shared" si="15"/>
        <v>1</v>
      </c>
    </row>
    <row r="74" spans="1:80" s="460" customFormat="1" ht="24">
      <c r="A74" s="484" t="s">
        <v>74</v>
      </c>
      <c r="B74" s="805"/>
      <c r="C74" s="577" t="s">
        <v>527</v>
      </c>
      <c r="D74" s="637" t="s">
        <v>471</v>
      </c>
      <c r="E74" s="469" t="s">
        <v>367</v>
      </c>
      <c r="F74" s="579">
        <v>30</v>
      </c>
      <c r="G74" s="579">
        <v>160</v>
      </c>
      <c r="H74" s="579">
        <v>1</v>
      </c>
      <c r="I74" s="581">
        <f t="shared" si="55"/>
        <v>4800</v>
      </c>
      <c r="J74" s="582">
        <v>30</v>
      </c>
      <c r="K74" s="582">
        <v>160</v>
      </c>
      <c r="L74" s="582">
        <v>2</v>
      </c>
      <c r="M74" s="581">
        <f t="shared" si="65"/>
        <v>9600</v>
      </c>
      <c r="N74" s="591">
        <f t="shared" si="56"/>
        <v>14400</v>
      </c>
      <c r="O74" s="536">
        <f t="shared" si="6"/>
        <v>3692.3076923076924</v>
      </c>
      <c r="P74" s="536">
        <f t="shared" si="7"/>
        <v>7384.615384615385</v>
      </c>
      <c r="Q74" s="536">
        <f t="shared" si="8"/>
        <v>11076.923076923078</v>
      </c>
      <c r="R74" s="525">
        <f t="shared" si="57"/>
        <v>0</v>
      </c>
      <c r="S74" s="525">
        <f t="shared" si="58"/>
        <v>9600</v>
      </c>
      <c r="T74" s="475">
        <f t="shared" si="59"/>
        <v>0</v>
      </c>
      <c r="U74" s="476"/>
      <c r="V74" s="476"/>
      <c r="W74" s="476"/>
      <c r="X74" s="476"/>
      <c r="Y74" s="476"/>
      <c r="Z74" s="476"/>
      <c r="AA74" s="476"/>
      <c r="AB74" s="476"/>
      <c r="AC74" s="476"/>
      <c r="AD74" s="476"/>
      <c r="AE74" s="476"/>
      <c r="AF74" s="476"/>
      <c r="AG74" s="535">
        <f t="shared" si="60"/>
        <v>0</v>
      </c>
      <c r="AH74" s="535">
        <f t="shared" si="20"/>
        <v>14400</v>
      </c>
      <c r="AI74" s="477">
        <f t="shared" si="9"/>
        <v>0</v>
      </c>
      <c r="AJ74" s="461"/>
      <c r="AK74" s="511">
        <v>0</v>
      </c>
      <c r="AL74" s="511">
        <v>0</v>
      </c>
      <c r="AM74" s="511">
        <v>0</v>
      </c>
      <c r="AN74" s="511">
        <v>0</v>
      </c>
      <c r="AO74" s="512">
        <f t="shared" si="10"/>
        <v>0</v>
      </c>
      <c r="AP74" s="511">
        <v>0</v>
      </c>
      <c r="AQ74" s="511">
        <v>0</v>
      </c>
      <c r="AR74" s="511">
        <v>0</v>
      </c>
      <c r="AS74" s="512">
        <f t="shared" si="11"/>
        <v>0</v>
      </c>
      <c r="AT74" s="511">
        <v>0</v>
      </c>
      <c r="AU74" s="511">
        <v>0</v>
      </c>
      <c r="AV74" s="511">
        <v>0</v>
      </c>
      <c r="AW74" s="512">
        <f t="shared" si="12"/>
        <v>0</v>
      </c>
      <c r="AX74" s="511">
        <v>0</v>
      </c>
      <c r="AY74" s="511">
        <v>0</v>
      </c>
      <c r="AZ74" s="511">
        <v>0</v>
      </c>
      <c r="BA74" s="512">
        <f t="shared" si="13"/>
        <v>0</v>
      </c>
      <c r="BB74" s="513"/>
      <c r="BC74" s="511">
        <v>0</v>
      </c>
      <c r="BD74" s="511">
        <v>0</v>
      </c>
      <c r="BE74" s="511">
        <v>0</v>
      </c>
      <c r="BF74" s="511">
        <v>0</v>
      </c>
      <c r="BG74" s="512">
        <f t="shared" si="61"/>
        <v>0</v>
      </c>
      <c r="BH74" s="511">
        <v>0</v>
      </c>
      <c r="BI74" s="511">
        <v>0</v>
      </c>
      <c r="BJ74" s="511">
        <v>0</v>
      </c>
      <c r="BK74" s="512">
        <f t="shared" si="62"/>
        <v>0</v>
      </c>
      <c r="BL74" s="511">
        <v>0</v>
      </c>
      <c r="BM74" s="511">
        <v>0</v>
      </c>
      <c r="BN74" s="511">
        <v>0</v>
      </c>
      <c r="BO74" s="512">
        <f t="shared" si="63"/>
        <v>0</v>
      </c>
      <c r="BP74" s="511">
        <v>0</v>
      </c>
      <c r="BQ74" s="511">
        <v>0</v>
      </c>
      <c r="BR74" s="511">
        <v>0</v>
      </c>
      <c r="BS74" s="512">
        <f t="shared" si="64"/>
        <v>0</v>
      </c>
      <c r="BT74" s="513"/>
      <c r="BU74" s="748">
        <v>14400</v>
      </c>
      <c r="BV74" s="752">
        <v>7400</v>
      </c>
      <c r="BW74" s="752">
        <v>7000</v>
      </c>
      <c r="BX74" s="752">
        <v>0</v>
      </c>
      <c r="BY74" s="752">
        <v>0</v>
      </c>
      <c r="BZ74" s="752">
        <v>0</v>
      </c>
      <c r="CA74" s="753">
        <f t="shared" si="14"/>
        <v>14400</v>
      </c>
      <c r="CB74" s="754">
        <f t="shared" si="15"/>
        <v>1</v>
      </c>
    </row>
    <row r="75" spans="1:80" s="460" customFormat="1" ht="24">
      <c r="A75" s="484" t="s">
        <v>85</v>
      </c>
      <c r="B75" s="805"/>
      <c r="C75" s="656" t="s">
        <v>528</v>
      </c>
      <c r="D75" s="637" t="s">
        <v>471</v>
      </c>
      <c r="E75" s="466" t="s">
        <v>472</v>
      </c>
      <c r="F75" s="603">
        <v>0</v>
      </c>
      <c r="G75" s="604">
        <v>0</v>
      </c>
      <c r="H75" s="603">
        <v>0</v>
      </c>
      <c r="I75" s="581">
        <f t="shared" si="55"/>
        <v>0</v>
      </c>
      <c r="J75" s="581">
        <v>15</v>
      </c>
      <c r="K75" s="581">
        <v>25</v>
      </c>
      <c r="L75" s="581">
        <v>3</v>
      </c>
      <c r="M75" s="581">
        <f t="shared" si="65"/>
        <v>1125</v>
      </c>
      <c r="N75" s="591">
        <f t="shared" si="56"/>
        <v>1125</v>
      </c>
      <c r="O75" s="536">
        <f t="shared" si="6"/>
        <v>0</v>
      </c>
      <c r="P75" s="536">
        <f t="shared" si="7"/>
        <v>865.3846153846154</v>
      </c>
      <c r="Q75" s="536">
        <f t="shared" si="8"/>
        <v>865.3846153846154</v>
      </c>
      <c r="R75" s="525">
        <f t="shared" si="57"/>
        <v>439.8</v>
      </c>
      <c r="S75" s="525">
        <f t="shared" si="58"/>
        <v>685.2</v>
      </c>
      <c r="T75" s="475">
        <f t="shared" si="59"/>
        <v>0.39093333333333335</v>
      </c>
      <c r="U75" s="476"/>
      <c r="V75" s="476"/>
      <c r="W75" s="476"/>
      <c r="X75" s="476"/>
      <c r="Y75" s="476"/>
      <c r="Z75" s="476"/>
      <c r="AA75" s="476"/>
      <c r="AB75" s="476"/>
      <c r="AC75" s="476"/>
      <c r="AD75" s="476"/>
      <c r="AE75" s="476"/>
      <c r="AF75" s="476"/>
      <c r="AG75" s="535">
        <f t="shared" si="60"/>
        <v>439.8</v>
      </c>
      <c r="AH75" s="535">
        <f t="shared" si="20"/>
        <v>685.2</v>
      </c>
      <c r="AI75" s="477">
        <f t="shared" si="9"/>
        <v>0.39093333333333335</v>
      </c>
      <c r="AJ75" s="461"/>
      <c r="AK75" s="511">
        <v>0</v>
      </c>
      <c r="AL75" s="511">
        <v>0</v>
      </c>
      <c r="AM75" s="511">
        <v>0</v>
      </c>
      <c r="AN75" s="511">
        <v>0</v>
      </c>
      <c r="AO75" s="512">
        <f t="shared" si="10"/>
        <v>0</v>
      </c>
      <c r="AP75" s="511">
        <v>0</v>
      </c>
      <c r="AQ75" s="511">
        <v>0</v>
      </c>
      <c r="AR75" s="511">
        <v>0</v>
      </c>
      <c r="AS75" s="512">
        <f t="shared" si="11"/>
        <v>0</v>
      </c>
      <c r="AT75" s="511">
        <v>0</v>
      </c>
      <c r="AU75" s="511">
        <v>0</v>
      </c>
      <c r="AV75" s="511">
        <v>0</v>
      </c>
      <c r="AW75" s="512">
        <f t="shared" si="12"/>
        <v>0</v>
      </c>
      <c r="AX75" s="511">
        <v>0</v>
      </c>
      <c r="AY75" s="511">
        <v>0</v>
      </c>
      <c r="AZ75" s="511">
        <v>0</v>
      </c>
      <c r="BA75" s="512">
        <f t="shared" si="13"/>
        <v>0</v>
      </c>
      <c r="BB75" s="513"/>
      <c r="BC75" s="511">
        <v>0</v>
      </c>
      <c r="BD75" s="511">
        <v>0</v>
      </c>
      <c r="BE75" s="511">
        <v>0</v>
      </c>
      <c r="BF75" s="511">
        <v>0</v>
      </c>
      <c r="BG75" s="512">
        <f t="shared" si="61"/>
        <v>0</v>
      </c>
      <c r="BH75" s="511">
        <v>0</v>
      </c>
      <c r="BI75" s="511">
        <v>0</v>
      </c>
      <c r="BJ75" s="511">
        <v>0</v>
      </c>
      <c r="BK75" s="512">
        <f t="shared" si="62"/>
        <v>0</v>
      </c>
      <c r="BL75" s="511">
        <v>0</v>
      </c>
      <c r="BM75" s="511">
        <v>0</v>
      </c>
      <c r="BN75" s="511">
        <v>0</v>
      </c>
      <c r="BO75" s="512">
        <f t="shared" si="63"/>
        <v>0</v>
      </c>
      <c r="BP75" s="511">
        <v>439.8</v>
      </c>
      <c r="BQ75" s="511">
        <v>0</v>
      </c>
      <c r="BR75" s="511">
        <v>0</v>
      </c>
      <c r="BS75" s="512">
        <f t="shared" si="64"/>
        <v>439.8</v>
      </c>
      <c r="BT75" s="513"/>
      <c r="BU75" s="748">
        <v>685</v>
      </c>
      <c r="BV75" s="752">
        <v>685</v>
      </c>
      <c r="BW75" s="752">
        <v>0</v>
      </c>
      <c r="BX75" s="752">
        <v>0</v>
      </c>
      <c r="BY75" s="752">
        <v>0</v>
      </c>
      <c r="BZ75" s="752">
        <v>0</v>
      </c>
      <c r="CA75" s="753">
        <f t="shared" si="14"/>
        <v>685</v>
      </c>
      <c r="CB75" s="754">
        <f t="shared" si="15"/>
        <v>1</v>
      </c>
    </row>
    <row r="76" spans="1:80" s="460" customFormat="1" ht="36">
      <c r="A76" s="570" t="s">
        <v>529</v>
      </c>
      <c r="B76" s="805"/>
      <c r="C76" s="571" t="s">
        <v>530</v>
      </c>
      <c r="D76" s="637" t="s">
        <v>471</v>
      </c>
      <c r="E76" s="469" t="s">
        <v>44</v>
      </c>
      <c r="F76" s="640">
        <v>0</v>
      </c>
      <c r="G76" s="641">
        <v>0</v>
      </c>
      <c r="H76" s="640">
        <v>0</v>
      </c>
      <c r="I76" s="642">
        <f t="shared" si="55"/>
        <v>0</v>
      </c>
      <c r="J76" s="643">
        <v>15</v>
      </c>
      <c r="K76" s="643">
        <v>30</v>
      </c>
      <c r="L76" s="643">
        <v>3</v>
      </c>
      <c r="M76" s="581">
        <f t="shared" si="65"/>
        <v>1350</v>
      </c>
      <c r="N76" s="591">
        <f t="shared" si="56"/>
        <v>1350</v>
      </c>
      <c r="O76" s="536">
        <f t="shared" si="6"/>
        <v>0</v>
      </c>
      <c r="P76" s="536">
        <f t="shared" si="7"/>
        <v>1038.4615384615383</v>
      </c>
      <c r="Q76" s="536">
        <f t="shared" si="8"/>
        <v>1038.4615384615383</v>
      </c>
      <c r="R76" s="525">
        <f t="shared" si="57"/>
        <v>0</v>
      </c>
      <c r="S76" s="525">
        <f t="shared" si="58"/>
        <v>1350</v>
      </c>
      <c r="T76" s="475">
        <f t="shared" si="59"/>
        <v>0</v>
      </c>
      <c r="U76" s="476"/>
      <c r="V76" s="476"/>
      <c r="W76" s="476"/>
      <c r="X76" s="476"/>
      <c r="Y76" s="476"/>
      <c r="Z76" s="476"/>
      <c r="AA76" s="476"/>
      <c r="AB76" s="476"/>
      <c r="AC76" s="476"/>
      <c r="AD76" s="476"/>
      <c r="AE76" s="476"/>
      <c r="AF76" s="476"/>
      <c r="AG76" s="535">
        <f t="shared" si="60"/>
        <v>0</v>
      </c>
      <c r="AH76" s="535">
        <f t="shared" si="20"/>
        <v>1350</v>
      </c>
      <c r="AI76" s="477">
        <f t="shared" si="9"/>
        <v>0</v>
      </c>
      <c r="AJ76" s="461"/>
      <c r="AK76" s="511">
        <v>0</v>
      </c>
      <c r="AL76" s="511">
        <v>0</v>
      </c>
      <c r="AM76" s="511">
        <v>0</v>
      </c>
      <c r="AN76" s="511">
        <v>0</v>
      </c>
      <c r="AO76" s="512">
        <f t="shared" si="10"/>
        <v>0</v>
      </c>
      <c r="AP76" s="511">
        <v>0</v>
      </c>
      <c r="AQ76" s="511">
        <v>0</v>
      </c>
      <c r="AR76" s="511">
        <v>0</v>
      </c>
      <c r="AS76" s="512">
        <f t="shared" si="11"/>
        <v>0</v>
      </c>
      <c r="AT76" s="511">
        <v>0</v>
      </c>
      <c r="AU76" s="511">
        <v>0</v>
      </c>
      <c r="AV76" s="511">
        <v>0</v>
      </c>
      <c r="AW76" s="512">
        <f t="shared" si="12"/>
        <v>0</v>
      </c>
      <c r="AX76" s="511">
        <v>0</v>
      </c>
      <c r="AY76" s="511">
        <v>0</v>
      </c>
      <c r="AZ76" s="511">
        <v>0</v>
      </c>
      <c r="BA76" s="512">
        <f t="shared" si="13"/>
        <v>0</v>
      </c>
      <c r="BB76" s="513"/>
      <c r="BC76" s="511">
        <v>0</v>
      </c>
      <c r="BD76" s="511">
        <v>0</v>
      </c>
      <c r="BE76" s="511">
        <v>0</v>
      </c>
      <c r="BF76" s="511">
        <v>0</v>
      </c>
      <c r="BG76" s="512">
        <f t="shared" si="61"/>
        <v>0</v>
      </c>
      <c r="BH76" s="511">
        <v>0</v>
      </c>
      <c r="BI76" s="511">
        <v>0</v>
      </c>
      <c r="BJ76" s="511">
        <v>0</v>
      </c>
      <c r="BK76" s="512">
        <f t="shared" si="62"/>
        <v>0</v>
      </c>
      <c r="BL76" s="511">
        <v>0</v>
      </c>
      <c r="BM76" s="511">
        <v>0</v>
      </c>
      <c r="BN76" s="511">
        <v>0</v>
      </c>
      <c r="BO76" s="512">
        <f t="shared" si="63"/>
        <v>0</v>
      </c>
      <c r="BP76" s="511">
        <v>0</v>
      </c>
      <c r="BQ76" s="511">
        <v>0</v>
      </c>
      <c r="BR76" s="511">
        <v>0</v>
      </c>
      <c r="BS76" s="512">
        <f t="shared" si="64"/>
        <v>0</v>
      </c>
      <c r="BT76" s="513"/>
      <c r="BU76" s="748">
        <v>1350</v>
      </c>
      <c r="BV76" s="752">
        <v>1350</v>
      </c>
      <c r="BW76" s="752">
        <v>0</v>
      </c>
      <c r="BX76" s="752">
        <v>0</v>
      </c>
      <c r="BY76" s="752">
        <v>0</v>
      </c>
      <c r="BZ76" s="752">
        <v>0</v>
      </c>
      <c r="CA76" s="753">
        <f t="shared" si="14"/>
        <v>1350</v>
      </c>
      <c r="CB76" s="754">
        <f t="shared" si="15"/>
        <v>1</v>
      </c>
    </row>
    <row r="77" spans="1:80" s="460" customFormat="1" ht="15" customHeight="1">
      <c r="A77" s="570" t="s">
        <v>531</v>
      </c>
      <c r="B77" s="805"/>
      <c r="C77" s="571" t="s">
        <v>532</v>
      </c>
      <c r="D77" s="637" t="s">
        <v>471</v>
      </c>
      <c r="E77" s="469" t="s">
        <v>44</v>
      </c>
      <c r="F77" s="579">
        <v>0</v>
      </c>
      <c r="G77" s="580">
        <v>0</v>
      </c>
      <c r="H77" s="579">
        <v>0</v>
      </c>
      <c r="I77" s="581">
        <f t="shared" si="55"/>
        <v>0</v>
      </c>
      <c r="J77" s="582">
        <v>1</v>
      </c>
      <c r="K77" s="582">
        <v>40000</v>
      </c>
      <c r="L77" s="582">
        <v>1</v>
      </c>
      <c r="M77" s="581">
        <f t="shared" si="65"/>
        <v>40000</v>
      </c>
      <c r="N77" s="591">
        <f t="shared" si="56"/>
        <v>40000</v>
      </c>
      <c r="O77" s="536">
        <f t="shared" si="6"/>
        <v>0</v>
      </c>
      <c r="P77" s="536">
        <f t="shared" si="7"/>
        <v>30769.23076923077</v>
      </c>
      <c r="Q77" s="536">
        <f t="shared" si="8"/>
        <v>30769.23076923077</v>
      </c>
      <c r="R77" s="525">
        <f t="shared" si="57"/>
        <v>9.99</v>
      </c>
      <c r="S77" s="525">
        <f t="shared" si="58"/>
        <v>39990.01</v>
      </c>
      <c r="T77" s="475">
        <f t="shared" si="59"/>
        <v>0.00024975</v>
      </c>
      <c r="U77" s="476"/>
      <c r="V77" s="476"/>
      <c r="W77" s="476"/>
      <c r="X77" s="476"/>
      <c r="Y77" s="476"/>
      <c r="Z77" s="476"/>
      <c r="AA77" s="476"/>
      <c r="AB77" s="476"/>
      <c r="AC77" s="476"/>
      <c r="AD77" s="476"/>
      <c r="AE77" s="476"/>
      <c r="AF77" s="476"/>
      <c r="AG77" s="535">
        <f t="shared" si="60"/>
        <v>9.99</v>
      </c>
      <c r="AH77" s="535">
        <f t="shared" si="20"/>
        <v>39990.01</v>
      </c>
      <c r="AI77" s="477">
        <f t="shared" si="9"/>
        <v>0.00024975</v>
      </c>
      <c r="AJ77" s="461"/>
      <c r="AK77" s="511">
        <v>0</v>
      </c>
      <c r="AL77" s="511">
        <v>0</v>
      </c>
      <c r="AM77" s="511">
        <v>0</v>
      </c>
      <c r="AN77" s="511">
        <v>0</v>
      </c>
      <c r="AO77" s="512">
        <f t="shared" si="10"/>
        <v>0</v>
      </c>
      <c r="AP77" s="511">
        <v>0</v>
      </c>
      <c r="AQ77" s="511">
        <v>0</v>
      </c>
      <c r="AR77" s="511">
        <v>0</v>
      </c>
      <c r="AS77" s="512">
        <f t="shared" si="11"/>
        <v>0</v>
      </c>
      <c r="AT77" s="511">
        <v>0</v>
      </c>
      <c r="AU77" s="511">
        <v>0</v>
      </c>
      <c r="AV77" s="511">
        <v>0</v>
      </c>
      <c r="AW77" s="512">
        <f t="shared" si="12"/>
        <v>0</v>
      </c>
      <c r="AX77" s="511">
        <v>0</v>
      </c>
      <c r="AY77" s="511">
        <v>0</v>
      </c>
      <c r="AZ77" s="511">
        <v>0</v>
      </c>
      <c r="BA77" s="512">
        <f t="shared" si="13"/>
        <v>0</v>
      </c>
      <c r="BB77" s="513"/>
      <c r="BC77" s="511">
        <v>9.99</v>
      </c>
      <c r="BD77" s="511">
        <v>0</v>
      </c>
      <c r="BE77" s="511">
        <v>0</v>
      </c>
      <c r="BF77" s="511">
        <v>0</v>
      </c>
      <c r="BG77" s="512">
        <f t="shared" si="61"/>
        <v>9.99</v>
      </c>
      <c r="BH77" s="511">
        <v>0</v>
      </c>
      <c r="BI77" s="511">
        <v>0</v>
      </c>
      <c r="BJ77" s="511">
        <v>0</v>
      </c>
      <c r="BK77" s="512">
        <f t="shared" si="62"/>
        <v>0</v>
      </c>
      <c r="BL77" s="511">
        <v>0</v>
      </c>
      <c r="BM77" s="511">
        <v>0</v>
      </c>
      <c r="BN77" s="511">
        <v>0</v>
      </c>
      <c r="BO77" s="512">
        <f t="shared" si="63"/>
        <v>0</v>
      </c>
      <c r="BP77" s="511">
        <v>0</v>
      </c>
      <c r="BQ77" s="511">
        <v>0</v>
      </c>
      <c r="BR77" s="511">
        <v>0</v>
      </c>
      <c r="BS77" s="512">
        <f t="shared" si="64"/>
        <v>0</v>
      </c>
      <c r="BT77" s="513"/>
      <c r="BU77" s="748">
        <v>39990</v>
      </c>
      <c r="BV77" s="752">
        <v>0</v>
      </c>
      <c r="BW77" s="752">
        <v>20000</v>
      </c>
      <c r="BX77" s="752">
        <v>15000</v>
      </c>
      <c r="BY77" s="752">
        <v>8000</v>
      </c>
      <c r="BZ77" s="752"/>
      <c r="CA77" s="753">
        <f t="shared" si="14"/>
        <v>43000</v>
      </c>
      <c r="CB77" s="754">
        <f t="shared" si="15"/>
        <v>1.075268817204301</v>
      </c>
    </row>
    <row r="78" spans="1:80" s="460" customFormat="1" ht="24">
      <c r="A78" s="484" t="s">
        <v>86</v>
      </c>
      <c r="B78" s="805"/>
      <c r="C78" s="656" t="s">
        <v>533</v>
      </c>
      <c r="D78" s="637" t="s">
        <v>471</v>
      </c>
      <c r="E78" s="466" t="s">
        <v>367</v>
      </c>
      <c r="F78" s="579">
        <v>0</v>
      </c>
      <c r="G78" s="580">
        <v>0</v>
      </c>
      <c r="H78" s="579">
        <v>0</v>
      </c>
      <c r="I78" s="581">
        <v>0</v>
      </c>
      <c r="J78" s="582">
        <v>1</v>
      </c>
      <c r="K78" s="582">
        <v>35000</v>
      </c>
      <c r="L78" s="582">
        <v>1</v>
      </c>
      <c r="M78" s="581">
        <f t="shared" si="65"/>
        <v>35000</v>
      </c>
      <c r="N78" s="591">
        <f t="shared" si="56"/>
        <v>35000</v>
      </c>
      <c r="O78" s="536">
        <f t="shared" si="6"/>
        <v>0</v>
      </c>
      <c r="P78" s="536">
        <f t="shared" si="7"/>
        <v>26923.076923076922</v>
      </c>
      <c r="Q78" s="536">
        <f t="shared" si="8"/>
        <v>26923.076923076922</v>
      </c>
      <c r="R78" s="525">
        <f t="shared" si="57"/>
        <v>8803.869999999999</v>
      </c>
      <c r="S78" s="525">
        <f t="shared" si="58"/>
        <v>26196.13</v>
      </c>
      <c r="T78" s="475">
        <f t="shared" si="59"/>
        <v>0.25153914285714285</v>
      </c>
      <c r="U78" s="476"/>
      <c r="V78" s="476"/>
      <c r="W78" s="476"/>
      <c r="X78" s="476"/>
      <c r="Y78" s="476"/>
      <c r="Z78" s="476"/>
      <c r="AA78" s="476"/>
      <c r="AB78" s="476"/>
      <c r="AC78" s="476"/>
      <c r="AD78" s="476"/>
      <c r="AE78" s="476"/>
      <c r="AF78" s="476"/>
      <c r="AG78" s="535">
        <f t="shared" si="60"/>
        <v>8803.869999999999</v>
      </c>
      <c r="AH78" s="535">
        <f t="shared" si="20"/>
        <v>26196.13</v>
      </c>
      <c r="AI78" s="477">
        <f t="shared" si="9"/>
        <v>0.25153914285714285</v>
      </c>
      <c r="AJ78" s="461"/>
      <c r="AK78" s="511">
        <v>0</v>
      </c>
      <c r="AL78" s="511">
        <v>0</v>
      </c>
      <c r="AM78" s="511">
        <v>0</v>
      </c>
      <c r="AN78" s="511">
        <v>0</v>
      </c>
      <c r="AO78" s="512">
        <f t="shared" si="10"/>
        <v>0</v>
      </c>
      <c r="AP78" s="511">
        <v>0</v>
      </c>
      <c r="AQ78" s="511">
        <v>0</v>
      </c>
      <c r="AR78" s="511">
        <v>0</v>
      </c>
      <c r="AS78" s="512">
        <f t="shared" si="11"/>
        <v>0</v>
      </c>
      <c r="AT78" s="511">
        <v>0</v>
      </c>
      <c r="AU78" s="511">
        <v>0</v>
      </c>
      <c r="AV78" s="511">
        <v>0</v>
      </c>
      <c r="AW78" s="512">
        <f t="shared" si="12"/>
        <v>0</v>
      </c>
      <c r="AX78" s="511">
        <v>0</v>
      </c>
      <c r="AY78" s="511">
        <v>0</v>
      </c>
      <c r="AZ78" s="511">
        <v>0</v>
      </c>
      <c r="BA78" s="512">
        <f t="shared" si="13"/>
        <v>0</v>
      </c>
      <c r="BB78" s="513"/>
      <c r="BC78" s="511">
        <v>0</v>
      </c>
      <c r="BD78" s="511">
        <v>1545.99</v>
      </c>
      <c r="BE78" s="511">
        <v>0</v>
      </c>
      <c r="BF78" s="511">
        <v>0</v>
      </c>
      <c r="BG78" s="512">
        <f t="shared" si="61"/>
        <v>1545.99</v>
      </c>
      <c r="BH78" s="511">
        <v>2175.14</v>
      </c>
      <c r="BI78" s="511">
        <v>0</v>
      </c>
      <c r="BJ78" s="511">
        <v>0</v>
      </c>
      <c r="BK78" s="512">
        <f t="shared" si="62"/>
        <v>2175.14</v>
      </c>
      <c r="BL78" s="511">
        <v>0</v>
      </c>
      <c r="BM78" s="511">
        <v>5082.74</v>
      </c>
      <c r="BN78" s="511">
        <v>0</v>
      </c>
      <c r="BO78" s="512">
        <f t="shared" si="63"/>
        <v>5082.74</v>
      </c>
      <c r="BP78" s="511">
        <v>0</v>
      </c>
      <c r="BQ78" s="511">
        <v>0</v>
      </c>
      <c r="BR78" s="511">
        <v>0</v>
      </c>
      <c r="BS78" s="512">
        <f t="shared" si="64"/>
        <v>0</v>
      </c>
      <c r="BT78" s="513"/>
      <c r="BU78" s="748">
        <v>26196</v>
      </c>
      <c r="BV78" s="752">
        <v>20000</v>
      </c>
      <c r="BW78" s="752">
        <v>7000</v>
      </c>
      <c r="BX78" s="752">
        <v>0</v>
      </c>
      <c r="BY78" s="752">
        <v>0</v>
      </c>
      <c r="BZ78" s="752">
        <v>0</v>
      </c>
      <c r="CA78" s="753">
        <f t="shared" si="14"/>
        <v>27000</v>
      </c>
      <c r="CB78" s="754">
        <f t="shared" si="15"/>
        <v>1.0306917086578105</v>
      </c>
    </row>
    <row r="79" spans="1:80" s="460" customFormat="1" ht="15.75">
      <c r="A79" s="606" t="s">
        <v>87</v>
      </c>
      <c r="B79" s="805"/>
      <c r="C79" s="592" t="s">
        <v>534</v>
      </c>
      <c r="D79" s="638" t="s">
        <v>471</v>
      </c>
      <c r="E79" s="586" t="s">
        <v>367</v>
      </c>
      <c r="F79" s="587">
        <v>0</v>
      </c>
      <c r="G79" s="588">
        <v>0</v>
      </c>
      <c r="H79" s="587">
        <v>0</v>
      </c>
      <c r="I79" s="589">
        <f>F79*G79*H79</f>
        <v>0</v>
      </c>
      <c r="J79" s="590">
        <v>0</v>
      </c>
      <c r="K79" s="590">
        <v>0</v>
      </c>
      <c r="L79" s="590">
        <v>0</v>
      </c>
      <c r="M79" s="657">
        <f t="shared" si="65"/>
        <v>0</v>
      </c>
      <c r="N79" s="658">
        <f t="shared" si="56"/>
        <v>0</v>
      </c>
      <c r="O79" s="536">
        <f t="shared" si="6"/>
        <v>0</v>
      </c>
      <c r="P79" s="536">
        <f t="shared" si="7"/>
        <v>0</v>
      </c>
      <c r="Q79" s="536">
        <f t="shared" si="8"/>
        <v>0</v>
      </c>
      <c r="R79" s="525">
        <f t="shared" si="57"/>
        <v>0</v>
      </c>
      <c r="S79" s="525">
        <f t="shared" si="58"/>
        <v>0</v>
      </c>
      <c r="T79" s="475" t="e">
        <f t="shared" si="59"/>
        <v>#DIV/0!</v>
      </c>
      <c r="U79" s="476"/>
      <c r="V79" s="476"/>
      <c r="W79" s="476"/>
      <c r="X79" s="476"/>
      <c r="Y79" s="476"/>
      <c r="Z79" s="476"/>
      <c r="AA79" s="476"/>
      <c r="AB79" s="476"/>
      <c r="AC79" s="476"/>
      <c r="AD79" s="476"/>
      <c r="AE79" s="476"/>
      <c r="AF79" s="476"/>
      <c r="AG79" s="535">
        <f t="shared" si="60"/>
        <v>0</v>
      </c>
      <c r="AH79" s="535">
        <f t="shared" si="20"/>
        <v>0</v>
      </c>
      <c r="AI79" s="477" t="e">
        <f t="shared" si="9"/>
        <v>#DIV/0!</v>
      </c>
      <c r="AJ79" s="461"/>
      <c r="AK79" s="511">
        <v>0</v>
      </c>
      <c r="AL79" s="511">
        <v>0</v>
      </c>
      <c r="AM79" s="511">
        <v>0</v>
      </c>
      <c r="AN79" s="511">
        <v>0</v>
      </c>
      <c r="AO79" s="512">
        <f t="shared" si="10"/>
        <v>0</v>
      </c>
      <c r="AP79" s="511">
        <v>0</v>
      </c>
      <c r="AQ79" s="511">
        <v>0</v>
      </c>
      <c r="AR79" s="511">
        <v>0</v>
      </c>
      <c r="AS79" s="512">
        <f t="shared" si="11"/>
        <v>0</v>
      </c>
      <c r="AT79" s="511">
        <v>0</v>
      </c>
      <c r="AU79" s="511">
        <v>0</v>
      </c>
      <c r="AV79" s="511">
        <v>0</v>
      </c>
      <c r="AW79" s="512">
        <f t="shared" si="12"/>
        <v>0</v>
      </c>
      <c r="AX79" s="511">
        <v>0</v>
      </c>
      <c r="AY79" s="511">
        <v>0</v>
      </c>
      <c r="AZ79" s="511">
        <v>0</v>
      </c>
      <c r="BA79" s="512">
        <f t="shared" si="13"/>
        <v>0</v>
      </c>
      <c r="BB79" s="513"/>
      <c r="BC79" s="511">
        <v>0</v>
      </c>
      <c r="BD79" s="511">
        <v>0</v>
      </c>
      <c r="BE79" s="511">
        <v>0</v>
      </c>
      <c r="BF79" s="511">
        <v>0</v>
      </c>
      <c r="BG79" s="512">
        <f t="shared" si="61"/>
        <v>0</v>
      </c>
      <c r="BH79" s="511">
        <v>0</v>
      </c>
      <c r="BI79" s="511">
        <v>0</v>
      </c>
      <c r="BJ79" s="511">
        <v>0</v>
      </c>
      <c r="BK79" s="512">
        <f t="shared" si="62"/>
        <v>0</v>
      </c>
      <c r="BL79" s="511">
        <v>0</v>
      </c>
      <c r="BM79" s="511">
        <v>0</v>
      </c>
      <c r="BN79" s="511">
        <v>0</v>
      </c>
      <c r="BO79" s="512">
        <f t="shared" si="63"/>
        <v>0</v>
      </c>
      <c r="BP79" s="511">
        <v>0</v>
      </c>
      <c r="BQ79" s="511">
        <v>0</v>
      </c>
      <c r="BR79" s="511">
        <v>0</v>
      </c>
      <c r="BS79" s="512">
        <f t="shared" si="64"/>
        <v>0</v>
      </c>
      <c r="BT79" s="513"/>
      <c r="BU79" s="748">
        <v>0</v>
      </c>
      <c r="BV79" s="752">
        <v>0</v>
      </c>
      <c r="BW79" s="752">
        <v>0</v>
      </c>
      <c r="BX79" s="752">
        <v>0</v>
      </c>
      <c r="BY79" s="752">
        <v>0</v>
      </c>
      <c r="BZ79" s="752">
        <v>0</v>
      </c>
      <c r="CA79" s="753">
        <f t="shared" si="14"/>
        <v>0</v>
      </c>
      <c r="CB79" s="754" t="e">
        <f t="shared" si="15"/>
        <v>#DIV/0!</v>
      </c>
    </row>
    <row r="80" spans="1:80" s="460" customFormat="1" ht="24">
      <c r="A80" s="606" t="s">
        <v>73</v>
      </c>
      <c r="B80" s="805"/>
      <c r="C80" s="659" t="s">
        <v>535</v>
      </c>
      <c r="D80" s="638" t="s">
        <v>471</v>
      </c>
      <c r="E80" s="660" t="s">
        <v>367</v>
      </c>
      <c r="F80" s="587">
        <v>1</v>
      </c>
      <c r="G80" s="588">
        <v>0</v>
      </c>
      <c r="H80" s="587">
        <v>0</v>
      </c>
      <c r="I80" s="589">
        <v>0</v>
      </c>
      <c r="J80" s="590">
        <v>0</v>
      </c>
      <c r="K80" s="590">
        <v>0</v>
      </c>
      <c r="L80" s="590">
        <v>0</v>
      </c>
      <c r="M80" s="657">
        <f t="shared" si="65"/>
        <v>0</v>
      </c>
      <c r="N80" s="658">
        <f t="shared" si="56"/>
        <v>0</v>
      </c>
      <c r="O80" s="536">
        <f t="shared" si="6"/>
        <v>0</v>
      </c>
      <c r="P80" s="536">
        <f t="shared" si="7"/>
        <v>0</v>
      </c>
      <c r="Q80" s="536">
        <f t="shared" si="8"/>
        <v>0</v>
      </c>
      <c r="R80" s="525">
        <f t="shared" si="57"/>
        <v>0</v>
      </c>
      <c r="S80" s="525">
        <f t="shared" si="58"/>
        <v>0</v>
      </c>
      <c r="T80" s="475" t="e">
        <f t="shared" si="59"/>
        <v>#DIV/0!</v>
      </c>
      <c r="U80" s="476"/>
      <c r="V80" s="476"/>
      <c r="W80" s="476"/>
      <c r="X80" s="476"/>
      <c r="Y80" s="476"/>
      <c r="Z80" s="476"/>
      <c r="AA80" s="476"/>
      <c r="AB80" s="476"/>
      <c r="AC80" s="476"/>
      <c r="AD80" s="476"/>
      <c r="AE80" s="476"/>
      <c r="AF80" s="476"/>
      <c r="AG80" s="535">
        <f t="shared" si="60"/>
        <v>0</v>
      </c>
      <c r="AH80" s="535">
        <f t="shared" si="20"/>
        <v>0</v>
      </c>
      <c r="AI80" s="477" t="e">
        <f t="shared" si="9"/>
        <v>#DIV/0!</v>
      </c>
      <c r="AJ80" s="461"/>
      <c r="AK80" s="511">
        <v>0</v>
      </c>
      <c r="AL80" s="511">
        <v>0</v>
      </c>
      <c r="AM80" s="511">
        <v>0</v>
      </c>
      <c r="AN80" s="511">
        <v>0</v>
      </c>
      <c r="AO80" s="512">
        <f t="shared" si="10"/>
        <v>0</v>
      </c>
      <c r="AP80" s="511">
        <v>0</v>
      </c>
      <c r="AQ80" s="511">
        <v>0</v>
      </c>
      <c r="AR80" s="511">
        <v>0</v>
      </c>
      <c r="AS80" s="512">
        <f t="shared" si="11"/>
        <v>0</v>
      </c>
      <c r="AT80" s="511">
        <v>0</v>
      </c>
      <c r="AU80" s="511">
        <v>0</v>
      </c>
      <c r="AV80" s="511">
        <v>0</v>
      </c>
      <c r="AW80" s="512">
        <f t="shared" si="12"/>
        <v>0</v>
      </c>
      <c r="AX80" s="511">
        <v>0</v>
      </c>
      <c r="AY80" s="511">
        <v>0</v>
      </c>
      <c r="AZ80" s="511">
        <v>0</v>
      </c>
      <c r="BA80" s="512">
        <f t="shared" si="13"/>
        <v>0</v>
      </c>
      <c r="BB80" s="513"/>
      <c r="BC80" s="511">
        <v>0</v>
      </c>
      <c r="BD80" s="511">
        <v>0</v>
      </c>
      <c r="BE80" s="511">
        <v>0</v>
      </c>
      <c r="BF80" s="511">
        <v>0</v>
      </c>
      <c r="BG80" s="512">
        <f t="shared" si="61"/>
        <v>0</v>
      </c>
      <c r="BH80" s="511">
        <v>0</v>
      </c>
      <c r="BI80" s="511">
        <v>0</v>
      </c>
      <c r="BJ80" s="511">
        <v>0</v>
      </c>
      <c r="BK80" s="512">
        <f t="shared" si="62"/>
        <v>0</v>
      </c>
      <c r="BL80" s="511">
        <v>0</v>
      </c>
      <c r="BM80" s="511">
        <v>0</v>
      </c>
      <c r="BN80" s="511">
        <v>0</v>
      </c>
      <c r="BO80" s="512">
        <f t="shared" si="63"/>
        <v>0</v>
      </c>
      <c r="BP80" s="511">
        <v>0</v>
      </c>
      <c r="BQ80" s="511">
        <v>0</v>
      </c>
      <c r="BR80" s="511">
        <v>0</v>
      </c>
      <c r="BS80" s="512">
        <f t="shared" si="64"/>
        <v>0</v>
      </c>
      <c r="BT80" s="513"/>
      <c r="BU80" s="748">
        <v>0</v>
      </c>
      <c r="BV80" s="752">
        <v>0</v>
      </c>
      <c r="BW80" s="752">
        <v>0</v>
      </c>
      <c r="BX80" s="752">
        <v>0</v>
      </c>
      <c r="BY80" s="752">
        <v>0</v>
      </c>
      <c r="BZ80" s="752">
        <v>0</v>
      </c>
      <c r="CA80" s="753">
        <f t="shared" si="14"/>
        <v>0</v>
      </c>
      <c r="CB80" s="754" t="e">
        <f t="shared" si="15"/>
        <v>#DIV/0!</v>
      </c>
    </row>
    <row r="81" spans="1:80" s="460" customFormat="1" ht="24">
      <c r="A81" s="606" t="s">
        <v>89</v>
      </c>
      <c r="B81" s="805"/>
      <c r="C81" s="592" t="s">
        <v>536</v>
      </c>
      <c r="D81" s="638" t="s">
        <v>471</v>
      </c>
      <c r="E81" s="586" t="s">
        <v>367</v>
      </c>
      <c r="F81" s="587">
        <v>0</v>
      </c>
      <c r="G81" s="588">
        <v>0</v>
      </c>
      <c r="H81" s="587">
        <v>0</v>
      </c>
      <c r="I81" s="589">
        <f>F81*G81</f>
        <v>0</v>
      </c>
      <c r="J81" s="590">
        <v>0</v>
      </c>
      <c r="K81" s="590">
        <v>0</v>
      </c>
      <c r="L81" s="590">
        <v>0</v>
      </c>
      <c r="M81" s="657">
        <f t="shared" si="65"/>
        <v>0</v>
      </c>
      <c r="N81" s="658">
        <f t="shared" si="56"/>
        <v>0</v>
      </c>
      <c r="O81" s="536">
        <f t="shared" si="6"/>
        <v>0</v>
      </c>
      <c r="P81" s="536">
        <f t="shared" si="7"/>
        <v>0</v>
      </c>
      <c r="Q81" s="536">
        <f t="shared" si="8"/>
        <v>0</v>
      </c>
      <c r="R81" s="525">
        <f t="shared" si="57"/>
        <v>0</v>
      </c>
      <c r="S81" s="525">
        <f t="shared" si="58"/>
        <v>0</v>
      </c>
      <c r="T81" s="475" t="e">
        <f t="shared" si="59"/>
        <v>#DIV/0!</v>
      </c>
      <c r="U81" s="476"/>
      <c r="V81" s="476"/>
      <c r="W81" s="476"/>
      <c r="X81" s="476"/>
      <c r="Y81" s="476"/>
      <c r="Z81" s="476"/>
      <c r="AA81" s="476"/>
      <c r="AB81" s="476"/>
      <c r="AC81" s="476"/>
      <c r="AD81" s="476"/>
      <c r="AE81" s="476"/>
      <c r="AF81" s="476"/>
      <c r="AG81" s="535">
        <f t="shared" si="60"/>
        <v>0</v>
      </c>
      <c r="AH81" s="535">
        <f t="shared" si="20"/>
        <v>0</v>
      </c>
      <c r="AI81" s="477" t="e">
        <f t="shared" si="9"/>
        <v>#DIV/0!</v>
      </c>
      <c r="AJ81" s="461"/>
      <c r="AK81" s="511">
        <v>0</v>
      </c>
      <c r="AL81" s="511">
        <v>0</v>
      </c>
      <c r="AM81" s="511">
        <v>0</v>
      </c>
      <c r="AN81" s="511">
        <v>0</v>
      </c>
      <c r="AO81" s="512">
        <f t="shared" si="10"/>
        <v>0</v>
      </c>
      <c r="AP81" s="511">
        <v>0</v>
      </c>
      <c r="AQ81" s="511">
        <v>0</v>
      </c>
      <c r="AR81" s="511">
        <v>0</v>
      </c>
      <c r="AS81" s="512">
        <f t="shared" si="11"/>
        <v>0</v>
      </c>
      <c r="AT81" s="511">
        <v>0</v>
      </c>
      <c r="AU81" s="511">
        <v>0</v>
      </c>
      <c r="AV81" s="511">
        <v>0</v>
      </c>
      <c r="AW81" s="512">
        <f t="shared" si="12"/>
        <v>0</v>
      </c>
      <c r="AX81" s="511">
        <v>0</v>
      </c>
      <c r="AY81" s="511">
        <v>0</v>
      </c>
      <c r="AZ81" s="511">
        <v>0</v>
      </c>
      <c r="BA81" s="512">
        <f t="shared" si="13"/>
        <v>0</v>
      </c>
      <c r="BB81" s="513"/>
      <c r="BC81" s="511">
        <v>0</v>
      </c>
      <c r="BD81" s="511">
        <v>0</v>
      </c>
      <c r="BE81" s="511">
        <v>0</v>
      </c>
      <c r="BF81" s="511">
        <v>0</v>
      </c>
      <c r="BG81" s="512">
        <f t="shared" si="61"/>
        <v>0</v>
      </c>
      <c r="BH81" s="511">
        <v>0</v>
      </c>
      <c r="BI81" s="511">
        <v>0</v>
      </c>
      <c r="BJ81" s="511">
        <v>0</v>
      </c>
      <c r="BK81" s="512">
        <f t="shared" si="62"/>
        <v>0</v>
      </c>
      <c r="BL81" s="511">
        <v>0</v>
      </c>
      <c r="BM81" s="511">
        <v>0</v>
      </c>
      <c r="BN81" s="511">
        <v>0</v>
      </c>
      <c r="BO81" s="512">
        <f t="shared" si="63"/>
        <v>0</v>
      </c>
      <c r="BP81" s="511">
        <v>0</v>
      </c>
      <c r="BQ81" s="511">
        <v>0</v>
      </c>
      <c r="BR81" s="511">
        <v>0</v>
      </c>
      <c r="BS81" s="512">
        <f t="shared" si="64"/>
        <v>0</v>
      </c>
      <c r="BT81" s="513"/>
      <c r="BU81" s="748">
        <v>0</v>
      </c>
      <c r="BV81" s="752">
        <v>0</v>
      </c>
      <c r="BW81" s="752">
        <v>0</v>
      </c>
      <c r="BX81" s="752">
        <v>0</v>
      </c>
      <c r="BY81" s="752">
        <v>0</v>
      </c>
      <c r="BZ81" s="752">
        <v>0</v>
      </c>
      <c r="CA81" s="753">
        <f t="shared" si="14"/>
        <v>0</v>
      </c>
      <c r="CB81" s="754" t="e">
        <f t="shared" si="15"/>
        <v>#DIV/0!</v>
      </c>
    </row>
    <row r="82" spans="1:80" s="459" customFormat="1" ht="22.5">
      <c r="A82" s="606" t="s">
        <v>96</v>
      </c>
      <c r="B82" s="805"/>
      <c r="C82" s="659" t="s">
        <v>537</v>
      </c>
      <c r="D82" s="638" t="s">
        <v>471</v>
      </c>
      <c r="E82" s="586" t="s">
        <v>472</v>
      </c>
      <c r="F82" s="587">
        <v>0</v>
      </c>
      <c r="G82" s="588">
        <v>0</v>
      </c>
      <c r="H82" s="587">
        <v>0</v>
      </c>
      <c r="I82" s="589">
        <f>F82*G82</f>
        <v>0</v>
      </c>
      <c r="J82" s="590">
        <v>0</v>
      </c>
      <c r="K82" s="590">
        <v>0</v>
      </c>
      <c r="L82" s="590">
        <v>0</v>
      </c>
      <c r="M82" s="657">
        <f t="shared" si="65"/>
        <v>0</v>
      </c>
      <c r="N82" s="658">
        <f t="shared" si="56"/>
        <v>0</v>
      </c>
      <c r="O82" s="536">
        <f t="shared" si="6"/>
        <v>0</v>
      </c>
      <c r="P82" s="536">
        <f t="shared" si="7"/>
        <v>0</v>
      </c>
      <c r="Q82" s="536">
        <f t="shared" si="8"/>
        <v>0</v>
      </c>
      <c r="R82" s="525">
        <f t="shared" si="57"/>
        <v>0</v>
      </c>
      <c r="S82" s="525">
        <f t="shared" si="58"/>
        <v>0</v>
      </c>
      <c r="T82" s="475" t="e">
        <f t="shared" si="59"/>
        <v>#DIV/0!</v>
      </c>
      <c r="U82" s="476"/>
      <c r="V82" s="476"/>
      <c r="W82" s="476"/>
      <c r="X82" s="476"/>
      <c r="Y82" s="476"/>
      <c r="Z82" s="476"/>
      <c r="AA82" s="476"/>
      <c r="AB82" s="476"/>
      <c r="AC82" s="476"/>
      <c r="AD82" s="476"/>
      <c r="AE82" s="476"/>
      <c r="AF82" s="476"/>
      <c r="AG82" s="535">
        <f t="shared" si="60"/>
        <v>287.32</v>
      </c>
      <c r="AH82" s="535">
        <f t="shared" si="20"/>
        <v>-287.32</v>
      </c>
      <c r="AI82" s="477" t="e">
        <f t="shared" si="9"/>
        <v>#DIV/0!</v>
      </c>
      <c r="AJ82" s="461"/>
      <c r="AK82" s="511">
        <v>0</v>
      </c>
      <c r="AL82" s="511">
        <v>0</v>
      </c>
      <c r="AM82" s="511">
        <v>0</v>
      </c>
      <c r="AN82" s="511">
        <v>0</v>
      </c>
      <c r="AO82" s="512">
        <f t="shared" si="10"/>
        <v>0</v>
      </c>
      <c r="AP82" s="511">
        <v>0</v>
      </c>
      <c r="AQ82" s="511">
        <v>0</v>
      </c>
      <c r="AR82" s="511">
        <v>0</v>
      </c>
      <c r="AS82" s="512">
        <f t="shared" si="11"/>
        <v>0</v>
      </c>
      <c r="AT82" s="511">
        <v>0</v>
      </c>
      <c r="AU82" s="511">
        <v>0</v>
      </c>
      <c r="AV82" s="511">
        <v>0</v>
      </c>
      <c r="AW82" s="512">
        <f t="shared" si="12"/>
        <v>0</v>
      </c>
      <c r="AX82" s="511">
        <v>0</v>
      </c>
      <c r="AY82" s="511">
        <v>287.32</v>
      </c>
      <c r="AZ82" s="511">
        <v>0</v>
      </c>
      <c r="BA82" s="512">
        <f t="shared" si="13"/>
        <v>287.32</v>
      </c>
      <c r="BB82" s="513"/>
      <c r="BC82" s="511">
        <v>0</v>
      </c>
      <c r="BD82" s="511">
        <v>0</v>
      </c>
      <c r="BE82" s="511">
        <v>0</v>
      </c>
      <c r="BF82" s="511">
        <v>0</v>
      </c>
      <c r="BG82" s="512">
        <f t="shared" si="61"/>
        <v>0</v>
      </c>
      <c r="BH82" s="511">
        <v>0</v>
      </c>
      <c r="BI82" s="511">
        <v>0</v>
      </c>
      <c r="BJ82" s="511">
        <v>0</v>
      </c>
      <c r="BK82" s="512">
        <f t="shared" si="62"/>
        <v>0</v>
      </c>
      <c r="BL82" s="511">
        <v>0</v>
      </c>
      <c r="BM82" s="511">
        <v>0</v>
      </c>
      <c r="BN82" s="511">
        <v>0</v>
      </c>
      <c r="BO82" s="512">
        <f t="shared" si="63"/>
        <v>0</v>
      </c>
      <c r="BP82" s="511">
        <v>0</v>
      </c>
      <c r="BQ82" s="511">
        <v>0</v>
      </c>
      <c r="BR82" s="511">
        <v>0</v>
      </c>
      <c r="BS82" s="512">
        <f t="shared" si="64"/>
        <v>0</v>
      </c>
      <c r="BT82" s="513"/>
      <c r="BU82" s="748">
        <f>0-287</f>
        <v>-287</v>
      </c>
      <c r="BV82" s="752">
        <v>0</v>
      </c>
      <c r="BW82" s="752">
        <v>0</v>
      </c>
      <c r="BX82" s="752">
        <v>0</v>
      </c>
      <c r="BY82" s="752">
        <v>0</v>
      </c>
      <c r="BZ82" s="752">
        <v>0</v>
      </c>
      <c r="CA82" s="753">
        <f t="shared" si="14"/>
        <v>0</v>
      </c>
      <c r="CB82" s="754">
        <f t="shared" si="15"/>
        <v>0</v>
      </c>
    </row>
    <row r="83" spans="1:80" s="459" customFormat="1" ht="22.5">
      <c r="A83" s="606" t="s">
        <v>97</v>
      </c>
      <c r="B83" s="805"/>
      <c r="C83" s="659" t="s">
        <v>537</v>
      </c>
      <c r="D83" s="638" t="s">
        <v>471</v>
      </c>
      <c r="E83" s="586" t="s">
        <v>472</v>
      </c>
      <c r="F83" s="587">
        <v>0</v>
      </c>
      <c r="G83" s="588">
        <v>0</v>
      </c>
      <c r="H83" s="587">
        <v>0</v>
      </c>
      <c r="I83" s="589">
        <f>F83*G83</f>
        <v>0</v>
      </c>
      <c r="J83" s="590">
        <v>0</v>
      </c>
      <c r="K83" s="590">
        <v>0</v>
      </c>
      <c r="L83" s="590">
        <v>0</v>
      </c>
      <c r="M83" s="657">
        <f t="shared" si="65"/>
        <v>0</v>
      </c>
      <c r="N83" s="658">
        <f t="shared" si="56"/>
        <v>0</v>
      </c>
      <c r="O83" s="536">
        <f t="shared" si="6"/>
        <v>0</v>
      </c>
      <c r="P83" s="536">
        <f t="shared" si="7"/>
        <v>0</v>
      </c>
      <c r="Q83" s="536">
        <f t="shared" si="8"/>
        <v>0</v>
      </c>
      <c r="R83" s="525">
        <f t="shared" si="57"/>
        <v>0</v>
      </c>
      <c r="S83" s="525">
        <f t="shared" si="58"/>
        <v>0</v>
      </c>
      <c r="T83" s="475" t="e">
        <f t="shared" si="59"/>
        <v>#DIV/0!</v>
      </c>
      <c r="U83" s="476"/>
      <c r="V83" s="476"/>
      <c r="W83" s="476"/>
      <c r="X83" s="476"/>
      <c r="Y83" s="476"/>
      <c r="Z83" s="476"/>
      <c r="AA83" s="476"/>
      <c r="AB83" s="476"/>
      <c r="AC83" s="476"/>
      <c r="AD83" s="476"/>
      <c r="AE83" s="476"/>
      <c r="AF83" s="476"/>
      <c r="AG83" s="535">
        <f t="shared" si="60"/>
        <v>0</v>
      </c>
      <c r="AH83" s="535">
        <f t="shared" si="20"/>
        <v>0</v>
      </c>
      <c r="AI83" s="477" t="e">
        <f t="shared" si="9"/>
        <v>#DIV/0!</v>
      </c>
      <c r="AJ83" s="461"/>
      <c r="AK83" s="511">
        <v>0</v>
      </c>
      <c r="AL83" s="511">
        <v>0</v>
      </c>
      <c r="AM83" s="511">
        <v>0</v>
      </c>
      <c r="AN83" s="511">
        <v>0</v>
      </c>
      <c r="AO83" s="512">
        <f t="shared" si="10"/>
        <v>0</v>
      </c>
      <c r="AP83" s="511">
        <v>0</v>
      </c>
      <c r="AQ83" s="511">
        <v>0</v>
      </c>
      <c r="AR83" s="511">
        <v>0</v>
      </c>
      <c r="AS83" s="512">
        <f t="shared" si="11"/>
        <v>0</v>
      </c>
      <c r="AT83" s="511">
        <v>0</v>
      </c>
      <c r="AU83" s="511">
        <v>0</v>
      </c>
      <c r="AV83" s="511">
        <v>0</v>
      </c>
      <c r="AW83" s="512">
        <f t="shared" si="12"/>
        <v>0</v>
      </c>
      <c r="AX83" s="511">
        <v>0</v>
      </c>
      <c r="AY83" s="511">
        <v>0</v>
      </c>
      <c r="AZ83" s="511">
        <v>0</v>
      </c>
      <c r="BA83" s="512">
        <f t="shared" si="13"/>
        <v>0</v>
      </c>
      <c r="BB83" s="513"/>
      <c r="BC83" s="511">
        <v>0</v>
      </c>
      <c r="BD83" s="511">
        <v>0</v>
      </c>
      <c r="BE83" s="511">
        <v>0</v>
      </c>
      <c r="BF83" s="511">
        <v>0</v>
      </c>
      <c r="BG83" s="512">
        <f t="shared" si="61"/>
        <v>0</v>
      </c>
      <c r="BH83" s="511">
        <v>0</v>
      </c>
      <c r="BI83" s="511">
        <v>0</v>
      </c>
      <c r="BJ83" s="511">
        <v>0</v>
      </c>
      <c r="BK83" s="512">
        <f t="shared" si="62"/>
        <v>0</v>
      </c>
      <c r="BL83" s="511">
        <v>0</v>
      </c>
      <c r="BM83" s="511">
        <v>0</v>
      </c>
      <c r="BN83" s="511">
        <v>0</v>
      </c>
      <c r="BO83" s="512">
        <f t="shared" si="63"/>
        <v>0</v>
      </c>
      <c r="BP83" s="511">
        <v>0</v>
      </c>
      <c r="BQ83" s="511">
        <v>0</v>
      </c>
      <c r="BR83" s="511">
        <v>0</v>
      </c>
      <c r="BS83" s="512">
        <f t="shared" si="64"/>
        <v>0</v>
      </c>
      <c r="BT83" s="513"/>
      <c r="BU83" s="748">
        <v>0</v>
      </c>
      <c r="BV83" s="752">
        <v>0</v>
      </c>
      <c r="BW83" s="752">
        <v>0</v>
      </c>
      <c r="BX83" s="752">
        <v>0</v>
      </c>
      <c r="BY83" s="752">
        <v>0</v>
      </c>
      <c r="BZ83" s="752">
        <v>0</v>
      </c>
      <c r="CA83" s="753">
        <f t="shared" si="14"/>
        <v>0</v>
      </c>
      <c r="CB83" s="754" t="e">
        <f t="shared" si="15"/>
        <v>#DIV/0!</v>
      </c>
    </row>
    <row r="84" spans="1:80" s="459" customFormat="1" ht="15.75">
      <c r="A84" s="606" t="s">
        <v>98</v>
      </c>
      <c r="B84" s="805"/>
      <c r="C84" s="592" t="s">
        <v>538</v>
      </c>
      <c r="D84" s="638" t="s">
        <v>471</v>
      </c>
      <c r="E84" s="586" t="s">
        <v>539</v>
      </c>
      <c r="F84" s="587">
        <v>0</v>
      </c>
      <c r="G84" s="588">
        <v>0</v>
      </c>
      <c r="H84" s="587">
        <v>0</v>
      </c>
      <c r="I84" s="589">
        <f>F84*G84</f>
        <v>0</v>
      </c>
      <c r="J84" s="590">
        <v>0</v>
      </c>
      <c r="K84" s="590">
        <v>0</v>
      </c>
      <c r="L84" s="590">
        <v>0</v>
      </c>
      <c r="M84" s="657">
        <f t="shared" si="65"/>
        <v>0</v>
      </c>
      <c r="N84" s="658">
        <f t="shared" si="56"/>
        <v>0</v>
      </c>
      <c r="O84" s="536">
        <f t="shared" si="6"/>
        <v>0</v>
      </c>
      <c r="P84" s="536">
        <f t="shared" si="7"/>
        <v>0</v>
      </c>
      <c r="Q84" s="536">
        <f t="shared" si="8"/>
        <v>0</v>
      </c>
      <c r="R84" s="525">
        <f t="shared" si="57"/>
        <v>0</v>
      </c>
      <c r="S84" s="525">
        <f t="shared" si="58"/>
        <v>0</v>
      </c>
      <c r="T84" s="475" t="e">
        <f t="shared" si="59"/>
        <v>#DIV/0!</v>
      </c>
      <c r="U84" s="476"/>
      <c r="V84" s="476"/>
      <c r="W84" s="476"/>
      <c r="X84" s="476"/>
      <c r="Y84" s="476"/>
      <c r="Z84" s="476"/>
      <c r="AA84" s="476"/>
      <c r="AB84" s="476"/>
      <c r="AC84" s="476"/>
      <c r="AD84" s="476"/>
      <c r="AE84" s="476"/>
      <c r="AF84" s="476"/>
      <c r="AG84" s="535">
        <f t="shared" si="60"/>
        <v>0</v>
      </c>
      <c r="AH84" s="535">
        <f t="shared" si="20"/>
        <v>0</v>
      </c>
      <c r="AI84" s="477" t="e">
        <f t="shared" si="9"/>
        <v>#DIV/0!</v>
      </c>
      <c r="AJ84" s="461"/>
      <c r="AK84" s="511">
        <v>0</v>
      </c>
      <c r="AL84" s="511">
        <v>0</v>
      </c>
      <c r="AM84" s="511">
        <v>0</v>
      </c>
      <c r="AN84" s="511">
        <v>0</v>
      </c>
      <c r="AO84" s="512">
        <f t="shared" si="10"/>
        <v>0</v>
      </c>
      <c r="AP84" s="511">
        <v>0</v>
      </c>
      <c r="AQ84" s="511">
        <v>0</v>
      </c>
      <c r="AR84" s="511">
        <v>0</v>
      </c>
      <c r="AS84" s="512">
        <f t="shared" si="11"/>
        <v>0</v>
      </c>
      <c r="AT84" s="511">
        <v>0</v>
      </c>
      <c r="AU84" s="511">
        <v>0</v>
      </c>
      <c r="AV84" s="511">
        <v>0</v>
      </c>
      <c r="AW84" s="512">
        <f t="shared" si="12"/>
        <v>0</v>
      </c>
      <c r="AX84" s="511">
        <v>0</v>
      </c>
      <c r="AY84" s="511">
        <v>0</v>
      </c>
      <c r="AZ84" s="511">
        <v>0</v>
      </c>
      <c r="BA84" s="512">
        <f t="shared" si="13"/>
        <v>0</v>
      </c>
      <c r="BB84" s="513"/>
      <c r="BC84" s="511">
        <v>0</v>
      </c>
      <c r="BD84" s="511">
        <v>0</v>
      </c>
      <c r="BE84" s="511">
        <v>0</v>
      </c>
      <c r="BF84" s="511">
        <v>0</v>
      </c>
      <c r="BG84" s="512">
        <f t="shared" si="61"/>
        <v>0</v>
      </c>
      <c r="BH84" s="511">
        <v>0</v>
      </c>
      <c r="BI84" s="511">
        <v>0</v>
      </c>
      <c r="BJ84" s="511">
        <v>0</v>
      </c>
      <c r="BK84" s="512">
        <f t="shared" si="62"/>
        <v>0</v>
      </c>
      <c r="BL84" s="511">
        <v>0</v>
      </c>
      <c r="BM84" s="511">
        <v>0</v>
      </c>
      <c r="BN84" s="511">
        <v>0</v>
      </c>
      <c r="BO84" s="512">
        <f t="shared" si="63"/>
        <v>0</v>
      </c>
      <c r="BP84" s="511">
        <v>0</v>
      </c>
      <c r="BQ84" s="511">
        <v>0</v>
      </c>
      <c r="BR84" s="511">
        <v>0</v>
      </c>
      <c r="BS84" s="512">
        <f t="shared" si="64"/>
        <v>0</v>
      </c>
      <c r="BT84" s="513"/>
      <c r="BU84" s="748">
        <v>0</v>
      </c>
      <c r="BV84" s="752">
        <v>0</v>
      </c>
      <c r="BW84" s="752">
        <v>0</v>
      </c>
      <c r="BX84" s="752">
        <v>0</v>
      </c>
      <c r="BY84" s="752">
        <v>0</v>
      </c>
      <c r="BZ84" s="752">
        <v>0</v>
      </c>
      <c r="CA84" s="753">
        <f t="shared" si="14"/>
        <v>0</v>
      </c>
      <c r="CB84" s="754" t="e">
        <f t="shared" si="15"/>
        <v>#DIV/0!</v>
      </c>
    </row>
    <row r="85" spans="1:80" s="459" customFormat="1" ht="15.75">
      <c r="A85" s="606" t="s">
        <v>99</v>
      </c>
      <c r="B85" s="805"/>
      <c r="C85" s="592" t="s">
        <v>540</v>
      </c>
      <c r="D85" s="638" t="s">
        <v>471</v>
      </c>
      <c r="E85" s="586" t="s">
        <v>539</v>
      </c>
      <c r="F85" s="587">
        <v>0</v>
      </c>
      <c r="G85" s="588">
        <v>0</v>
      </c>
      <c r="H85" s="587">
        <v>0</v>
      </c>
      <c r="I85" s="589">
        <f>F85*G85</f>
        <v>0</v>
      </c>
      <c r="J85" s="590">
        <v>0</v>
      </c>
      <c r="K85" s="590">
        <v>0</v>
      </c>
      <c r="L85" s="590">
        <v>0</v>
      </c>
      <c r="M85" s="657">
        <f t="shared" si="65"/>
        <v>0</v>
      </c>
      <c r="N85" s="658">
        <f t="shared" si="56"/>
        <v>0</v>
      </c>
      <c r="O85" s="536">
        <f t="shared" si="6"/>
        <v>0</v>
      </c>
      <c r="P85" s="536">
        <f t="shared" si="7"/>
        <v>0</v>
      </c>
      <c r="Q85" s="536">
        <f t="shared" si="8"/>
        <v>0</v>
      </c>
      <c r="R85" s="525">
        <f t="shared" si="57"/>
        <v>12.8</v>
      </c>
      <c r="S85" s="525">
        <f t="shared" si="58"/>
        <v>-12.8</v>
      </c>
      <c r="T85" s="475" t="e">
        <f t="shared" si="59"/>
        <v>#DIV/0!</v>
      </c>
      <c r="U85" s="476"/>
      <c r="V85" s="476"/>
      <c r="W85" s="476"/>
      <c r="X85" s="476"/>
      <c r="Y85" s="476"/>
      <c r="Z85" s="476"/>
      <c r="AA85" s="476"/>
      <c r="AB85" s="476"/>
      <c r="AC85" s="476"/>
      <c r="AD85" s="476"/>
      <c r="AE85" s="476"/>
      <c r="AF85" s="476"/>
      <c r="AG85" s="535">
        <f t="shared" si="60"/>
        <v>12.8</v>
      </c>
      <c r="AH85" s="535">
        <f t="shared" si="20"/>
        <v>-12.8</v>
      </c>
      <c r="AI85" s="477" t="e">
        <f t="shared" si="9"/>
        <v>#DIV/0!</v>
      </c>
      <c r="AJ85" s="461"/>
      <c r="AK85" s="511">
        <v>0</v>
      </c>
      <c r="AL85" s="511">
        <v>0</v>
      </c>
      <c r="AM85" s="511">
        <v>0</v>
      </c>
      <c r="AN85" s="511">
        <v>0</v>
      </c>
      <c r="AO85" s="512">
        <f t="shared" si="10"/>
        <v>0</v>
      </c>
      <c r="AP85" s="511">
        <v>0</v>
      </c>
      <c r="AQ85" s="511">
        <v>0</v>
      </c>
      <c r="AR85" s="511">
        <v>0</v>
      </c>
      <c r="AS85" s="512">
        <f t="shared" si="11"/>
        <v>0</v>
      </c>
      <c r="AT85" s="511">
        <v>0</v>
      </c>
      <c r="AU85" s="511">
        <v>0</v>
      </c>
      <c r="AV85" s="511">
        <v>0</v>
      </c>
      <c r="AW85" s="512">
        <f t="shared" si="12"/>
        <v>0</v>
      </c>
      <c r="AX85" s="511">
        <v>0</v>
      </c>
      <c r="AY85" s="511">
        <v>0</v>
      </c>
      <c r="AZ85" s="511">
        <v>0</v>
      </c>
      <c r="BA85" s="512">
        <f t="shared" si="13"/>
        <v>0</v>
      </c>
      <c r="BB85" s="513"/>
      <c r="BC85" s="511">
        <v>0</v>
      </c>
      <c r="BD85" s="511">
        <v>0</v>
      </c>
      <c r="BE85" s="511">
        <v>0</v>
      </c>
      <c r="BF85" s="511">
        <v>0</v>
      </c>
      <c r="BG85" s="512">
        <f t="shared" si="61"/>
        <v>0</v>
      </c>
      <c r="BH85" s="511">
        <v>0</v>
      </c>
      <c r="BI85" s="511">
        <v>0</v>
      </c>
      <c r="BJ85" s="511">
        <v>0</v>
      </c>
      <c r="BK85" s="512">
        <f t="shared" si="62"/>
        <v>0</v>
      </c>
      <c r="BL85" s="511">
        <v>0</v>
      </c>
      <c r="BM85" s="511">
        <v>0</v>
      </c>
      <c r="BN85" s="511">
        <v>12.8</v>
      </c>
      <c r="BO85" s="512">
        <f t="shared" si="63"/>
        <v>12.8</v>
      </c>
      <c r="BP85" s="511">
        <v>0</v>
      </c>
      <c r="BQ85" s="511">
        <v>0</v>
      </c>
      <c r="BR85" s="511">
        <v>0</v>
      </c>
      <c r="BS85" s="512">
        <f t="shared" si="64"/>
        <v>0</v>
      </c>
      <c r="BT85" s="513"/>
      <c r="BU85" s="748">
        <f>0-13</f>
        <v>-13</v>
      </c>
      <c r="BV85" s="752">
        <v>0</v>
      </c>
      <c r="BW85" s="752">
        <v>0</v>
      </c>
      <c r="BX85" s="752">
        <v>0</v>
      </c>
      <c r="BY85" s="752">
        <v>0</v>
      </c>
      <c r="BZ85" s="752">
        <v>0</v>
      </c>
      <c r="CA85" s="753">
        <f t="shared" si="14"/>
        <v>0</v>
      </c>
      <c r="CB85" s="754">
        <f t="shared" si="15"/>
        <v>0</v>
      </c>
    </row>
    <row r="86" spans="1:80" s="459" customFormat="1" ht="22.5" customHeight="1">
      <c r="A86" s="484" t="s">
        <v>88</v>
      </c>
      <c r="B86" s="807"/>
      <c r="C86" s="661" t="s">
        <v>541</v>
      </c>
      <c r="D86" s="637" t="s">
        <v>471</v>
      </c>
      <c r="E86" s="469" t="s">
        <v>367</v>
      </c>
      <c r="F86" s="579">
        <v>1</v>
      </c>
      <c r="G86" s="580">
        <v>15000</v>
      </c>
      <c r="H86" s="579">
        <v>1</v>
      </c>
      <c r="I86" s="581">
        <f>F86*G86*H86</f>
        <v>15000</v>
      </c>
      <c r="J86" s="590">
        <v>0</v>
      </c>
      <c r="K86" s="590">
        <v>0</v>
      </c>
      <c r="L86" s="590">
        <v>0</v>
      </c>
      <c r="M86" s="644">
        <f t="shared" si="65"/>
        <v>0</v>
      </c>
      <c r="N86" s="591">
        <f t="shared" si="56"/>
        <v>15000</v>
      </c>
      <c r="O86" s="536">
        <f t="shared" si="6"/>
        <v>11538.461538461537</v>
      </c>
      <c r="P86" s="536">
        <f t="shared" si="7"/>
        <v>0</v>
      </c>
      <c r="Q86" s="536">
        <f t="shared" si="8"/>
        <v>11538.461538461537</v>
      </c>
      <c r="R86" s="525">
        <f t="shared" si="57"/>
        <v>7277.25</v>
      </c>
      <c r="S86" s="525">
        <f t="shared" si="58"/>
        <v>-7277.25</v>
      </c>
      <c r="T86" s="475" t="e">
        <f t="shared" si="59"/>
        <v>#DIV/0!</v>
      </c>
      <c r="U86" s="476"/>
      <c r="V86" s="476"/>
      <c r="W86" s="476"/>
      <c r="X86" s="476"/>
      <c r="Y86" s="476"/>
      <c r="Z86" s="476"/>
      <c r="AA86" s="476"/>
      <c r="AB86" s="476"/>
      <c r="AC86" s="476"/>
      <c r="AD86" s="476"/>
      <c r="AE86" s="476"/>
      <c r="AF86" s="476"/>
      <c r="AG86" s="535">
        <f t="shared" si="60"/>
        <v>15742.43</v>
      </c>
      <c r="AH86" s="535">
        <f t="shared" si="20"/>
        <v>-742.4300000000003</v>
      </c>
      <c r="AI86" s="477">
        <f t="shared" si="9"/>
        <v>1.0494953333333334</v>
      </c>
      <c r="AJ86" s="461"/>
      <c r="AK86" s="511">
        <v>0</v>
      </c>
      <c r="AL86" s="511">
        <v>0</v>
      </c>
      <c r="AM86" s="511">
        <v>0</v>
      </c>
      <c r="AN86" s="511">
        <v>0</v>
      </c>
      <c r="AO86" s="512">
        <f t="shared" si="10"/>
        <v>0</v>
      </c>
      <c r="AP86" s="511">
        <v>0</v>
      </c>
      <c r="AQ86" s="511">
        <v>0</v>
      </c>
      <c r="AR86" s="511">
        <v>0</v>
      </c>
      <c r="AS86" s="512">
        <f t="shared" si="11"/>
        <v>0</v>
      </c>
      <c r="AT86" s="511">
        <v>0</v>
      </c>
      <c r="AU86" s="511">
        <v>8465.18</v>
      </c>
      <c r="AV86" s="511">
        <v>0</v>
      </c>
      <c r="AW86" s="512">
        <f t="shared" si="12"/>
        <v>8465.18</v>
      </c>
      <c r="AX86" s="511">
        <v>0</v>
      </c>
      <c r="AY86" s="511">
        <v>0</v>
      </c>
      <c r="AZ86" s="511">
        <v>0</v>
      </c>
      <c r="BA86" s="512">
        <f t="shared" si="13"/>
        <v>0</v>
      </c>
      <c r="BB86" s="513"/>
      <c r="BC86" s="511">
        <v>7277.25</v>
      </c>
      <c r="BD86" s="511">
        <v>0</v>
      </c>
      <c r="BE86" s="511">
        <v>0</v>
      </c>
      <c r="BF86" s="511">
        <v>0</v>
      </c>
      <c r="BG86" s="512">
        <f t="shared" si="61"/>
        <v>7277.25</v>
      </c>
      <c r="BH86" s="511">
        <v>0</v>
      </c>
      <c r="BI86" s="511">
        <v>0</v>
      </c>
      <c r="BJ86" s="511">
        <v>0</v>
      </c>
      <c r="BK86" s="512">
        <f t="shared" si="62"/>
        <v>0</v>
      </c>
      <c r="BL86" s="511">
        <v>0</v>
      </c>
      <c r="BM86" s="511">
        <v>0</v>
      </c>
      <c r="BN86" s="511">
        <v>0</v>
      </c>
      <c r="BO86" s="512">
        <f t="shared" si="63"/>
        <v>0</v>
      </c>
      <c r="BP86" s="511">
        <v>0</v>
      </c>
      <c r="BQ86" s="511">
        <v>0</v>
      </c>
      <c r="BR86" s="511">
        <v>0</v>
      </c>
      <c r="BS86" s="512">
        <f t="shared" si="64"/>
        <v>0</v>
      </c>
      <c r="BT86" s="513"/>
      <c r="BU86" s="748">
        <f>0-742</f>
        <v>-742</v>
      </c>
      <c r="BV86" s="752">
        <v>0</v>
      </c>
      <c r="BW86" s="752">
        <v>0</v>
      </c>
      <c r="BX86" s="752">
        <v>0</v>
      </c>
      <c r="BY86" s="752">
        <v>0</v>
      </c>
      <c r="BZ86" s="752">
        <v>0</v>
      </c>
      <c r="CA86" s="753">
        <f t="shared" si="14"/>
        <v>0</v>
      </c>
      <c r="CB86" s="754">
        <f t="shared" si="15"/>
        <v>0</v>
      </c>
    </row>
    <row r="87" spans="1:80" s="460" customFormat="1" ht="15.75">
      <c r="A87" s="593"/>
      <c r="B87" s="594"/>
      <c r="C87" s="595" t="s">
        <v>0</v>
      </c>
      <c r="D87" s="596" t="s">
        <v>0</v>
      </c>
      <c r="E87" s="597"/>
      <c r="F87" s="598"/>
      <c r="G87" s="599"/>
      <c r="H87" s="598"/>
      <c r="I87" s="639">
        <f>SUM(I71:I86)</f>
        <v>23745</v>
      </c>
      <c r="J87" s="601"/>
      <c r="K87" s="601"/>
      <c r="L87" s="601"/>
      <c r="M87" s="639">
        <f>SUM(M71:M86)</f>
        <v>92175</v>
      </c>
      <c r="N87" s="639">
        <f>SUM(N71:N86)</f>
        <v>115920</v>
      </c>
      <c r="O87" s="639">
        <f aca="true" t="shared" si="66" ref="O87:BA87">SUM(O71:O86)</f>
        <v>18265.384615384613</v>
      </c>
      <c r="P87" s="639">
        <f t="shared" si="66"/>
        <v>70903.84615384616</v>
      </c>
      <c r="Q87" s="639">
        <f t="shared" si="66"/>
        <v>89169.23076923077</v>
      </c>
      <c r="R87" s="639">
        <f>SUM(R71:R86)</f>
        <v>21314.51</v>
      </c>
      <c r="S87" s="639">
        <f t="shared" si="66"/>
        <v>70860.49</v>
      </c>
      <c r="T87" s="729">
        <f>R87/I87</f>
        <v>0.8976420299010317</v>
      </c>
      <c r="U87" s="639">
        <f t="shared" si="66"/>
        <v>0</v>
      </c>
      <c r="V87" s="639">
        <f t="shared" si="66"/>
        <v>0</v>
      </c>
      <c r="W87" s="639">
        <f t="shared" si="66"/>
        <v>0</v>
      </c>
      <c r="X87" s="639">
        <f t="shared" si="66"/>
        <v>0</v>
      </c>
      <c r="Y87" s="639">
        <f t="shared" si="66"/>
        <v>0</v>
      </c>
      <c r="Z87" s="639">
        <f t="shared" si="66"/>
        <v>0</v>
      </c>
      <c r="AA87" s="639">
        <f t="shared" si="66"/>
        <v>0</v>
      </c>
      <c r="AB87" s="639">
        <f t="shared" si="66"/>
        <v>0</v>
      </c>
      <c r="AC87" s="639">
        <f t="shared" si="66"/>
        <v>0</v>
      </c>
      <c r="AD87" s="639">
        <f t="shared" si="66"/>
        <v>0</v>
      </c>
      <c r="AE87" s="639">
        <f t="shared" si="66"/>
        <v>0</v>
      </c>
      <c r="AF87" s="639">
        <f t="shared" si="66"/>
        <v>0</v>
      </c>
      <c r="AG87" s="639">
        <f t="shared" si="66"/>
        <v>30067.01</v>
      </c>
      <c r="AH87" s="639">
        <f t="shared" si="66"/>
        <v>85852.98999999999</v>
      </c>
      <c r="AI87" s="729">
        <f t="shared" si="9"/>
        <v>0.25937724292615594</v>
      </c>
      <c r="AJ87" s="639">
        <f t="shared" si="66"/>
        <v>0</v>
      </c>
      <c r="AK87" s="639">
        <f>SUM(AK71:AK86)</f>
        <v>0</v>
      </c>
      <c r="AL87" s="639">
        <f t="shared" si="66"/>
        <v>498.41</v>
      </c>
      <c r="AM87" s="639">
        <f t="shared" si="66"/>
        <v>-498.41</v>
      </c>
      <c r="AN87" s="639">
        <f t="shared" si="66"/>
        <v>0</v>
      </c>
      <c r="AO87" s="639">
        <f t="shared" si="66"/>
        <v>0</v>
      </c>
      <c r="AP87" s="639">
        <f t="shared" si="66"/>
        <v>0</v>
      </c>
      <c r="AQ87" s="639">
        <f t="shared" si="66"/>
        <v>0</v>
      </c>
      <c r="AR87" s="639">
        <f t="shared" si="66"/>
        <v>0</v>
      </c>
      <c r="AS87" s="639">
        <f t="shared" si="66"/>
        <v>0</v>
      </c>
      <c r="AT87" s="639">
        <f t="shared" si="66"/>
        <v>0</v>
      </c>
      <c r="AU87" s="639">
        <f t="shared" si="66"/>
        <v>8465.18</v>
      </c>
      <c r="AV87" s="639">
        <f t="shared" si="66"/>
        <v>0</v>
      </c>
      <c r="AW87" s="639">
        <f t="shared" si="66"/>
        <v>8465.18</v>
      </c>
      <c r="AX87" s="639">
        <f t="shared" si="66"/>
        <v>0</v>
      </c>
      <c r="AY87" s="639">
        <f t="shared" si="66"/>
        <v>287.32</v>
      </c>
      <c r="AZ87" s="639">
        <f t="shared" si="66"/>
        <v>0</v>
      </c>
      <c r="BA87" s="639">
        <f t="shared" si="66"/>
        <v>287.32</v>
      </c>
      <c r="BB87" s="513"/>
      <c r="BC87" s="639">
        <f>SUM(BC71:BC86)</f>
        <v>7287.24</v>
      </c>
      <c r="BD87" s="639">
        <f aca="true" t="shared" si="67" ref="BD87:BS87">SUM(BD71:BD86)</f>
        <v>1545.99</v>
      </c>
      <c r="BE87" s="639">
        <f t="shared" si="67"/>
        <v>0</v>
      </c>
      <c r="BF87" s="639">
        <f t="shared" si="67"/>
        <v>0</v>
      </c>
      <c r="BG87" s="639">
        <f t="shared" si="67"/>
        <v>8833.23</v>
      </c>
      <c r="BH87" s="639">
        <f t="shared" si="67"/>
        <v>5955.25</v>
      </c>
      <c r="BI87" s="639">
        <f t="shared" si="67"/>
        <v>0</v>
      </c>
      <c r="BJ87" s="639">
        <f t="shared" si="67"/>
        <v>0</v>
      </c>
      <c r="BK87" s="639">
        <f t="shared" si="67"/>
        <v>5955.25</v>
      </c>
      <c r="BL87" s="639">
        <f t="shared" si="67"/>
        <v>0</v>
      </c>
      <c r="BM87" s="639">
        <f t="shared" si="67"/>
        <v>6073.43</v>
      </c>
      <c r="BN87" s="639">
        <f t="shared" si="67"/>
        <v>12.8</v>
      </c>
      <c r="BO87" s="639">
        <f t="shared" si="67"/>
        <v>6086.2300000000005</v>
      </c>
      <c r="BP87" s="639">
        <f t="shared" si="67"/>
        <v>439.8</v>
      </c>
      <c r="BQ87" s="639">
        <f t="shared" si="67"/>
        <v>0</v>
      </c>
      <c r="BR87" s="639">
        <f t="shared" si="67"/>
        <v>0</v>
      </c>
      <c r="BS87" s="639">
        <f t="shared" si="67"/>
        <v>439.8</v>
      </c>
      <c r="BT87" s="513"/>
      <c r="BU87" s="781">
        <f aca="true" t="shared" si="68" ref="BU87:BZ87">SUM(BU71:BU86)</f>
        <v>85854</v>
      </c>
      <c r="BV87" s="738">
        <f t="shared" si="68"/>
        <v>29435</v>
      </c>
      <c r="BW87" s="738">
        <f t="shared" si="68"/>
        <v>36500</v>
      </c>
      <c r="BX87" s="738">
        <f t="shared" si="68"/>
        <v>15000</v>
      </c>
      <c r="BY87" s="738">
        <f t="shared" si="68"/>
        <v>10780</v>
      </c>
      <c r="BZ87" s="738">
        <f t="shared" si="68"/>
        <v>0</v>
      </c>
      <c r="CA87" s="755">
        <f t="shared" si="14"/>
        <v>91715</v>
      </c>
      <c r="CB87" s="756">
        <f t="shared" si="15"/>
        <v>1.0682670580287466</v>
      </c>
    </row>
    <row r="88" spans="1:80" s="460" customFormat="1" ht="51">
      <c r="A88" s="570" t="s">
        <v>542</v>
      </c>
      <c r="B88" s="662" t="s">
        <v>543</v>
      </c>
      <c r="C88" s="602" t="s">
        <v>544</v>
      </c>
      <c r="D88" s="637" t="s">
        <v>471</v>
      </c>
      <c r="E88" s="469" t="s">
        <v>44</v>
      </c>
      <c r="F88" s="579">
        <v>0</v>
      </c>
      <c r="G88" s="579">
        <v>0</v>
      </c>
      <c r="H88" s="579">
        <v>0</v>
      </c>
      <c r="I88" s="581">
        <f>F88*G88*H88</f>
        <v>0</v>
      </c>
      <c r="J88" s="582">
        <v>1</v>
      </c>
      <c r="K88" s="582">
        <v>7500</v>
      </c>
      <c r="L88" s="582">
        <v>1</v>
      </c>
      <c r="M88" s="581">
        <f>J88*K88*L88</f>
        <v>7500</v>
      </c>
      <c r="N88" s="591">
        <f>I88+M88</f>
        <v>7500</v>
      </c>
      <c r="O88" s="536">
        <f t="shared" si="6"/>
        <v>0</v>
      </c>
      <c r="P88" s="536">
        <f t="shared" si="7"/>
        <v>5769.230769230769</v>
      </c>
      <c r="Q88" s="536">
        <f t="shared" si="8"/>
        <v>5769.230769230769</v>
      </c>
      <c r="R88" s="525">
        <f>BG88+BK88+BO88+BS88</f>
        <v>4780.77</v>
      </c>
      <c r="S88" s="525">
        <f>M88-R88</f>
        <v>2719.2299999999996</v>
      </c>
      <c r="T88" s="475">
        <f>R88/M88</f>
        <v>0.6374360000000001</v>
      </c>
      <c r="U88" s="476"/>
      <c r="V88" s="476"/>
      <c r="W88" s="476"/>
      <c r="X88" s="476"/>
      <c r="Y88" s="476"/>
      <c r="Z88" s="476"/>
      <c r="AA88" s="476"/>
      <c r="AB88" s="476"/>
      <c r="AC88" s="476"/>
      <c r="AD88" s="476"/>
      <c r="AE88" s="476"/>
      <c r="AF88" s="476"/>
      <c r="AG88" s="535">
        <f>AO88+AS88+AW88+BA88+BG88+BK88+BO88+BS88</f>
        <v>4780.77</v>
      </c>
      <c r="AH88" s="535">
        <f t="shared" si="20"/>
        <v>2719.2299999999996</v>
      </c>
      <c r="AI88" s="477">
        <f t="shared" si="9"/>
        <v>0.6374360000000001</v>
      </c>
      <c r="AJ88" s="461"/>
      <c r="AK88" s="511">
        <v>0</v>
      </c>
      <c r="AL88" s="511">
        <v>0</v>
      </c>
      <c r="AM88" s="511">
        <v>0</v>
      </c>
      <c r="AN88" s="511">
        <v>0</v>
      </c>
      <c r="AO88" s="512">
        <f t="shared" si="10"/>
        <v>0</v>
      </c>
      <c r="AP88" s="511">
        <v>0</v>
      </c>
      <c r="AQ88" s="511">
        <v>0</v>
      </c>
      <c r="AR88" s="511">
        <v>0</v>
      </c>
      <c r="AS88" s="512">
        <f t="shared" si="11"/>
        <v>0</v>
      </c>
      <c r="AT88" s="511">
        <v>0</v>
      </c>
      <c r="AU88" s="511">
        <v>0</v>
      </c>
      <c r="AV88" s="511">
        <v>0</v>
      </c>
      <c r="AW88" s="512">
        <f t="shared" si="12"/>
        <v>0</v>
      </c>
      <c r="AX88" s="511">
        <v>0</v>
      </c>
      <c r="AY88" s="511">
        <v>0</v>
      </c>
      <c r="AZ88" s="511">
        <v>0</v>
      </c>
      <c r="BA88" s="512">
        <f t="shared" si="13"/>
        <v>0</v>
      </c>
      <c r="BB88" s="513"/>
      <c r="BC88" s="511">
        <v>0</v>
      </c>
      <c r="BD88" s="511">
        <v>0</v>
      </c>
      <c r="BE88" s="511">
        <v>0</v>
      </c>
      <c r="BF88" s="511">
        <v>0</v>
      </c>
      <c r="BG88" s="512">
        <f>SUM(BC88:BF88)</f>
        <v>0</v>
      </c>
      <c r="BH88" s="511">
        <v>4780.77</v>
      </c>
      <c r="BI88" s="511">
        <v>0</v>
      </c>
      <c r="BJ88" s="511">
        <v>0</v>
      </c>
      <c r="BK88" s="512">
        <f>SUM(BH88:BJ88)</f>
        <v>4780.77</v>
      </c>
      <c r="BL88" s="511">
        <v>0</v>
      </c>
      <c r="BM88" s="511">
        <v>0</v>
      </c>
      <c r="BN88" s="511">
        <v>0</v>
      </c>
      <c r="BO88" s="512">
        <f>SUM(BL88:BN88)</f>
        <v>0</v>
      </c>
      <c r="BP88" s="511">
        <v>0</v>
      </c>
      <c r="BQ88" s="511">
        <v>0</v>
      </c>
      <c r="BR88" s="511">
        <v>0</v>
      </c>
      <c r="BS88" s="512">
        <f>SUM(BP88:BR88)</f>
        <v>0</v>
      </c>
      <c r="BT88" s="513"/>
      <c r="BU88" s="748">
        <v>2719</v>
      </c>
      <c r="BV88" s="752">
        <v>0</v>
      </c>
      <c r="BW88" s="752">
        <v>3000</v>
      </c>
      <c r="BX88" s="752">
        <v>0</v>
      </c>
      <c r="BY88" s="752">
        <v>0</v>
      </c>
      <c r="BZ88" s="752">
        <v>0</v>
      </c>
      <c r="CA88" s="753">
        <f t="shared" si="14"/>
        <v>3000</v>
      </c>
      <c r="CB88" s="754">
        <f t="shared" si="15"/>
        <v>1.1033468186833395</v>
      </c>
    </row>
    <row r="89" spans="1:80" s="460" customFormat="1" ht="15.75">
      <c r="A89" s="613"/>
      <c r="B89" s="614"/>
      <c r="C89" s="595" t="s">
        <v>0</v>
      </c>
      <c r="D89" s="596" t="s">
        <v>0</v>
      </c>
      <c r="E89" s="615"/>
      <c r="F89" s="614"/>
      <c r="G89" s="614"/>
      <c r="H89" s="614"/>
      <c r="I89" s="646">
        <f>I88</f>
        <v>0</v>
      </c>
      <c r="J89" s="614"/>
      <c r="K89" s="614"/>
      <c r="L89" s="614"/>
      <c r="M89" s="646">
        <f>M88</f>
        <v>7500</v>
      </c>
      <c r="N89" s="646">
        <f>N88</f>
        <v>7500</v>
      </c>
      <c r="O89" s="646">
        <f aca="true" t="shared" si="69" ref="O89:BA89">O88</f>
        <v>0</v>
      </c>
      <c r="P89" s="646">
        <f t="shared" si="69"/>
        <v>5769.230769230769</v>
      </c>
      <c r="Q89" s="646">
        <f t="shared" si="69"/>
        <v>5769.230769230769</v>
      </c>
      <c r="R89" s="646">
        <f>R88</f>
        <v>4780.77</v>
      </c>
      <c r="S89" s="646">
        <f t="shared" si="69"/>
        <v>2719.2299999999996</v>
      </c>
      <c r="T89" s="730" t="e">
        <f>R89/I89</f>
        <v>#DIV/0!</v>
      </c>
      <c r="U89" s="646">
        <f t="shared" si="69"/>
        <v>0</v>
      </c>
      <c r="V89" s="646">
        <f t="shared" si="69"/>
        <v>0</v>
      </c>
      <c r="W89" s="646">
        <f t="shared" si="69"/>
        <v>0</v>
      </c>
      <c r="X89" s="646">
        <f t="shared" si="69"/>
        <v>0</v>
      </c>
      <c r="Y89" s="646">
        <f t="shared" si="69"/>
        <v>0</v>
      </c>
      <c r="Z89" s="646">
        <f t="shared" si="69"/>
        <v>0</v>
      </c>
      <c r="AA89" s="646">
        <f t="shared" si="69"/>
        <v>0</v>
      </c>
      <c r="AB89" s="646">
        <f t="shared" si="69"/>
        <v>0</v>
      </c>
      <c r="AC89" s="646">
        <f t="shared" si="69"/>
        <v>0</v>
      </c>
      <c r="AD89" s="646">
        <f t="shared" si="69"/>
        <v>0</v>
      </c>
      <c r="AE89" s="646">
        <f t="shared" si="69"/>
        <v>0</v>
      </c>
      <c r="AF89" s="646">
        <f t="shared" si="69"/>
        <v>0</v>
      </c>
      <c r="AG89" s="646">
        <f t="shared" si="69"/>
        <v>4780.77</v>
      </c>
      <c r="AH89" s="646">
        <f t="shared" si="69"/>
        <v>2719.2299999999996</v>
      </c>
      <c r="AI89" s="730">
        <f t="shared" si="9"/>
        <v>0.6374360000000001</v>
      </c>
      <c r="AJ89" s="646">
        <f t="shared" si="69"/>
        <v>0</v>
      </c>
      <c r="AK89" s="646">
        <f>AK88</f>
        <v>0</v>
      </c>
      <c r="AL89" s="646">
        <f t="shared" si="69"/>
        <v>0</v>
      </c>
      <c r="AM89" s="646">
        <f t="shared" si="69"/>
        <v>0</v>
      </c>
      <c r="AN89" s="646">
        <f t="shared" si="69"/>
        <v>0</v>
      </c>
      <c r="AO89" s="646">
        <f t="shared" si="69"/>
        <v>0</v>
      </c>
      <c r="AP89" s="646">
        <f t="shared" si="69"/>
        <v>0</v>
      </c>
      <c r="AQ89" s="646">
        <f t="shared" si="69"/>
        <v>0</v>
      </c>
      <c r="AR89" s="646">
        <f t="shared" si="69"/>
        <v>0</v>
      </c>
      <c r="AS89" s="646">
        <f t="shared" si="69"/>
        <v>0</v>
      </c>
      <c r="AT89" s="646">
        <f t="shared" si="69"/>
        <v>0</v>
      </c>
      <c r="AU89" s="646">
        <f t="shared" si="69"/>
        <v>0</v>
      </c>
      <c r="AV89" s="646">
        <f t="shared" si="69"/>
        <v>0</v>
      </c>
      <c r="AW89" s="646">
        <f t="shared" si="69"/>
        <v>0</v>
      </c>
      <c r="AX89" s="646">
        <f t="shared" si="69"/>
        <v>0</v>
      </c>
      <c r="AY89" s="646">
        <f t="shared" si="69"/>
        <v>0</v>
      </c>
      <c r="AZ89" s="646">
        <f t="shared" si="69"/>
        <v>0</v>
      </c>
      <c r="BA89" s="646">
        <f t="shared" si="69"/>
        <v>0</v>
      </c>
      <c r="BB89" s="513"/>
      <c r="BC89" s="646">
        <f>BC88</f>
        <v>0</v>
      </c>
      <c r="BD89" s="646">
        <f aca="true" t="shared" si="70" ref="BD89:BS89">BD88</f>
        <v>0</v>
      </c>
      <c r="BE89" s="646">
        <f t="shared" si="70"/>
        <v>0</v>
      </c>
      <c r="BF89" s="646">
        <f t="shared" si="70"/>
        <v>0</v>
      </c>
      <c r="BG89" s="646">
        <f t="shared" si="70"/>
        <v>0</v>
      </c>
      <c r="BH89" s="646">
        <f t="shared" si="70"/>
        <v>4780.77</v>
      </c>
      <c r="BI89" s="646">
        <f t="shared" si="70"/>
        <v>0</v>
      </c>
      <c r="BJ89" s="646">
        <f t="shared" si="70"/>
        <v>0</v>
      </c>
      <c r="BK89" s="646">
        <f t="shared" si="70"/>
        <v>4780.77</v>
      </c>
      <c r="BL89" s="646">
        <f t="shared" si="70"/>
        <v>0</v>
      </c>
      <c r="BM89" s="646">
        <f t="shared" si="70"/>
        <v>0</v>
      </c>
      <c r="BN89" s="646">
        <f t="shared" si="70"/>
        <v>0</v>
      </c>
      <c r="BO89" s="646">
        <f t="shared" si="70"/>
        <v>0</v>
      </c>
      <c r="BP89" s="646">
        <f t="shared" si="70"/>
        <v>0</v>
      </c>
      <c r="BQ89" s="646">
        <f t="shared" si="70"/>
        <v>0</v>
      </c>
      <c r="BR89" s="646">
        <f t="shared" si="70"/>
        <v>0</v>
      </c>
      <c r="BS89" s="646">
        <f t="shared" si="70"/>
        <v>0</v>
      </c>
      <c r="BT89" s="513"/>
      <c r="BU89" s="782">
        <f aca="true" t="shared" si="71" ref="BU89:BZ89">BU88</f>
        <v>2719</v>
      </c>
      <c r="BV89" s="738">
        <f t="shared" si="71"/>
        <v>0</v>
      </c>
      <c r="BW89" s="738">
        <f t="shared" si="71"/>
        <v>3000</v>
      </c>
      <c r="BX89" s="738">
        <f t="shared" si="71"/>
        <v>0</v>
      </c>
      <c r="BY89" s="738">
        <f t="shared" si="71"/>
        <v>0</v>
      </c>
      <c r="BZ89" s="738">
        <f t="shared" si="71"/>
        <v>0</v>
      </c>
      <c r="CA89" s="755">
        <f t="shared" si="14"/>
        <v>3000</v>
      </c>
      <c r="CB89" s="756">
        <f t="shared" si="15"/>
        <v>1.1033468186833395</v>
      </c>
    </row>
    <row r="90" spans="1:80" s="460" customFormat="1" ht="16.5" thickBot="1">
      <c r="A90" s="663"/>
      <c r="B90" s="664"/>
      <c r="C90" s="665" t="s">
        <v>545</v>
      </c>
      <c r="D90" s="666"/>
      <c r="E90" s="667"/>
      <c r="F90" s="664"/>
      <c r="G90" s="664"/>
      <c r="H90" s="664"/>
      <c r="I90" s="668">
        <f>I87+I89</f>
        <v>23745</v>
      </c>
      <c r="J90" s="664"/>
      <c r="K90" s="664"/>
      <c r="L90" s="664"/>
      <c r="M90" s="668">
        <f>M87+M89</f>
        <v>99675</v>
      </c>
      <c r="N90" s="668">
        <f>N87+N89</f>
        <v>123420</v>
      </c>
      <c r="O90" s="668">
        <f aca="true" t="shared" si="72" ref="O90:BA90">O87+O89</f>
        <v>18265.384615384613</v>
      </c>
      <c r="P90" s="668">
        <f t="shared" si="72"/>
        <v>76673.07692307692</v>
      </c>
      <c r="Q90" s="668">
        <f t="shared" si="72"/>
        <v>94938.46153846153</v>
      </c>
      <c r="R90" s="668">
        <f>R87+R89</f>
        <v>26095.28</v>
      </c>
      <c r="S90" s="668">
        <f t="shared" si="72"/>
        <v>73579.72</v>
      </c>
      <c r="T90" s="733">
        <f>R90/I90</f>
        <v>1.098979995788587</v>
      </c>
      <c r="U90" s="668">
        <f t="shared" si="72"/>
        <v>0</v>
      </c>
      <c r="V90" s="668">
        <f t="shared" si="72"/>
        <v>0</v>
      </c>
      <c r="W90" s="668">
        <f t="shared" si="72"/>
        <v>0</v>
      </c>
      <c r="X90" s="668">
        <f t="shared" si="72"/>
        <v>0</v>
      </c>
      <c r="Y90" s="668">
        <f t="shared" si="72"/>
        <v>0</v>
      </c>
      <c r="Z90" s="668">
        <f t="shared" si="72"/>
        <v>0</v>
      </c>
      <c r="AA90" s="668">
        <f t="shared" si="72"/>
        <v>0</v>
      </c>
      <c r="AB90" s="668">
        <f t="shared" si="72"/>
        <v>0</v>
      </c>
      <c r="AC90" s="668">
        <f t="shared" si="72"/>
        <v>0</v>
      </c>
      <c r="AD90" s="668">
        <f t="shared" si="72"/>
        <v>0</v>
      </c>
      <c r="AE90" s="668">
        <f t="shared" si="72"/>
        <v>0</v>
      </c>
      <c r="AF90" s="668">
        <f t="shared" si="72"/>
        <v>0</v>
      </c>
      <c r="AG90" s="668">
        <f t="shared" si="72"/>
        <v>34847.78</v>
      </c>
      <c r="AH90" s="668">
        <f t="shared" si="72"/>
        <v>88572.21999999999</v>
      </c>
      <c r="AI90" s="731">
        <f t="shared" si="9"/>
        <v>0.28235115864527627</v>
      </c>
      <c r="AJ90" s="651">
        <f t="shared" si="72"/>
        <v>0</v>
      </c>
      <c r="AK90" s="651">
        <f>AK87+AK89</f>
        <v>0</v>
      </c>
      <c r="AL90" s="651">
        <f t="shared" si="72"/>
        <v>498.41</v>
      </c>
      <c r="AM90" s="651">
        <f t="shared" si="72"/>
        <v>-498.41</v>
      </c>
      <c r="AN90" s="651">
        <f t="shared" si="72"/>
        <v>0</v>
      </c>
      <c r="AO90" s="651">
        <f t="shared" si="72"/>
        <v>0</v>
      </c>
      <c r="AP90" s="651">
        <f t="shared" si="72"/>
        <v>0</v>
      </c>
      <c r="AQ90" s="651">
        <f t="shared" si="72"/>
        <v>0</v>
      </c>
      <c r="AR90" s="651">
        <f t="shared" si="72"/>
        <v>0</v>
      </c>
      <c r="AS90" s="651">
        <f t="shared" si="72"/>
        <v>0</v>
      </c>
      <c r="AT90" s="651">
        <f t="shared" si="72"/>
        <v>0</v>
      </c>
      <c r="AU90" s="651">
        <f t="shared" si="72"/>
        <v>8465.18</v>
      </c>
      <c r="AV90" s="651">
        <f t="shared" si="72"/>
        <v>0</v>
      </c>
      <c r="AW90" s="651">
        <f t="shared" si="72"/>
        <v>8465.18</v>
      </c>
      <c r="AX90" s="651">
        <f t="shared" si="72"/>
        <v>0</v>
      </c>
      <c r="AY90" s="651">
        <f t="shared" si="72"/>
        <v>287.32</v>
      </c>
      <c r="AZ90" s="651">
        <f t="shared" si="72"/>
        <v>0</v>
      </c>
      <c r="BA90" s="651">
        <f t="shared" si="72"/>
        <v>287.32</v>
      </c>
      <c r="BB90" s="513"/>
      <c r="BC90" s="651">
        <f>BC87+BC89</f>
        <v>7287.24</v>
      </c>
      <c r="BD90" s="651">
        <f aca="true" t="shared" si="73" ref="BD90:BS90">BD87+BD89</f>
        <v>1545.99</v>
      </c>
      <c r="BE90" s="651">
        <f t="shared" si="73"/>
        <v>0</v>
      </c>
      <c r="BF90" s="651">
        <f t="shared" si="73"/>
        <v>0</v>
      </c>
      <c r="BG90" s="651">
        <f t="shared" si="73"/>
        <v>8833.23</v>
      </c>
      <c r="BH90" s="651">
        <f t="shared" si="73"/>
        <v>10736.02</v>
      </c>
      <c r="BI90" s="651">
        <f t="shared" si="73"/>
        <v>0</v>
      </c>
      <c r="BJ90" s="651">
        <f t="shared" si="73"/>
        <v>0</v>
      </c>
      <c r="BK90" s="651">
        <f t="shared" si="73"/>
        <v>10736.02</v>
      </c>
      <c r="BL90" s="651">
        <f t="shared" si="73"/>
        <v>0</v>
      </c>
      <c r="BM90" s="651">
        <f t="shared" si="73"/>
        <v>6073.43</v>
      </c>
      <c r="BN90" s="651">
        <f t="shared" si="73"/>
        <v>12.8</v>
      </c>
      <c r="BO90" s="651">
        <f t="shared" si="73"/>
        <v>6086.2300000000005</v>
      </c>
      <c r="BP90" s="651">
        <f t="shared" si="73"/>
        <v>439.8</v>
      </c>
      <c r="BQ90" s="651">
        <f t="shared" si="73"/>
        <v>0</v>
      </c>
      <c r="BR90" s="651">
        <f t="shared" si="73"/>
        <v>0</v>
      </c>
      <c r="BS90" s="651">
        <f t="shared" si="73"/>
        <v>439.8</v>
      </c>
      <c r="BT90" s="513"/>
      <c r="BU90" s="782">
        <f aca="true" t="shared" si="74" ref="BU90:BZ90">BU87+BU89</f>
        <v>88573</v>
      </c>
      <c r="BV90" s="651">
        <f t="shared" si="74"/>
        <v>29435</v>
      </c>
      <c r="BW90" s="651">
        <f t="shared" si="74"/>
        <v>39500</v>
      </c>
      <c r="BX90" s="668">
        <f t="shared" si="74"/>
        <v>15000</v>
      </c>
      <c r="BY90" s="668">
        <f t="shared" si="74"/>
        <v>10780</v>
      </c>
      <c r="BZ90" s="668">
        <f t="shared" si="74"/>
        <v>0</v>
      </c>
      <c r="CA90" s="757">
        <f t="shared" si="14"/>
        <v>94715</v>
      </c>
      <c r="CB90" s="758">
        <f t="shared" si="15"/>
        <v>1.0693439309947728</v>
      </c>
    </row>
    <row r="91" spans="1:80" s="460" customFormat="1" ht="15.75">
      <c r="A91" s="669"/>
      <c r="B91" s="670"/>
      <c r="C91" s="671" t="s">
        <v>546</v>
      </c>
      <c r="D91" s="672"/>
      <c r="E91" s="673"/>
      <c r="F91" s="674"/>
      <c r="G91" s="674"/>
      <c r="H91" s="675"/>
      <c r="I91" s="676"/>
      <c r="J91" s="677"/>
      <c r="K91" s="677"/>
      <c r="L91" s="678"/>
      <c r="M91" s="676"/>
      <c r="N91" s="676"/>
      <c r="O91" s="676"/>
      <c r="P91" s="676"/>
      <c r="Q91" s="676"/>
      <c r="R91" s="676"/>
      <c r="S91" s="676"/>
      <c r="T91" s="676"/>
      <c r="U91" s="676"/>
      <c r="V91" s="676"/>
      <c r="W91" s="676"/>
      <c r="X91" s="676"/>
      <c r="Y91" s="676"/>
      <c r="Z91" s="676"/>
      <c r="AA91" s="676"/>
      <c r="AB91" s="676"/>
      <c r="AC91" s="676"/>
      <c r="AD91" s="676"/>
      <c r="AE91" s="676"/>
      <c r="AF91" s="676"/>
      <c r="AG91" s="676"/>
      <c r="AH91" s="676"/>
      <c r="AI91" s="574"/>
      <c r="AJ91" s="574"/>
      <c r="AK91" s="574"/>
      <c r="AL91" s="574"/>
      <c r="AM91" s="574"/>
      <c r="AN91" s="574"/>
      <c r="AO91" s="574"/>
      <c r="AP91" s="574"/>
      <c r="AQ91" s="574"/>
      <c r="AR91" s="574"/>
      <c r="AS91" s="574"/>
      <c r="AT91" s="574"/>
      <c r="AU91" s="574"/>
      <c r="AV91" s="574"/>
      <c r="AW91" s="574"/>
      <c r="AX91" s="574"/>
      <c r="AY91" s="574"/>
      <c r="AZ91" s="574"/>
      <c r="BA91" s="574"/>
      <c r="BB91" s="574"/>
      <c r="BC91" s="574"/>
      <c r="BD91" s="574"/>
      <c r="BE91" s="574"/>
      <c r="BF91" s="574"/>
      <c r="BG91" s="574"/>
      <c r="BH91" s="574"/>
      <c r="BI91" s="574"/>
      <c r="BJ91" s="574"/>
      <c r="BK91" s="574"/>
      <c r="BL91" s="574"/>
      <c r="BM91" s="574"/>
      <c r="BN91" s="574"/>
      <c r="BO91" s="574"/>
      <c r="BP91" s="574"/>
      <c r="BQ91" s="574"/>
      <c r="BR91" s="574"/>
      <c r="BS91" s="574"/>
      <c r="BT91" s="513"/>
      <c r="BU91" s="748"/>
      <c r="BV91" s="737"/>
      <c r="BW91" s="737"/>
      <c r="BX91" s="737"/>
      <c r="BY91" s="737"/>
      <c r="BZ91" s="737"/>
      <c r="CA91" s="741"/>
      <c r="CB91" s="742"/>
    </row>
    <row r="92" spans="1:80" s="460" customFormat="1" ht="15" customHeight="1">
      <c r="A92" s="484" t="s">
        <v>100</v>
      </c>
      <c r="B92" s="679" t="s">
        <v>547</v>
      </c>
      <c r="C92" s="680" t="s">
        <v>369</v>
      </c>
      <c r="D92" s="681" t="s">
        <v>471</v>
      </c>
      <c r="E92" s="682" t="s">
        <v>44</v>
      </c>
      <c r="F92" s="572">
        <v>1</v>
      </c>
      <c r="G92" s="572">
        <v>18000</v>
      </c>
      <c r="H92" s="683">
        <v>1</v>
      </c>
      <c r="I92" s="574">
        <f>F92*G92*H92</f>
        <v>18000</v>
      </c>
      <c r="J92" s="575"/>
      <c r="K92" s="575"/>
      <c r="L92" s="684"/>
      <c r="M92" s="574">
        <f>(J92*K92*L92)*12</f>
        <v>0</v>
      </c>
      <c r="N92" s="685">
        <f aca="true" t="shared" si="75" ref="N92:N102">I92+M92</f>
        <v>18000</v>
      </c>
      <c r="O92" s="536">
        <f t="shared" si="6"/>
        <v>13846.153846153846</v>
      </c>
      <c r="P92" s="536">
        <f t="shared" si="7"/>
        <v>0</v>
      </c>
      <c r="Q92" s="536">
        <f t="shared" si="8"/>
        <v>13846.153846153846</v>
      </c>
      <c r="R92" s="525">
        <f aca="true" t="shared" si="76" ref="R92:R102">BG92+BK92+BO92+BS92</f>
        <v>5393.01</v>
      </c>
      <c r="S92" s="525">
        <f aca="true" t="shared" si="77" ref="S92:S102">M92-R92</f>
        <v>-5393.01</v>
      </c>
      <c r="T92" s="475" t="e">
        <f aca="true" t="shared" si="78" ref="T92:T102">R92/M92</f>
        <v>#DIV/0!</v>
      </c>
      <c r="U92" s="476"/>
      <c r="V92" s="476"/>
      <c r="W92" s="476"/>
      <c r="X92" s="476"/>
      <c r="Y92" s="476"/>
      <c r="Z92" s="476"/>
      <c r="AA92" s="476"/>
      <c r="AB92" s="476"/>
      <c r="AC92" s="476"/>
      <c r="AD92" s="476"/>
      <c r="AE92" s="476"/>
      <c r="AF92" s="476"/>
      <c r="AG92" s="535">
        <f aca="true" t="shared" si="79" ref="AG92:AG102">AO92+AS92+AW92+BA92+BG92+BK92+BO92+BS92</f>
        <v>18015.079999999998</v>
      </c>
      <c r="AH92" s="535">
        <f t="shared" si="20"/>
        <v>-15.079999999998108</v>
      </c>
      <c r="AI92" s="477">
        <f t="shared" si="9"/>
        <v>1.0008377777777777</v>
      </c>
      <c r="AJ92" s="461"/>
      <c r="AK92" s="511">
        <v>0</v>
      </c>
      <c r="AL92" s="511">
        <v>0</v>
      </c>
      <c r="AM92" s="511">
        <v>0</v>
      </c>
      <c r="AN92" s="511">
        <v>0</v>
      </c>
      <c r="AO92" s="512">
        <f t="shared" si="10"/>
        <v>0</v>
      </c>
      <c r="AP92" s="511">
        <v>0</v>
      </c>
      <c r="AQ92" s="511">
        <v>84.99</v>
      </c>
      <c r="AR92" s="511">
        <v>3222.07</v>
      </c>
      <c r="AS92" s="512">
        <f t="shared" si="11"/>
        <v>3307.06</v>
      </c>
      <c r="AT92" s="511">
        <v>3356.8</v>
      </c>
      <c r="AU92" s="511">
        <v>5411.81</v>
      </c>
      <c r="AV92" s="511">
        <v>0</v>
      </c>
      <c r="AW92" s="512">
        <f t="shared" si="12"/>
        <v>8768.61</v>
      </c>
      <c r="AX92" s="511">
        <v>546.4</v>
      </c>
      <c r="AY92" s="511">
        <v>0</v>
      </c>
      <c r="AZ92" s="511">
        <v>0</v>
      </c>
      <c r="BA92" s="512">
        <f t="shared" si="13"/>
        <v>546.4</v>
      </c>
      <c r="BB92" s="513"/>
      <c r="BC92" s="511">
        <v>0</v>
      </c>
      <c r="BD92" s="511">
        <v>900</v>
      </c>
      <c r="BE92" s="511">
        <v>4048.03</v>
      </c>
      <c r="BF92" s="511">
        <v>0</v>
      </c>
      <c r="BG92" s="512">
        <f aca="true" t="shared" si="80" ref="BG92:BG102">SUM(BC92:BF92)</f>
        <v>4948.030000000001</v>
      </c>
      <c r="BH92" s="511">
        <v>0</v>
      </c>
      <c r="BI92" s="511">
        <v>444.98</v>
      </c>
      <c r="BJ92" s="511">
        <v>0</v>
      </c>
      <c r="BK92" s="512">
        <f aca="true" t="shared" si="81" ref="BK92:BK102">SUM(BH92:BJ92)</f>
        <v>444.98</v>
      </c>
      <c r="BL92" s="511">
        <v>0</v>
      </c>
      <c r="BM92" s="511">
        <v>0</v>
      </c>
      <c r="BN92" s="511">
        <v>0</v>
      </c>
      <c r="BO92" s="512">
        <f aca="true" t="shared" si="82" ref="BO92:BO102">SUM(BL92:BN92)</f>
        <v>0</v>
      </c>
      <c r="BP92" s="511">
        <v>0</v>
      </c>
      <c r="BQ92" s="511">
        <v>0</v>
      </c>
      <c r="BR92" s="511">
        <v>0</v>
      </c>
      <c r="BS92" s="512">
        <f aca="true" t="shared" si="83" ref="BS92:BS102">SUM(BP92:BR92)</f>
        <v>0</v>
      </c>
      <c r="BT92" s="513"/>
      <c r="BU92" s="748">
        <f>0-15</f>
        <v>-15</v>
      </c>
      <c r="BV92" s="752">
        <v>0</v>
      </c>
      <c r="BW92" s="752">
        <v>0</v>
      </c>
      <c r="BX92" s="752">
        <v>0</v>
      </c>
      <c r="BY92" s="752">
        <v>0</v>
      </c>
      <c r="BZ92" s="752">
        <v>0</v>
      </c>
      <c r="CA92" s="753">
        <f t="shared" si="14"/>
        <v>0</v>
      </c>
      <c r="CB92" s="754">
        <f t="shared" si="15"/>
        <v>0</v>
      </c>
    </row>
    <row r="93" spans="1:80" s="460" customFormat="1" ht="15" customHeight="1">
      <c r="A93" s="484" t="s">
        <v>101</v>
      </c>
      <c r="B93" s="679" t="s">
        <v>548</v>
      </c>
      <c r="C93" s="680" t="s">
        <v>370</v>
      </c>
      <c r="D93" s="681" t="s">
        <v>471</v>
      </c>
      <c r="E93" s="682" t="s">
        <v>44</v>
      </c>
      <c r="F93" s="572"/>
      <c r="G93" s="572"/>
      <c r="H93" s="683"/>
      <c r="I93" s="574">
        <f>(F93*G93*H93)*12</f>
        <v>0</v>
      </c>
      <c r="J93" s="575">
        <v>1</v>
      </c>
      <c r="K93" s="575">
        <v>15000</v>
      </c>
      <c r="L93" s="684">
        <v>1</v>
      </c>
      <c r="M93" s="574">
        <f>(J93*K93*L93)*1</f>
        <v>15000</v>
      </c>
      <c r="N93" s="685">
        <f t="shared" si="75"/>
        <v>15000</v>
      </c>
      <c r="O93" s="536">
        <f aca="true" t="shared" si="84" ref="O93:O156">I93/$C$4</f>
        <v>0</v>
      </c>
      <c r="P93" s="536">
        <f aca="true" t="shared" si="85" ref="P93:P156">M93/$C$4</f>
        <v>11538.461538461537</v>
      </c>
      <c r="Q93" s="536">
        <f aca="true" t="shared" si="86" ref="Q93:Q156">O93+P93</f>
        <v>11538.461538461537</v>
      </c>
      <c r="R93" s="525">
        <f t="shared" si="76"/>
        <v>0</v>
      </c>
      <c r="S93" s="525">
        <f t="shared" si="77"/>
        <v>15000</v>
      </c>
      <c r="T93" s="475">
        <f t="shared" si="78"/>
        <v>0</v>
      </c>
      <c r="U93" s="476"/>
      <c r="V93" s="476"/>
      <c r="W93" s="476"/>
      <c r="X93" s="476"/>
      <c r="Y93" s="476"/>
      <c r="Z93" s="476"/>
      <c r="AA93" s="476"/>
      <c r="AB93" s="476"/>
      <c r="AC93" s="476"/>
      <c r="AD93" s="476"/>
      <c r="AE93" s="476"/>
      <c r="AF93" s="476"/>
      <c r="AG93" s="535">
        <f t="shared" si="79"/>
        <v>0</v>
      </c>
      <c r="AH93" s="535">
        <f t="shared" si="20"/>
        <v>15000</v>
      </c>
      <c r="AI93" s="477">
        <f aca="true" t="shared" si="87" ref="AI93:AI156">AG93/N93</f>
        <v>0</v>
      </c>
      <c r="AJ93" s="461"/>
      <c r="AK93" s="511">
        <v>0</v>
      </c>
      <c r="AL93" s="511">
        <v>0</v>
      </c>
      <c r="AM93" s="511">
        <v>0</v>
      </c>
      <c r="AN93" s="511">
        <v>0</v>
      </c>
      <c r="AO93" s="512">
        <f aca="true" t="shared" si="88" ref="AO93:AO156">SUM(AK93:AN93)</f>
        <v>0</v>
      </c>
      <c r="AP93" s="511">
        <v>0</v>
      </c>
      <c r="AQ93" s="511">
        <v>0</v>
      </c>
      <c r="AR93" s="511">
        <v>0</v>
      </c>
      <c r="AS93" s="512">
        <f aca="true" t="shared" si="89" ref="AS93:AS156">SUM(AP93:AR93)</f>
        <v>0</v>
      </c>
      <c r="AT93" s="511">
        <v>0</v>
      </c>
      <c r="AU93" s="511">
        <v>0</v>
      </c>
      <c r="AV93" s="511">
        <v>0</v>
      </c>
      <c r="AW93" s="512">
        <f aca="true" t="shared" si="90" ref="AW93:AW156">SUM(AT93:AV93)</f>
        <v>0</v>
      </c>
      <c r="AX93" s="511">
        <v>0</v>
      </c>
      <c r="AY93" s="511">
        <v>0</v>
      </c>
      <c r="AZ93" s="511">
        <v>0</v>
      </c>
      <c r="BA93" s="512">
        <f aca="true" t="shared" si="91" ref="BA93:BA156">SUM(AX93:AZ93)</f>
        <v>0</v>
      </c>
      <c r="BB93" s="513"/>
      <c r="BC93" s="511">
        <v>0</v>
      </c>
      <c r="BD93" s="511">
        <v>0</v>
      </c>
      <c r="BE93" s="511">
        <v>0</v>
      </c>
      <c r="BF93" s="511">
        <v>0</v>
      </c>
      <c r="BG93" s="512">
        <f t="shared" si="80"/>
        <v>0</v>
      </c>
      <c r="BH93" s="511">
        <v>0</v>
      </c>
      <c r="BI93" s="511">
        <v>0</v>
      </c>
      <c r="BJ93" s="511">
        <v>0</v>
      </c>
      <c r="BK93" s="512">
        <f t="shared" si="81"/>
        <v>0</v>
      </c>
      <c r="BL93" s="511">
        <v>0</v>
      </c>
      <c r="BM93" s="511">
        <v>0</v>
      </c>
      <c r="BN93" s="511">
        <v>0</v>
      </c>
      <c r="BO93" s="512">
        <f t="shared" si="82"/>
        <v>0</v>
      </c>
      <c r="BP93" s="511">
        <v>0</v>
      </c>
      <c r="BQ93" s="511">
        <v>0</v>
      </c>
      <c r="BR93" s="511">
        <v>0</v>
      </c>
      <c r="BS93" s="512">
        <f t="shared" si="83"/>
        <v>0</v>
      </c>
      <c r="BT93" s="513"/>
      <c r="BU93" s="748">
        <v>15000</v>
      </c>
      <c r="BV93" s="752">
        <v>0</v>
      </c>
      <c r="BW93" s="752">
        <v>0</v>
      </c>
      <c r="BX93" s="752">
        <v>0</v>
      </c>
      <c r="BY93" s="752">
        <v>0</v>
      </c>
      <c r="BZ93" s="752">
        <v>15000</v>
      </c>
      <c r="CA93" s="753">
        <f aca="true" t="shared" si="92" ref="CA93:CA156">BV93+BW93+BX93+BY93+BZ93</f>
        <v>15000</v>
      </c>
      <c r="CB93" s="754">
        <f aca="true" t="shared" si="93" ref="CB93:CB156">CA93/BU93</f>
        <v>1</v>
      </c>
    </row>
    <row r="94" spans="1:80" s="460" customFormat="1" ht="24">
      <c r="A94" s="484" t="s">
        <v>102</v>
      </c>
      <c r="B94" s="679" t="s">
        <v>549</v>
      </c>
      <c r="C94" s="680" t="s">
        <v>550</v>
      </c>
      <c r="D94" s="681" t="s">
        <v>471</v>
      </c>
      <c r="E94" s="682" t="s">
        <v>44</v>
      </c>
      <c r="F94" s="572">
        <v>3</v>
      </c>
      <c r="G94" s="572">
        <v>250</v>
      </c>
      <c r="H94" s="683">
        <v>1</v>
      </c>
      <c r="I94" s="574">
        <f>F94*G94*12</f>
        <v>9000</v>
      </c>
      <c r="J94" s="575">
        <v>3</v>
      </c>
      <c r="K94" s="575">
        <v>300</v>
      </c>
      <c r="L94" s="684">
        <v>1</v>
      </c>
      <c r="M94" s="574">
        <f>J94*K94*12</f>
        <v>10800</v>
      </c>
      <c r="N94" s="685">
        <f t="shared" si="75"/>
        <v>19800</v>
      </c>
      <c r="O94" s="536">
        <f t="shared" si="84"/>
        <v>6923.076923076923</v>
      </c>
      <c r="P94" s="536">
        <f t="shared" si="85"/>
        <v>8307.692307692307</v>
      </c>
      <c r="Q94" s="536">
        <f t="shared" si="86"/>
        <v>15230.76923076923</v>
      </c>
      <c r="R94" s="525">
        <f t="shared" si="76"/>
        <v>12372.02</v>
      </c>
      <c r="S94" s="525">
        <f t="shared" si="77"/>
        <v>-1572.0200000000004</v>
      </c>
      <c r="T94" s="475">
        <f t="shared" si="78"/>
        <v>1.1455574074074075</v>
      </c>
      <c r="U94" s="476"/>
      <c r="V94" s="476"/>
      <c r="W94" s="476"/>
      <c r="X94" s="476"/>
      <c r="Y94" s="476"/>
      <c r="Z94" s="476"/>
      <c r="AA94" s="476"/>
      <c r="AB94" s="476"/>
      <c r="AC94" s="476"/>
      <c r="AD94" s="476"/>
      <c r="AE94" s="476"/>
      <c r="AF94" s="476"/>
      <c r="AG94" s="535">
        <f t="shared" si="79"/>
        <v>20053.48</v>
      </c>
      <c r="AH94" s="535">
        <f aca="true" t="shared" si="94" ref="AH94:AH156">N94-AG94</f>
        <v>-253.47999999999956</v>
      </c>
      <c r="AI94" s="477">
        <f t="shared" si="87"/>
        <v>1.0128020202020203</v>
      </c>
      <c r="AJ94" s="461"/>
      <c r="AK94" s="511">
        <v>0</v>
      </c>
      <c r="AL94" s="511">
        <v>290</v>
      </c>
      <c r="AM94" s="511">
        <v>475</v>
      </c>
      <c r="AN94" s="511">
        <v>0</v>
      </c>
      <c r="AO94" s="512">
        <f t="shared" si="88"/>
        <v>765</v>
      </c>
      <c r="AP94" s="511">
        <v>0</v>
      </c>
      <c r="AQ94" s="511">
        <v>1207</v>
      </c>
      <c r="AR94" s="511">
        <v>917.97</v>
      </c>
      <c r="AS94" s="512">
        <f t="shared" si="89"/>
        <v>2124.9700000000003</v>
      </c>
      <c r="AT94" s="511">
        <v>458.5</v>
      </c>
      <c r="AU94" s="511">
        <v>359</v>
      </c>
      <c r="AV94" s="511">
        <v>873.01</v>
      </c>
      <c r="AW94" s="512">
        <f t="shared" si="90"/>
        <v>1690.51</v>
      </c>
      <c r="AX94" s="511">
        <v>92</v>
      </c>
      <c r="AY94" s="511">
        <v>1264.99</v>
      </c>
      <c r="AZ94" s="511">
        <v>1743.99</v>
      </c>
      <c r="BA94" s="512">
        <f t="shared" si="91"/>
        <v>3100.98</v>
      </c>
      <c r="BB94" s="513"/>
      <c r="BC94" s="511">
        <v>1328.03</v>
      </c>
      <c r="BD94" s="511">
        <v>2945.96</v>
      </c>
      <c r="BE94" s="511">
        <v>2955.87</v>
      </c>
      <c r="BF94" s="511">
        <v>0</v>
      </c>
      <c r="BG94" s="512">
        <f t="shared" si="80"/>
        <v>7229.86</v>
      </c>
      <c r="BH94" s="511">
        <v>0</v>
      </c>
      <c r="BI94" s="511">
        <v>1062.68</v>
      </c>
      <c r="BJ94" s="511">
        <v>490</v>
      </c>
      <c r="BK94" s="512">
        <f t="shared" si="81"/>
        <v>1552.68</v>
      </c>
      <c r="BL94" s="511">
        <v>48</v>
      </c>
      <c r="BM94" s="511">
        <v>672</v>
      </c>
      <c r="BN94" s="511">
        <v>1862.46</v>
      </c>
      <c r="BO94" s="512">
        <f t="shared" si="82"/>
        <v>2582.46</v>
      </c>
      <c r="BP94" s="511">
        <v>1007.02</v>
      </c>
      <c r="BQ94" s="511">
        <v>0</v>
      </c>
      <c r="BR94" s="511">
        <v>0</v>
      </c>
      <c r="BS94" s="512">
        <f t="shared" si="83"/>
        <v>1007.02</v>
      </c>
      <c r="BT94" s="513"/>
      <c r="BU94" s="748">
        <f>0-253</f>
        <v>-253</v>
      </c>
      <c r="BV94" s="752">
        <v>3000</v>
      </c>
      <c r="BW94" s="752">
        <v>3000</v>
      </c>
      <c r="BX94" s="752">
        <v>3000</v>
      </c>
      <c r="BY94" s="752">
        <v>2000</v>
      </c>
      <c r="BZ94" s="752">
        <v>0</v>
      </c>
      <c r="CA94" s="753">
        <f t="shared" si="92"/>
        <v>11000</v>
      </c>
      <c r="CB94" s="754">
        <f t="shared" si="93"/>
        <v>-43.47826086956522</v>
      </c>
    </row>
    <row r="95" spans="1:80" s="460" customFormat="1" ht="15.75">
      <c r="A95" s="484" t="s">
        <v>103</v>
      </c>
      <c r="B95" s="679" t="s">
        <v>551</v>
      </c>
      <c r="C95" s="680" t="s">
        <v>371</v>
      </c>
      <c r="D95" s="681" t="s">
        <v>471</v>
      </c>
      <c r="E95" s="682" t="s">
        <v>44</v>
      </c>
      <c r="F95" s="572">
        <v>1</v>
      </c>
      <c r="G95" s="572">
        <v>2000</v>
      </c>
      <c r="H95" s="683">
        <v>1</v>
      </c>
      <c r="I95" s="574">
        <f>(F95*G95*H95)</f>
        <v>2000</v>
      </c>
      <c r="J95" s="575">
        <v>1</v>
      </c>
      <c r="K95" s="575">
        <v>7847</v>
      </c>
      <c r="L95" s="684">
        <v>1</v>
      </c>
      <c r="M95" s="574">
        <f>J95*K95*L95</f>
        <v>7847</v>
      </c>
      <c r="N95" s="685">
        <f t="shared" si="75"/>
        <v>9847</v>
      </c>
      <c r="O95" s="536">
        <f t="shared" si="84"/>
        <v>1538.4615384615383</v>
      </c>
      <c r="P95" s="536">
        <f t="shared" si="85"/>
        <v>6036.153846153846</v>
      </c>
      <c r="Q95" s="536">
        <f t="shared" si="86"/>
        <v>7574.615384615384</v>
      </c>
      <c r="R95" s="525">
        <f t="shared" si="76"/>
        <v>100</v>
      </c>
      <c r="S95" s="525">
        <f t="shared" si="77"/>
        <v>7747</v>
      </c>
      <c r="T95" s="475">
        <f t="shared" si="78"/>
        <v>0.012743723716069836</v>
      </c>
      <c r="U95" s="476"/>
      <c r="V95" s="476"/>
      <c r="W95" s="476"/>
      <c r="X95" s="476"/>
      <c r="Y95" s="476"/>
      <c r="Z95" s="476"/>
      <c r="AA95" s="476"/>
      <c r="AB95" s="476"/>
      <c r="AC95" s="476"/>
      <c r="AD95" s="476"/>
      <c r="AE95" s="476"/>
      <c r="AF95" s="476"/>
      <c r="AG95" s="535">
        <f t="shared" si="79"/>
        <v>2929.75</v>
      </c>
      <c r="AH95" s="535">
        <f t="shared" si="94"/>
        <v>6917.25</v>
      </c>
      <c r="AI95" s="477">
        <f t="shared" si="87"/>
        <v>0.2975271656342033</v>
      </c>
      <c r="AJ95" s="461"/>
      <c r="AK95" s="511">
        <v>0</v>
      </c>
      <c r="AL95" s="511">
        <v>0</v>
      </c>
      <c r="AM95" s="511">
        <v>0</v>
      </c>
      <c r="AN95" s="511">
        <v>0</v>
      </c>
      <c r="AO95" s="512">
        <f t="shared" si="88"/>
        <v>0</v>
      </c>
      <c r="AP95" s="511">
        <v>0</v>
      </c>
      <c r="AQ95" s="511">
        <v>0</v>
      </c>
      <c r="AR95" s="511">
        <v>17.4</v>
      </c>
      <c r="AS95" s="512">
        <f t="shared" si="89"/>
        <v>17.4</v>
      </c>
      <c r="AT95" s="511">
        <v>0</v>
      </c>
      <c r="AU95" s="511">
        <v>470</v>
      </c>
      <c r="AV95" s="511">
        <v>25</v>
      </c>
      <c r="AW95" s="512">
        <f t="shared" si="90"/>
        <v>495</v>
      </c>
      <c r="AX95" s="511">
        <v>0</v>
      </c>
      <c r="AY95" s="511">
        <v>0</v>
      </c>
      <c r="AZ95" s="511">
        <v>2317.35</v>
      </c>
      <c r="BA95" s="512">
        <f t="shared" si="91"/>
        <v>2317.35</v>
      </c>
      <c r="BB95" s="513"/>
      <c r="BC95" s="511">
        <v>0</v>
      </c>
      <c r="BD95" s="511">
        <v>0</v>
      </c>
      <c r="BE95" s="511">
        <v>0</v>
      </c>
      <c r="BF95" s="511">
        <v>0</v>
      </c>
      <c r="BG95" s="512">
        <f t="shared" si="80"/>
        <v>0</v>
      </c>
      <c r="BH95" s="511">
        <v>100</v>
      </c>
      <c r="BI95" s="511">
        <v>0</v>
      </c>
      <c r="BJ95" s="511">
        <v>0</v>
      </c>
      <c r="BK95" s="512">
        <f t="shared" si="81"/>
        <v>100</v>
      </c>
      <c r="BL95" s="511">
        <v>0</v>
      </c>
      <c r="BM95" s="511">
        <v>0</v>
      </c>
      <c r="BN95" s="511">
        <v>0</v>
      </c>
      <c r="BO95" s="512">
        <f t="shared" si="82"/>
        <v>0</v>
      </c>
      <c r="BP95" s="511">
        <v>0</v>
      </c>
      <c r="BQ95" s="511">
        <v>0</v>
      </c>
      <c r="BR95" s="511">
        <v>0</v>
      </c>
      <c r="BS95" s="512">
        <f t="shared" si="83"/>
        <v>0</v>
      </c>
      <c r="BT95" s="513"/>
      <c r="BU95" s="748">
        <v>6917</v>
      </c>
      <c r="BV95" s="752">
        <v>6500</v>
      </c>
      <c r="BW95" s="752">
        <v>0</v>
      </c>
      <c r="BX95" s="752">
        <v>0</v>
      </c>
      <c r="BY95" s="752">
        <v>0</v>
      </c>
      <c r="BZ95" s="752">
        <v>0</v>
      </c>
      <c r="CA95" s="753">
        <f t="shared" si="92"/>
        <v>6500</v>
      </c>
      <c r="CB95" s="754">
        <f t="shared" si="93"/>
        <v>0.9397137487350007</v>
      </c>
    </row>
    <row r="96" spans="1:80" s="460" customFormat="1" ht="15" customHeight="1">
      <c r="A96" s="484" t="s">
        <v>104</v>
      </c>
      <c r="B96" s="679" t="s">
        <v>552</v>
      </c>
      <c r="C96" s="680" t="s">
        <v>372</v>
      </c>
      <c r="D96" s="681" t="s">
        <v>471</v>
      </c>
      <c r="E96" s="682" t="s">
        <v>44</v>
      </c>
      <c r="F96" s="572">
        <v>1</v>
      </c>
      <c r="G96" s="572">
        <v>8000</v>
      </c>
      <c r="H96" s="683">
        <v>1</v>
      </c>
      <c r="I96" s="574">
        <f>F96*G96*H96</f>
        <v>8000</v>
      </c>
      <c r="J96" s="575">
        <v>1</v>
      </c>
      <c r="K96" s="575"/>
      <c r="L96" s="684">
        <v>1</v>
      </c>
      <c r="M96" s="574">
        <f>J96*K96*L96</f>
        <v>0</v>
      </c>
      <c r="N96" s="685">
        <f t="shared" si="75"/>
        <v>8000</v>
      </c>
      <c r="O96" s="536">
        <f t="shared" si="84"/>
        <v>6153.846153846153</v>
      </c>
      <c r="P96" s="536">
        <f t="shared" si="85"/>
        <v>0</v>
      </c>
      <c r="Q96" s="536">
        <f t="shared" si="86"/>
        <v>6153.846153846153</v>
      </c>
      <c r="R96" s="525">
        <f t="shared" si="76"/>
        <v>17.51</v>
      </c>
      <c r="S96" s="525">
        <f t="shared" si="77"/>
        <v>-17.51</v>
      </c>
      <c r="T96" s="475" t="e">
        <f t="shared" si="78"/>
        <v>#DIV/0!</v>
      </c>
      <c r="U96" s="476"/>
      <c r="V96" s="476"/>
      <c r="W96" s="476"/>
      <c r="X96" s="476"/>
      <c r="Y96" s="476"/>
      <c r="Z96" s="476"/>
      <c r="AA96" s="476"/>
      <c r="AB96" s="476"/>
      <c r="AC96" s="476"/>
      <c r="AD96" s="476"/>
      <c r="AE96" s="476"/>
      <c r="AF96" s="476"/>
      <c r="AG96" s="535">
        <f t="shared" si="79"/>
        <v>10248.060000000001</v>
      </c>
      <c r="AH96" s="535">
        <f t="shared" si="94"/>
        <v>-2248.0600000000013</v>
      </c>
      <c r="AI96" s="477">
        <f t="shared" si="87"/>
        <v>1.2810075</v>
      </c>
      <c r="AJ96" s="461"/>
      <c r="AK96" s="511">
        <v>0</v>
      </c>
      <c r="AL96" s="511">
        <v>57</v>
      </c>
      <c r="AM96" s="511">
        <v>0</v>
      </c>
      <c r="AN96" s="511">
        <v>0</v>
      </c>
      <c r="AO96" s="512">
        <f t="shared" si="88"/>
        <v>57</v>
      </c>
      <c r="AP96" s="511">
        <v>175.51</v>
      </c>
      <c r="AQ96" s="511">
        <v>2029</v>
      </c>
      <c r="AR96" s="511">
        <v>0</v>
      </c>
      <c r="AS96" s="512">
        <f t="shared" si="89"/>
        <v>2204.51</v>
      </c>
      <c r="AT96" s="511">
        <v>1837</v>
      </c>
      <c r="AU96" s="511">
        <v>0</v>
      </c>
      <c r="AV96" s="511">
        <v>0</v>
      </c>
      <c r="AW96" s="512">
        <f t="shared" si="90"/>
        <v>1837</v>
      </c>
      <c r="AX96" s="511">
        <v>0</v>
      </c>
      <c r="AY96" s="511">
        <v>2629.03</v>
      </c>
      <c r="AZ96" s="511">
        <v>3503.01</v>
      </c>
      <c r="BA96" s="512">
        <f t="shared" si="91"/>
        <v>6132.040000000001</v>
      </c>
      <c r="BB96" s="513"/>
      <c r="BC96" s="511">
        <v>0</v>
      </c>
      <c r="BD96" s="511">
        <v>0</v>
      </c>
      <c r="BE96" s="511">
        <v>0</v>
      </c>
      <c r="BF96" s="511">
        <v>0</v>
      </c>
      <c r="BG96" s="512">
        <f t="shared" si="80"/>
        <v>0</v>
      </c>
      <c r="BH96" s="511">
        <v>0</v>
      </c>
      <c r="BI96" s="511">
        <v>0</v>
      </c>
      <c r="BJ96" s="511">
        <v>0</v>
      </c>
      <c r="BK96" s="512">
        <f t="shared" si="81"/>
        <v>0</v>
      </c>
      <c r="BL96" s="511">
        <v>0</v>
      </c>
      <c r="BM96" s="511">
        <v>0</v>
      </c>
      <c r="BN96" s="511">
        <v>17.51</v>
      </c>
      <c r="BO96" s="512">
        <f t="shared" si="82"/>
        <v>17.51</v>
      </c>
      <c r="BP96" s="511">
        <v>0</v>
      </c>
      <c r="BQ96" s="511">
        <v>0</v>
      </c>
      <c r="BR96" s="511">
        <v>0</v>
      </c>
      <c r="BS96" s="512">
        <f t="shared" si="83"/>
        <v>0</v>
      </c>
      <c r="BT96" s="513"/>
      <c r="BU96" s="748">
        <f>0-2248</f>
        <v>-2248</v>
      </c>
      <c r="BV96" s="752">
        <v>0</v>
      </c>
      <c r="BW96" s="752">
        <v>0</v>
      </c>
      <c r="BX96" s="752">
        <v>0</v>
      </c>
      <c r="BY96" s="752">
        <v>0</v>
      </c>
      <c r="BZ96" s="752">
        <v>0</v>
      </c>
      <c r="CA96" s="753">
        <f t="shared" si="92"/>
        <v>0</v>
      </c>
      <c r="CB96" s="754">
        <f t="shared" si="93"/>
        <v>0</v>
      </c>
    </row>
    <row r="97" spans="1:80" s="460" customFormat="1" ht="15.75">
      <c r="A97" s="484" t="s">
        <v>105</v>
      </c>
      <c r="B97" s="679" t="s">
        <v>553</v>
      </c>
      <c r="C97" s="680" t="s">
        <v>373</v>
      </c>
      <c r="D97" s="681" t="s">
        <v>471</v>
      </c>
      <c r="E97" s="682" t="s">
        <v>44</v>
      </c>
      <c r="F97" s="572">
        <v>1</v>
      </c>
      <c r="G97" s="572">
        <v>10000</v>
      </c>
      <c r="H97" s="683">
        <v>1</v>
      </c>
      <c r="I97" s="574">
        <f>(F97*G97*H97)</f>
        <v>10000</v>
      </c>
      <c r="J97" s="575"/>
      <c r="K97" s="575"/>
      <c r="L97" s="684"/>
      <c r="M97" s="574">
        <f>(J97*K97*L97)*12</f>
        <v>0</v>
      </c>
      <c r="N97" s="685">
        <f t="shared" si="75"/>
        <v>10000</v>
      </c>
      <c r="O97" s="536">
        <f t="shared" si="84"/>
        <v>7692.307692307692</v>
      </c>
      <c r="P97" s="536">
        <f t="shared" si="85"/>
        <v>0</v>
      </c>
      <c r="Q97" s="536">
        <f t="shared" si="86"/>
        <v>7692.307692307692</v>
      </c>
      <c r="R97" s="525">
        <f t="shared" si="76"/>
        <v>6812.0199999999995</v>
      </c>
      <c r="S97" s="525">
        <f t="shared" si="77"/>
        <v>-6812.0199999999995</v>
      </c>
      <c r="T97" s="475" t="e">
        <f t="shared" si="78"/>
        <v>#DIV/0!</v>
      </c>
      <c r="U97" s="476"/>
      <c r="V97" s="476"/>
      <c r="W97" s="476"/>
      <c r="X97" s="476"/>
      <c r="Y97" s="476"/>
      <c r="Z97" s="476"/>
      <c r="AA97" s="476"/>
      <c r="AB97" s="476"/>
      <c r="AC97" s="476"/>
      <c r="AD97" s="476"/>
      <c r="AE97" s="476"/>
      <c r="AF97" s="476"/>
      <c r="AG97" s="535">
        <f t="shared" si="79"/>
        <v>6812.0199999999995</v>
      </c>
      <c r="AH97" s="535">
        <f t="shared" si="94"/>
        <v>3187.9800000000005</v>
      </c>
      <c r="AI97" s="477">
        <f t="shared" si="87"/>
        <v>0.681202</v>
      </c>
      <c r="AJ97" s="461"/>
      <c r="AK97" s="511">
        <v>0</v>
      </c>
      <c r="AL97" s="511">
        <v>0</v>
      </c>
      <c r="AM97" s="511">
        <v>0</v>
      </c>
      <c r="AN97" s="511">
        <v>0</v>
      </c>
      <c r="AO97" s="512">
        <f t="shared" si="88"/>
        <v>0</v>
      </c>
      <c r="AP97" s="511">
        <v>0</v>
      </c>
      <c r="AQ97" s="511">
        <v>0</v>
      </c>
      <c r="AR97" s="511">
        <v>0</v>
      </c>
      <c r="AS97" s="512">
        <f t="shared" si="89"/>
        <v>0</v>
      </c>
      <c r="AT97" s="511">
        <v>0</v>
      </c>
      <c r="AU97" s="511">
        <v>0</v>
      </c>
      <c r="AV97" s="511">
        <v>0</v>
      </c>
      <c r="AW97" s="512">
        <f t="shared" si="90"/>
        <v>0</v>
      </c>
      <c r="AX97" s="511">
        <v>0</v>
      </c>
      <c r="AY97" s="511">
        <v>0</v>
      </c>
      <c r="AZ97" s="511">
        <v>0</v>
      </c>
      <c r="BA97" s="512">
        <f t="shared" si="91"/>
        <v>0</v>
      </c>
      <c r="BB97" s="513"/>
      <c r="BC97" s="511">
        <v>1369.99</v>
      </c>
      <c r="BD97" s="511">
        <v>0</v>
      </c>
      <c r="BE97" s="511">
        <v>287.99</v>
      </c>
      <c r="BF97" s="511">
        <v>0</v>
      </c>
      <c r="BG97" s="512">
        <f t="shared" si="80"/>
        <v>1657.98</v>
      </c>
      <c r="BH97" s="511">
        <v>75</v>
      </c>
      <c r="BI97" s="511">
        <v>0</v>
      </c>
      <c r="BJ97" s="511">
        <v>2645</v>
      </c>
      <c r="BK97" s="512">
        <f t="shared" si="81"/>
        <v>2720</v>
      </c>
      <c r="BL97" s="511">
        <v>-136</v>
      </c>
      <c r="BM97" s="511">
        <v>0</v>
      </c>
      <c r="BN97" s="511">
        <v>0</v>
      </c>
      <c r="BO97" s="512">
        <f t="shared" si="82"/>
        <v>-136</v>
      </c>
      <c r="BP97" s="511">
        <v>2570.04</v>
      </c>
      <c r="BQ97" s="511">
        <v>0</v>
      </c>
      <c r="BR97" s="511">
        <v>0</v>
      </c>
      <c r="BS97" s="512">
        <f t="shared" si="83"/>
        <v>2570.04</v>
      </c>
      <c r="BT97" s="513"/>
      <c r="BU97" s="748">
        <v>3187</v>
      </c>
      <c r="BV97" s="752"/>
      <c r="BW97" s="752">
        <v>3000</v>
      </c>
      <c r="BX97" s="752">
        <v>0</v>
      </c>
      <c r="BY97" s="752">
        <v>2000</v>
      </c>
      <c r="BZ97" s="752">
        <v>0</v>
      </c>
      <c r="CA97" s="753">
        <f t="shared" si="92"/>
        <v>5000</v>
      </c>
      <c r="CB97" s="754">
        <f t="shared" si="93"/>
        <v>1.5688735487919674</v>
      </c>
    </row>
    <row r="98" spans="1:80" s="460" customFormat="1" ht="15.75">
      <c r="A98" s="570" t="s">
        <v>554</v>
      </c>
      <c r="B98" s="679" t="s">
        <v>555</v>
      </c>
      <c r="C98" s="686" t="s">
        <v>556</v>
      </c>
      <c r="D98" s="681" t="s">
        <v>471</v>
      </c>
      <c r="E98" s="682" t="s">
        <v>44</v>
      </c>
      <c r="F98" s="572">
        <v>1</v>
      </c>
      <c r="G98" s="572">
        <v>3000</v>
      </c>
      <c r="H98" s="683">
        <v>1</v>
      </c>
      <c r="I98" s="574">
        <f>F98*G98*3</f>
        <v>9000</v>
      </c>
      <c r="J98" s="575">
        <v>1</v>
      </c>
      <c r="K98" s="575">
        <v>3000</v>
      </c>
      <c r="L98" s="684">
        <v>1</v>
      </c>
      <c r="M98" s="574">
        <f>J98*K98*12</f>
        <v>36000</v>
      </c>
      <c r="N98" s="685">
        <f t="shared" si="75"/>
        <v>45000</v>
      </c>
      <c r="O98" s="536">
        <f t="shared" si="84"/>
        <v>6923.076923076923</v>
      </c>
      <c r="P98" s="536">
        <f t="shared" si="85"/>
        <v>27692.30769230769</v>
      </c>
      <c r="Q98" s="536">
        <f t="shared" si="86"/>
        <v>34615.38461538462</v>
      </c>
      <c r="R98" s="525">
        <f t="shared" si="76"/>
        <v>18657.030000000002</v>
      </c>
      <c r="S98" s="525">
        <f t="shared" si="77"/>
        <v>17342.969999999998</v>
      </c>
      <c r="T98" s="475">
        <f t="shared" si="78"/>
        <v>0.5182508333333334</v>
      </c>
      <c r="U98" s="476"/>
      <c r="V98" s="476"/>
      <c r="W98" s="476"/>
      <c r="X98" s="476"/>
      <c r="Y98" s="476"/>
      <c r="Z98" s="476"/>
      <c r="AA98" s="476"/>
      <c r="AB98" s="476"/>
      <c r="AC98" s="476"/>
      <c r="AD98" s="476"/>
      <c r="AE98" s="476"/>
      <c r="AF98" s="476"/>
      <c r="AG98" s="535">
        <f t="shared" si="79"/>
        <v>18657.030000000002</v>
      </c>
      <c r="AH98" s="535">
        <f t="shared" si="94"/>
        <v>26342.969999999998</v>
      </c>
      <c r="AI98" s="477">
        <f t="shared" si="87"/>
        <v>0.41460066666666673</v>
      </c>
      <c r="AJ98" s="461"/>
      <c r="AK98" s="511">
        <v>0</v>
      </c>
      <c r="AL98" s="511">
        <v>0</v>
      </c>
      <c r="AM98" s="511">
        <v>0</v>
      </c>
      <c r="AN98" s="511">
        <v>0</v>
      </c>
      <c r="AO98" s="512">
        <f t="shared" si="88"/>
        <v>0</v>
      </c>
      <c r="AP98" s="511">
        <v>0</v>
      </c>
      <c r="AQ98" s="511">
        <v>0</v>
      </c>
      <c r="AR98" s="511">
        <v>0</v>
      </c>
      <c r="AS98" s="512">
        <f t="shared" si="89"/>
        <v>0</v>
      </c>
      <c r="AT98" s="511">
        <v>0</v>
      </c>
      <c r="AU98" s="511">
        <v>0</v>
      </c>
      <c r="AV98" s="511">
        <v>0</v>
      </c>
      <c r="AW98" s="512">
        <f t="shared" si="90"/>
        <v>0</v>
      </c>
      <c r="AX98" s="511">
        <v>0</v>
      </c>
      <c r="AY98" s="511">
        <v>0</v>
      </c>
      <c r="AZ98" s="511">
        <v>0</v>
      </c>
      <c r="BA98" s="512">
        <f t="shared" si="91"/>
        <v>0</v>
      </c>
      <c r="BB98" s="513"/>
      <c r="BC98" s="511">
        <v>0</v>
      </c>
      <c r="BD98" s="511">
        <v>17657.04</v>
      </c>
      <c r="BE98" s="511">
        <v>0</v>
      </c>
      <c r="BF98" s="511">
        <v>0</v>
      </c>
      <c r="BG98" s="512">
        <f t="shared" si="80"/>
        <v>17657.04</v>
      </c>
      <c r="BH98" s="511">
        <v>0</v>
      </c>
      <c r="BI98" s="511">
        <v>0</v>
      </c>
      <c r="BJ98" s="511">
        <v>0</v>
      </c>
      <c r="BK98" s="512">
        <f t="shared" si="81"/>
        <v>0</v>
      </c>
      <c r="BL98" s="511">
        <v>999.99</v>
      </c>
      <c r="BM98" s="511">
        <v>0</v>
      </c>
      <c r="BN98" s="511">
        <v>0</v>
      </c>
      <c r="BO98" s="512">
        <f t="shared" si="82"/>
        <v>999.99</v>
      </c>
      <c r="BP98" s="511">
        <v>0</v>
      </c>
      <c r="BQ98" s="511">
        <v>0</v>
      </c>
      <c r="BR98" s="511">
        <v>0</v>
      </c>
      <c r="BS98" s="512">
        <f t="shared" si="83"/>
        <v>0</v>
      </c>
      <c r="BT98" s="513"/>
      <c r="BU98" s="748">
        <v>26342</v>
      </c>
      <c r="BV98" s="752">
        <v>10000</v>
      </c>
      <c r="BW98" s="752">
        <v>5000</v>
      </c>
      <c r="BX98" s="752">
        <v>8000</v>
      </c>
      <c r="BY98" s="752">
        <v>5000</v>
      </c>
      <c r="BZ98" s="752">
        <v>0</v>
      </c>
      <c r="CA98" s="753">
        <f t="shared" si="92"/>
        <v>28000</v>
      </c>
      <c r="CB98" s="754">
        <f t="shared" si="93"/>
        <v>1.0629413104547871</v>
      </c>
    </row>
    <row r="99" spans="1:80" s="460" customFormat="1" ht="15.75">
      <c r="A99" s="484" t="s">
        <v>106</v>
      </c>
      <c r="B99" s="679" t="s">
        <v>557</v>
      </c>
      <c r="C99" s="680" t="s">
        <v>374</v>
      </c>
      <c r="D99" s="681" t="s">
        <v>471</v>
      </c>
      <c r="E99" s="682" t="s">
        <v>44</v>
      </c>
      <c r="F99" s="572">
        <v>1</v>
      </c>
      <c r="G99" s="572">
        <v>1050</v>
      </c>
      <c r="H99" s="683">
        <v>0.8</v>
      </c>
      <c r="I99" s="574">
        <f>(F99*G99*H99)*13</f>
        <v>10920</v>
      </c>
      <c r="J99" s="575">
        <v>1</v>
      </c>
      <c r="K99" s="575">
        <f>1050*1.03</f>
        <v>1081.5</v>
      </c>
      <c r="L99" s="684">
        <v>0.8</v>
      </c>
      <c r="M99" s="574">
        <f>(J99*K99*L99)*13</f>
        <v>11247.6</v>
      </c>
      <c r="N99" s="685">
        <f t="shared" si="75"/>
        <v>22167.6</v>
      </c>
      <c r="O99" s="536">
        <f t="shared" si="84"/>
        <v>8400</v>
      </c>
      <c r="P99" s="536">
        <f t="shared" si="85"/>
        <v>8652</v>
      </c>
      <c r="Q99" s="536">
        <f t="shared" si="86"/>
        <v>17052</v>
      </c>
      <c r="R99" s="525">
        <f t="shared" si="76"/>
        <v>9255.180000000002</v>
      </c>
      <c r="S99" s="525">
        <f t="shared" si="77"/>
        <v>1992.4199999999983</v>
      </c>
      <c r="T99" s="475">
        <f t="shared" si="78"/>
        <v>0.8228582097514138</v>
      </c>
      <c r="U99" s="476"/>
      <c r="V99" s="476"/>
      <c r="W99" s="476"/>
      <c r="X99" s="476"/>
      <c r="Y99" s="476"/>
      <c r="Z99" s="476"/>
      <c r="AA99" s="476"/>
      <c r="AB99" s="476"/>
      <c r="AC99" s="476"/>
      <c r="AD99" s="476"/>
      <c r="AE99" s="476"/>
      <c r="AF99" s="476"/>
      <c r="AG99" s="535">
        <f t="shared" si="79"/>
        <v>14829.95</v>
      </c>
      <c r="AH99" s="535">
        <f t="shared" si="94"/>
        <v>7337.649999999998</v>
      </c>
      <c r="AI99" s="477">
        <f t="shared" si="87"/>
        <v>0.6689921326620835</v>
      </c>
      <c r="AJ99" s="461"/>
      <c r="AK99" s="511">
        <v>0</v>
      </c>
      <c r="AL99" s="511">
        <v>0</v>
      </c>
      <c r="AM99" s="511">
        <v>0</v>
      </c>
      <c r="AN99" s="511">
        <v>0</v>
      </c>
      <c r="AO99" s="512">
        <f t="shared" si="88"/>
        <v>0</v>
      </c>
      <c r="AP99" s="511">
        <v>416.6</v>
      </c>
      <c r="AQ99" s="511">
        <v>861.1</v>
      </c>
      <c r="AR99" s="511">
        <v>785.66</v>
      </c>
      <c r="AS99" s="512">
        <f t="shared" si="89"/>
        <v>2063.36</v>
      </c>
      <c r="AT99" s="511">
        <v>783.25</v>
      </c>
      <c r="AU99" s="511">
        <v>780.85</v>
      </c>
      <c r="AV99" s="511">
        <v>771.26</v>
      </c>
      <c r="AW99" s="512">
        <f t="shared" si="90"/>
        <v>2335.3599999999997</v>
      </c>
      <c r="AX99" s="511">
        <v>260.27</v>
      </c>
      <c r="AY99" s="511">
        <v>261.06</v>
      </c>
      <c r="AZ99" s="511">
        <v>654.72</v>
      </c>
      <c r="BA99" s="512">
        <f t="shared" si="91"/>
        <v>1176.05</v>
      </c>
      <c r="BB99" s="513"/>
      <c r="BC99" s="511">
        <v>956.77</v>
      </c>
      <c r="BD99" s="511">
        <v>1154.65</v>
      </c>
      <c r="BE99" s="511">
        <v>2216.84</v>
      </c>
      <c r="BF99" s="511">
        <v>0</v>
      </c>
      <c r="BG99" s="512">
        <f t="shared" si="80"/>
        <v>4328.26</v>
      </c>
      <c r="BH99" s="511">
        <v>985.16</v>
      </c>
      <c r="BI99" s="511">
        <v>808.42</v>
      </c>
      <c r="BJ99" s="511">
        <v>741.05</v>
      </c>
      <c r="BK99" s="512">
        <f t="shared" si="81"/>
        <v>2534.63</v>
      </c>
      <c r="BL99" s="511">
        <v>768.02</v>
      </c>
      <c r="BM99" s="511">
        <v>703.34</v>
      </c>
      <c r="BN99" s="511">
        <v>424.4</v>
      </c>
      <c r="BO99" s="512">
        <f t="shared" si="82"/>
        <v>1895.7600000000002</v>
      </c>
      <c r="BP99" s="511">
        <v>496.53</v>
      </c>
      <c r="BQ99" s="511">
        <v>0</v>
      </c>
      <c r="BR99" s="511">
        <v>0</v>
      </c>
      <c r="BS99" s="512">
        <f t="shared" si="83"/>
        <v>496.53</v>
      </c>
      <c r="BT99" s="513"/>
      <c r="BU99" s="748">
        <v>7338</v>
      </c>
      <c r="BV99" s="752">
        <v>1100</v>
      </c>
      <c r="BW99" s="752">
        <v>1100</v>
      </c>
      <c r="BX99" s="752">
        <v>1100</v>
      </c>
      <c r="BY99" s="752">
        <v>1100</v>
      </c>
      <c r="BZ99" s="752">
        <v>2500</v>
      </c>
      <c r="CA99" s="753">
        <f t="shared" si="92"/>
        <v>6900</v>
      </c>
      <c r="CB99" s="754">
        <f t="shared" si="93"/>
        <v>0.9403107113654947</v>
      </c>
    </row>
    <row r="100" spans="1:80" s="460" customFormat="1" ht="15.75">
      <c r="A100" s="484" t="s">
        <v>107</v>
      </c>
      <c r="B100" s="679" t="s">
        <v>558</v>
      </c>
      <c r="C100" s="680" t="s">
        <v>375</v>
      </c>
      <c r="D100" s="681" t="s">
        <v>471</v>
      </c>
      <c r="E100" s="682" t="s">
        <v>44</v>
      </c>
      <c r="F100" s="572">
        <v>1</v>
      </c>
      <c r="G100" s="572">
        <v>2444</v>
      </c>
      <c r="H100" s="683">
        <v>0.8</v>
      </c>
      <c r="I100" s="574">
        <f>(F100*G100*H100)*13</f>
        <v>25417.600000000002</v>
      </c>
      <c r="J100" s="575">
        <v>1</v>
      </c>
      <c r="K100" s="575">
        <f>2444*1.03</f>
        <v>2517.32</v>
      </c>
      <c r="L100" s="684">
        <v>0.8</v>
      </c>
      <c r="M100" s="574">
        <f>(J100*K100*L100)*13</f>
        <v>26180.128000000004</v>
      </c>
      <c r="N100" s="685">
        <f t="shared" si="75"/>
        <v>51597.728</v>
      </c>
      <c r="O100" s="536">
        <f t="shared" si="84"/>
        <v>19552</v>
      </c>
      <c r="P100" s="536">
        <f t="shared" si="85"/>
        <v>20138.56</v>
      </c>
      <c r="Q100" s="536">
        <f t="shared" si="86"/>
        <v>39690.56</v>
      </c>
      <c r="R100" s="525">
        <f t="shared" si="76"/>
        <v>15002.419999999998</v>
      </c>
      <c r="S100" s="525">
        <f t="shared" si="77"/>
        <v>11177.708000000006</v>
      </c>
      <c r="T100" s="475">
        <f t="shared" si="78"/>
        <v>0.5730460905309552</v>
      </c>
      <c r="U100" s="476"/>
      <c r="V100" s="476"/>
      <c r="W100" s="476"/>
      <c r="X100" s="476"/>
      <c r="Y100" s="476"/>
      <c r="Z100" s="476"/>
      <c r="AA100" s="476"/>
      <c r="AB100" s="476"/>
      <c r="AC100" s="476"/>
      <c r="AD100" s="476"/>
      <c r="AE100" s="476"/>
      <c r="AF100" s="476"/>
      <c r="AG100" s="535">
        <f t="shared" si="79"/>
        <v>27230.73</v>
      </c>
      <c r="AH100" s="535">
        <f t="shared" si="94"/>
        <v>24366.998000000003</v>
      </c>
      <c r="AI100" s="477">
        <f t="shared" si="87"/>
        <v>0.5277505629705246</v>
      </c>
      <c r="AJ100" s="461"/>
      <c r="AK100" s="511">
        <v>0</v>
      </c>
      <c r="AL100" s="511">
        <v>834.74</v>
      </c>
      <c r="AM100" s="511">
        <v>2988.8</v>
      </c>
      <c r="AN100" s="511">
        <v>0</v>
      </c>
      <c r="AO100" s="512">
        <f t="shared" si="88"/>
        <v>3823.54</v>
      </c>
      <c r="AP100" s="511">
        <v>1551.25</v>
      </c>
      <c r="AQ100" s="511">
        <v>1701.32</v>
      </c>
      <c r="AR100" s="511">
        <v>779.22</v>
      </c>
      <c r="AS100" s="512">
        <f t="shared" si="89"/>
        <v>4031.79</v>
      </c>
      <c r="AT100" s="511">
        <v>786.36</v>
      </c>
      <c r="AU100" s="511">
        <v>0</v>
      </c>
      <c r="AV100" s="511">
        <v>0</v>
      </c>
      <c r="AW100" s="512">
        <f t="shared" si="90"/>
        <v>786.36</v>
      </c>
      <c r="AX100" s="511">
        <v>982.73</v>
      </c>
      <c r="AY100" s="511">
        <v>956.94</v>
      </c>
      <c r="AZ100" s="511">
        <v>1646.95</v>
      </c>
      <c r="BA100" s="512">
        <f t="shared" si="91"/>
        <v>3586.62</v>
      </c>
      <c r="BB100" s="513"/>
      <c r="BC100" s="511">
        <v>747.57</v>
      </c>
      <c r="BD100" s="511">
        <v>1497.2</v>
      </c>
      <c r="BE100" s="511">
        <v>531.28</v>
      </c>
      <c r="BF100" s="511">
        <v>0</v>
      </c>
      <c r="BG100" s="512">
        <f t="shared" si="80"/>
        <v>2776.05</v>
      </c>
      <c r="BH100" s="511">
        <v>2224.95</v>
      </c>
      <c r="BI100" s="511">
        <v>2245.93</v>
      </c>
      <c r="BJ100" s="511">
        <v>2418.54</v>
      </c>
      <c r="BK100" s="512">
        <f t="shared" si="81"/>
        <v>6889.419999999999</v>
      </c>
      <c r="BL100" s="511">
        <v>2517.52</v>
      </c>
      <c r="BM100" s="511">
        <v>2646.96</v>
      </c>
      <c r="BN100" s="511">
        <v>0</v>
      </c>
      <c r="BO100" s="512">
        <f t="shared" si="82"/>
        <v>5164.48</v>
      </c>
      <c r="BP100" s="511">
        <v>172.47</v>
      </c>
      <c r="BQ100" s="511">
        <v>0</v>
      </c>
      <c r="BR100" s="511">
        <v>0</v>
      </c>
      <c r="BS100" s="512">
        <f t="shared" si="83"/>
        <v>172.47</v>
      </c>
      <c r="BT100" s="513"/>
      <c r="BU100" s="748">
        <v>24367</v>
      </c>
      <c r="BV100" s="752">
        <v>1000</v>
      </c>
      <c r="BW100" s="752">
        <v>1000</v>
      </c>
      <c r="BX100" s="752">
        <v>1000</v>
      </c>
      <c r="BY100" s="752">
        <v>1000</v>
      </c>
      <c r="BZ100" s="752">
        <v>2000</v>
      </c>
      <c r="CA100" s="753">
        <f t="shared" si="92"/>
        <v>6000</v>
      </c>
      <c r="CB100" s="754">
        <f t="shared" si="93"/>
        <v>0.2462346616325358</v>
      </c>
    </row>
    <row r="101" spans="1:80" ht="15.75">
      <c r="A101" s="484" t="s">
        <v>108</v>
      </c>
      <c r="B101" s="679" t="s">
        <v>559</v>
      </c>
      <c r="C101" s="680" t="s">
        <v>376</v>
      </c>
      <c r="D101" s="681" t="s">
        <v>471</v>
      </c>
      <c r="E101" s="682" t="s">
        <v>44</v>
      </c>
      <c r="F101" s="572">
        <v>1</v>
      </c>
      <c r="G101" s="572">
        <v>2088</v>
      </c>
      <c r="H101" s="683">
        <v>1</v>
      </c>
      <c r="I101" s="574">
        <f>G101*13</f>
        <v>27144</v>
      </c>
      <c r="J101" s="575">
        <v>1</v>
      </c>
      <c r="K101" s="575">
        <f>2088*1.03</f>
        <v>2150.64</v>
      </c>
      <c r="L101" s="684">
        <v>1</v>
      </c>
      <c r="M101" s="574">
        <f>K101*13</f>
        <v>27958.32</v>
      </c>
      <c r="N101" s="685">
        <f t="shared" si="75"/>
        <v>55102.32</v>
      </c>
      <c r="O101" s="536">
        <f t="shared" si="84"/>
        <v>20880</v>
      </c>
      <c r="P101" s="536">
        <f t="shared" si="85"/>
        <v>21506.399999999998</v>
      </c>
      <c r="Q101" s="536">
        <f t="shared" si="86"/>
        <v>42386.399999999994</v>
      </c>
      <c r="R101" s="525">
        <f t="shared" si="76"/>
        <v>27855.729999999996</v>
      </c>
      <c r="S101" s="525">
        <f t="shared" si="77"/>
        <v>102.59000000000378</v>
      </c>
      <c r="T101" s="475">
        <f t="shared" si="78"/>
        <v>0.9963306092783828</v>
      </c>
      <c r="U101" s="476"/>
      <c r="V101" s="476"/>
      <c r="W101" s="476"/>
      <c r="X101" s="476"/>
      <c r="Y101" s="476"/>
      <c r="Z101" s="476"/>
      <c r="AA101" s="476"/>
      <c r="AB101" s="476"/>
      <c r="AC101" s="476"/>
      <c r="AD101" s="476"/>
      <c r="AE101" s="476"/>
      <c r="AF101" s="476"/>
      <c r="AG101" s="535">
        <f t="shared" si="79"/>
        <v>53083.649999999994</v>
      </c>
      <c r="AH101" s="535">
        <f t="shared" si="94"/>
        <v>2018.6700000000055</v>
      </c>
      <c r="AI101" s="477">
        <f t="shared" si="87"/>
        <v>0.9633650633947898</v>
      </c>
      <c r="AJ101" s="461"/>
      <c r="AK101" s="511">
        <v>0</v>
      </c>
      <c r="AL101" s="511">
        <v>0</v>
      </c>
      <c r="AM101" s="511">
        <v>2587.29</v>
      </c>
      <c r="AN101" s="511">
        <v>0</v>
      </c>
      <c r="AO101" s="512">
        <f t="shared" si="88"/>
        <v>2587.29</v>
      </c>
      <c r="AP101" s="511">
        <v>2486.02</v>
      </c>
      <c r="AQ101" s="511">
        <v>2490.91</v>
      </c>
      <c r="AR101" s="511">
        <v>2475.81</v>
      </c>
      <c r="AS101" s="512">
        <f t="shared" si="89"/>
        <v>7452.74</v>
      </c>
      <c r="AT101" s="511">
        <v>2486.9</v>
      </c>
      <c r="AU101" s="511">
        <v>2454.91</v>
      </c>
      <c r="AV101" s="511">
        <v>2486.92</v>
      </c>
      <c r="AW101" s="512">
        <f t="shared" si="90"/>
        <v>7428.73</v>
      </c>
      <c r="AX101" s="511">
        <v>2480.91</v>
      </c>
      <c r="AY101" s="511">
        <v>2486.92</v>
      </c>
      <c r="AZ101" s="511">
        <v>2791.33</v>
      </c>
      <c r="BA101" s="512">
        <f t="shared" si="91"/>
        <v>7759.16</v>
      </c>
      <c r="BB101" s="513"/>
      <c r="BC101" s="511">
        <v>2479.48</v>
      </c>
      <c r="BD101" s="511">
        <v>2490.91</v>
      </c>
      <c r="BE101" s="511">
        <v>4841.84</v>
      </c>
      <c r="BF101" s="511">
        <v>0</v>
      </c>
      <c r="BG101" s="512">
        <f t="shared" si="80"/>
        <v>9812.23</v>
      </c>
      <c r="BH101" s="511">
        <v>2516.11</v>
      </c>
      <c r="BI101" s="511">
        <v>2572.11</v>
      </c>
      <c r="BJ101" s="511">
        <v>2572.11</v>
      </c>
      <c r="BK101" s="512">
        <f t="shared" si="81"/>
        <v>7660.33</v>
      </c>
      <c r="BL101" s="511">
        <v>2682.9</v>
      </c>
      <c r="BM101" s="511">
        <v>2560.08</v>
      </c>
      <c r="BN101" s="511">
        <v>2568.08</v>
      </c>
      <c r="BO101" s="512">
        <f t="shared" si="82"/>
        <v>7811.0599999999995</v>
      </c>
      <c r="BP101" s="511">
        <v>2572.11</v>
      </c>
      <c r="BQ101" s="511">
        <v>0</v>
      </c>
      <c r="BR101" s="511">
        <v>0</v>
      </c>
      <c r="BS101" s="512">
        <f t="shared" si="83"/>
        <v>2572.11</v>
      </c>
      <c r="BT101" s="513"/>
      <c r="BU101" s="746">
        <v>2019</v>
      </c>
      <c r="BV101" s="750">
        <v>2700</v>
      </c>
      <c r="BW101" s="750">
        <v>2700</v>
      </c>
      <c r="BX101" s="750">
        <v>2700</v>
      </c>
      <c r="BY101" s="750">
        <v>2700</v>
      </c>
      <c r="BZ101" s="750">
        <v>5500</v>
      </c>
      <c r="CA101" s="753">
        <f t="shared" si="92"/>
        <v>16300</v>
      </c>
      <c r="CB101" s="754">
        <f t="shared" si="93"/>
        <v>8.073303615651312</v>
      </c>
    </row>
    <row r="102" spans="1:80" s="460" customFormat="1" ht="15.75">
      <c r="A102" s="484" t="s">
        <v>109</v>
      </c>
      <c r="B102" s="679" t="s">
        <v>560</v>
      </c>
      <c r="C102" s="680" t="s">
        <v>377</v>
      </c>
      <c r="D102" s="681" t="s">
        <v>471</v>
      </c>
      <c r="E102" s="682" t="s">
        <v>44</v>
      </c>
      <c r="F102" s="572">
        <v>1</v>
      </c>
      <c r="G102" s="572">
        <v>3876</v>
      </c>
      <c r="H102" s="683">
        <v>0.5</v>
      </c>
      <c r="I102" s="574">
        <f>G102*13*H102</f>
        <v>25194</v>
      </c>
      <c r="J102" s="575">
        <v>1</v>
      </c>
      <c r="K102" s="575">
        <f>3876*1.03</f>
        <v>3992.28</v>
      </c>
      <c r="L102" s="684">
        <v>0.5</v>
      </c>
      <c r="M102" s="574">
        <f>K102*13*L102</f>
        <v>25949.82</v>
      </c>
      <c r="N102" s="685">
        <f t="shared" si="75"/>
        <v>51143.82</v>
      </c>
      <c r="O102" s="536">
        <f t="shared" si="84"/>
        <v>19380</v>
      </c>
      <c r="P102" s="536">
        <f t="shared" si="85"/>
        <v>19961.399999999998</v>
      </c>
      <c r="Q102" s="536">
        <f t="shared" si="86"/>
        <v>39341.399999999994</v>
      </c>
      <c r="R102" s="525">
        <f t="shared" si="76"/>
        <v>18673.7</v>
      </c>
      <c r="S102" s="525">
        <f t="shared" si="77"/>
        <v>7276.119999999999</v>
      </c>
      <c r="T102" s="475">
        <f t="shared" si="78"/>
        <v>0.7196080743527316</v>
      </c>
      <c r="U102" s="476"/>
      <c r="V102" s="476"/>
      <c r="W102" s="476"/>
      <c r="X102" s="476"/>
      <c r="Y102" s="476"/>
      <c r="Z102" s="476"/>
      <c r="AA102" s="476"/>
      <c r="AB102" s="476"/>
      <c r="AC102" s="476"/>
      <c r="AD102" s="476"/>
      <c r="AE102" s="476"/>
      <c r="AF102" s="476"/>
      <c r="AG102" s="535">
        <f t="shared" si="79"/>
        <v>35908.369999999995</v>
      </c>
      <c r="AH102" s="535">
        <f t="shared" si="94"/>
        <v>15235.450000000004</v>
      </c>
      <c r="AI102" s="477">
        <f t="shared" si="87"/>
        <v>0.7021057480649665</v>
      </c>
      <c r="AJ102" s="461"/>
      <c r="AK102" s="511">
        <v>0</v>
      </c>
      <c r="AL102" s="511">
        <v>0</v>
      </c>
      <c r="AM102" s="511">
        <v>1749.42</v>
      </c>
      <c r="AN102" s="511">
        <v>0</v>
      </c>
      <c r="AO102" s="512">
        <f t="shared" si="88"/>
        <v>1749.42</v>
      </c>
      <c r="AP102" s="511">
        <v>2013.73</v>
      </c>
      <c r="AQ102" s="511">
        <v>2148.74</v>
      </c>
      <c r="AR102" s="511">
        <v>1623.74</v>
      </c>
      <c r="AS102" s="512">
        <f t="shared" si="89"/>
        <v>5786.209999999999</v>
      </c>
      <c r="AT102" s="511">
        <v>1619.76</v>
      </c>
      <c r="AU102" s="511">
        <v>1608.05</v>
      </c>
      <c r="AV102" s="511">
        <v>1622.03</v>
      </c>
      <c r="AW102" s="512">
        <f t="shared" si="90"/>
        <v>4849.84</v>
      </c>
      <c r="AX102" s="511">
        <v>1613.73</v>
      </c>
      <c r="AY102" s="511">
        <v>1617.73</v>
      </c>
      <c r="AZ102" s="511">
        <v>1617.74</v>
      </c>
      <c r="BA102" s="512">
        <f t="shared" si="91"/>
        <v>4849.2</v>
      </c>
      <c r="BB102" s="513"/>
      <c r="BC102" s="511">
        <v>1619.46</v>
      </c>
      <c r="BD102" s="511">
        <v>1623.73</v>
      </c>
      <c r="BE102" s="511">
        <v>3179.48</v>
      </c>
      <c r="BF102" s="511">
        <v>0</v>
      </c>
      <c r="BG102" s="512">
        <f t="shared" si="80"/>
        <v>6422.67</v>
      </c>
      <c r="BH102" s="511">
        <v>1658.15</v>
      </c>
      <c r="BI102" s="511">
        <v>1672.13</v>
      </c>
      <c r="BJ102" s="511">
        <v>1662.13</v>
      </c>
      <c r="BK102" s="512">
        <f t="shared" si="81"/>
        <v>4992.41</v>
      </c>
      <c r="BL102" s="511">
        <v>1664.13</v>
      </c>
      <c r="BM102" s="511">
        <v>1863.49</v>
      </c>
      <c r="BN102" s="511">
        <v>1865.51</v>
      </c>
      <c r="BO102" s="512">
        <f t="shared" si="82"/>
        <v>5393.13</v>
      </c>
      <c r="BP102" s="511">
        <v>1865.49</v>
      </c>
      <c r="BQ102" s="511">
        <v>0</v>
      </c>
      <c r="BR102" s="511">
        <v>0</v>
      </c>
      <c r="BS102" s="512">
        <f t="shared" si="83"/>
        <v>1865.49</v>
      </c>
      <c r="BT102" s="513"/>
      <c r="BU102" s="748">
        <v>15235</v>
      </c>
      <c r="BV102" s="752">
        <v>1850</v>
      </c>
      <c r="BW102" s="752">
        <v>1850</v>
      </c>
      <c r="BX102" s="752">
        <v>1850</v>
      </c>
      <c r="BY102" s="752">
        <v>1850</v>
      </c>
      <c r="BZ102" s="752">
        <v>3700</v>
      </c>
      <c r="CA102" s="753">
        <f t="shared" si="92"/>
        <v>11100</v>
      </c>
      <c r="CB102" s="754">
        <f t="shared" si="93"/>
        <v>0.7285854939284542</v>
      </c>
    </row>
    <row r="103" spans="1:80" s="460" customFormat="1" ht="16.5" thickBot="1">
      <c r="A103" s="663"/>
      <c r="B103" s="664"/>
      <c r="C103" s="665" t="s">
        <v>561</v>
      </c>
      <c r="D103" s="666" t="s">
        <v>0</v>
      </c>
      <c r="E103" s="667"/>
      <c r="F103" s="664"/>
      <c r="G103" s="664"/>
      <c r="H103" s="664"/>
      <c r="I103" s="668">
        <f>SUM(I92:I102)</f>
        <v>144675.6</v>
      </c>
      <c r="J103" s="664"/>
      <c r="K103" s="664"/>
      <c r="L103" s="664"/>
      <c r="M103" s="668">
        <f>SUM(M92:M102)</f>
        <v>160982.86800000002</v>
      </c>
      <c r="N103" s="668">
        <f>SUM(N92:N102)</f>
        <v>305658.468</v>
      </c>
      <c r="O103" s="668">
        <f aca="true" t="shared" si="95" ref="O103:BB103">SUM(O92:O102)</f>
        <v>111288.92307692308</v>
      </c>
      <c r="P103" s="668">
        <f t="shared" si="95"/>
        <v>123832.97538461536</v>
      </c>
      <c r="Q103" s="668">
        <f t="shared" si="95"/>
        <v>235121.89846153845</v>
      </c>
      <c r="R103" s="668">
        <f t="shared" si="95"/>
        <v>114138.62</v>
      </c>
      <c r="S103" s="668">
        <f t="shared" si="95"/>
        <v>46844.24800000001</v>
      </c>
      <c r="T103" s="733">
        <f>R103/I103</f>
        <v>0.7889279187368152</v>
      </c>
      <c r="U103" s="668">
        <f t="shared" si="95"/>
        <v>0</v>
      </c>
      <c r="V103" s="668">
        <f t="shared" si="95"/>
        <v>0</v>
      </c>
      <c r="W103" s="668">
        <f t="shared" si="95"/>
        <v>0</v>
      </c>
      <c r="X103" s="668">
        <f t="shared" si="95"/>
        <v>0</v>
      </c>
      <c r="Y103" s="668">
        <f t="shared" si="95"/>
        <v>0</v>
      </c>
      <c r="Z103" s="668">
        <f t="shared" si="95"/>
        <v>0</v>
      </c>
      <c r="AA103" s="668">
        <f t="shared" si="95"/>
        <v>0</v>
      </c>
      <c r="AB103" s="668">
        <f t="shared" si="95"/>
        <v>0</v>
      </c>
      <c r="AC103" s="668">
        <f t="shared" si="95"/>
        <v>0</v>
      </c>
      <c r="AD103" s="668">
        <f t="shared" si="95"/>
        <v>0</v>
      </c>
      <c r="AE103" s="668">
        <f t="shared" si="95"/>
        <v>0</v>
      </c>
      <c r="AF103" s="668">
        <f t="shared" si="95"/>
        <v>0</v>
      </c>
      <c r="AG103" s="668">
        <f t="shared" si="95"/>
        <v>207768.12</v>
      </c>
      <c r="AH103" s="668">
        <f t="shared" si="95"/>
        <v>97890.34800000003</v>
      </c>
      <c r="AI103" s="731">
        <f t="shared" si="87"/>
        <v>0.6797394535131936</v>
      </c>
      <c r="AJ103" s="651">
        <f t="shared" si="95"/>
        <v>0</v>
      </c>
      <c r="AK103" s="651">
        <f>SUM(AK92:AK102)</f>
        <v>0</v>
      </c>
      <c r="AL103" s="651">
        <f t="shared" si="95"/>
        <v>1181.74</v>
      </c>
      <c r="AM103" s="651">
        <f t="shared" si="95"/>
        <v>7800.51</v>
      </c>
      <c r="AN103" s="651">
        <f t="shared" si="95"/>
        <v>0</v>
      </c>
      <c r="AO103" s="651">
        <f t="shared" si="95"/>
        <v>8982.25</v>
      </c>
      <c r="AP103" s="651">
        <f t="shared" si="95"/>
        <v>6643.110000000001</v>
      </c>
      <c r="AQ103" s="651">
        <f t="shared" si="95"/>
        <v>10523.06</v>
      </c>
      <c r="AR103" s="651">
        <f t="shared" si="95"/>
        <v>9821.869999999999</v>
      </c>
      <c r="AS103" s="651">
        <f t="shared" si="95"/>
        <v>26988.04</v>
      </c>
      <c r="AT103" s="651">
        <f t="shared" si="95"/>
        <v>11328.57</v>
      </c>
      <c r="AU103" s="651">
        <f t="shared" si="95"/>
        <v>11084.619999999999</v>
      </c>
      <c r="AV103" s="651">
        <f t="shared" si="95"/>
        <v>5778.22</v>
      </c>
      <c r="AW103" s="651">
        <f t="shared" si="95"/>
        <v>28191.41</v>
      </c>
      <c r="AX103" s="651">
        <f t="shared" si="95"/>
        <v>5976.039999999999</v>
      </c>
      <c r="AY103" s="651">
        <f t="shared" si="95"/>
        <v>9216.67</v>
      </c>
      <c r="AZ103" s="651">
        <f t="shared" si="95"/>
        <v>14275.09</v>
      </c>
      <c r="BA103" s="651">
        <f t="shared" si="95"/>
        <v>29467.8</v>
      </c>
      <c r="BB103" s="651">
        <f t="shared" si="95"/>
        <v>0</v>
      </c>
      <c r="BC103" s="651">
        <f>SUM(BC92:BC102)</f>
        <v>8501.3</v>
      </c>
      <c r="BD103" s="651">
        <f aca="true" t="shared" si="96" ref="BD103:BU103">SUM(BD92:BD102)</f>
        <v>28269.49</v>
      </c>
      <c r="BE103" s="651">
        <f t="shared" si="96"/>
        <v>18061.33</v>
      </c>
      <c r="BF103" s="651">
        <f t="shared" si="96"/>
        <v>0</v>
      </c>
      <c r="BG103" s="651">
        <f t="shared" si="96"/>
        <v>54832.119999999995</v>
      </c>
      <c r="BH103" s="651">
        <f t="shared" si="96"/>
        <v>7559.369999999999</v>
      </c>
      <c r="BI103" s="651">
        <f t="shared" si="96"/>
        <v>8806.25</v>
      </c>
      <c r="BJ103" s="651">
        <f t="shared" si="96"/>
        <v>10528.830000000002</v>
      </c>
      <c r="BK103" s="651">
        <f t="shared" si="96"/>
        <v>26894.45</v>
      </c>
      <c r="BL103" s="651">
        <f t="shared" si="96"/>
        <v>8544.560000000001</v>
      </c>
      <c r="BM103" s="651">
        <f t="shared" si="96"/>
        <v>8445.87</v>
      </c>
      <c r="BN103" s="651">
        <f t="shared" si="96"/>
        <v>6737.96</v>
      </c>
      <c r="BO103" s="651">
        <f t="shared" si="96"/>
        <v>23728.390000000003</v>
      </c>
      <c r="BP103" s="651">
        <f t="shared" si="96"/>
        <v>8683.66</v>
      </c>
      <c r="BQ103" s="651">
        <f t="shared" si="96"/>
        <v>0</v>
      </c>
      <c r="BR103" s="651">
        <f t="shared" si="96"/>
        <v>0</v>
      </c>
      <c r="BS103" s="651">
        <f t="shared" si="96"/>
        <v>8683.66</v>
      </c>
      <c r="BT103" s="651">
        <f t="shared" si="96"/>
        <v>0</v>
      </c>
      <c r="BU103" s="782">
        <f t="shared" si="96"/>
        <v>97889</v>
      </c>
      <c r="BV103" s="651">
        <f>SUM(BV92:BV102)</f>
        <v>26150</v>
      </c>
      <c r="BW103" s="651">
        <f>SUM(BW92:BW102)</f>
        <v>17650</v>
      </c>
      <c r="BX103" s="668">
        <f>SUM(BX92:BX102)</f>
        <v>17650</v>
      </c>
      <c r="BY103" s="668">
        <f>SUM(BY92:BY102)</f>
        <v>15650</v>
      </c>
      <c r="BZ103" s="668">
        <f>SUM(BZ92:BZ102)</f>
        <v>28700</v>
      </c>
      <c r="CA103" s="757">
        <f t="shared" si="92"/>
        <v>105800</v>
      </c>
      <c r="CB103" s="758">
        <f t="shared" si="93"/>
        <v>1.0808160263155207</v>
      </c>
    </row>
    <row r="104" spans="1:80" s="460" customFormat="1" ht="15.75">
      <c r="A104" s="485"/>
      <c r="B104" s="679"/>
      <c r="C104" s="680"/>
      <c r="D104" s="468"/>
      <c r="E104" s="468"/>
      <c r="F104" s="471"/>
      <c r="G104" s="471"/>
      <c r="H104" s="471"/>
      <c r="I104" s="687"/>
      <c r="J104" s="687"/>
      <c r="K104" s="687"/>
      <c r="L104" s="687"/>
      <c r="M104" s="687"/>
      <c r="N104" s="687"/>
      <c r="O104" s="687"/>
      <c r="P104" s="687"/>
      <c r="Q104" s="687"/>
      <c r="R104" s="687"/>
      <c r="S104" s="687"/>
      <c r="T104" s="687"/>
      <c r="U104" s="687"/>
      <c r="V104" s="687"/>
      <c r="W104" s="687"/>
      <c r="X104" s="687"/>
      <c r="Y104" s="687"/>
      <c r="Z104" s="687"/>
      <c r="AA104" s="687"/>
      <c r="AB104" s="687"/>
      <c r="AC104" s="687"/>
      <c r="AD104" s="687"/>
      <c r="AE104" s="687"/>
      <c r="AF104" s="687"/>
      <c r="AG104" s="687"/>
      <c r="AH104" s="687"/>
      <c r="AI104" s="687"/>
      <c r="AJ104" s="687"/>
      <c r="AK104" s="687"/>
      <c r="AL104" s="687"/>
      <c r="AM104" s="687"/>
      <c r="AN104" s="687"/>
      <c r="AO104" s="687"/>
      <c r="AP104" s="687"/>
      <c r="AQ104" s="687"/>
      <c r="AR104" s="687"/>
      <c r="AS104" s="687"/>
      <c r="AT104" s="687"/>
      <c r="AU104" s="687"/>
      <c r="AV104" s="687"/>
      <c r="AW104" s="687"/>
      <c r="AX104" s="687"/>
      <c r="AY104" s="687"/>
      <c r="AZ104" s="687"/>
      <c r="BA104" s="687"/>
      <c r="BB104" s="513"/>
      <c r="BC104" s="687"/>
      <c r="BD104" s="687"/>
      <c r="BE104" s="687"/>
      <c r="BF104" s="687"/>
      <c r="BG104" s="687"/>
      <c r="BH104" s="687"/>
      <c r="BI104" s="687"/>
      <c r="BJ104" s="687"/>
      <c r="BK104" s="687"/>
      <c r="BL104" s="687"/>
      <c r="BM104" s="687"/>
      <c r="BN104" s="687"/>
      <c r="BO104" s="687"/>
      <c r="BP104" s="687"/>
      <c r="BQ104" s="687"/>
      <c r="BR104" s="687"/>
      <c r="BS104" s="687"/>
      <c r="BT104" s="513"/>
      <c r="BU104" s="748"/>
      <c r="BV104" s="737"/>
      <c r="BW104" s="737"/>
      <c r="BX104" s="737"/>
      <c r="BY104" s="737"/>
      <c r="BZ104" s="737"/>
      <c r="CA104" s="741"/>
      <c r="CB104" s="742"/>
    </row>
    <row r="105" spans="1:80" s="459" customFormat="1" ht="15.75">
      <c r="A105" s="485"/>
      <c r="B105" s="679"/>
      <c r="C105" s="680"/>
      <c r="D105" s="468"/>
      <c r="E105" s="468"/>
      <c r="F105" s="471"/>
      <c r="G105" s="471"/>
      <c r="H105" s="471"/>
      <c r="I105" s="687"/>
      <c r="J105" s="687"/>
      <c r="K105" s="687"/>
      <c r="L105" s="687"/>
      <c r="M105" s="687"/>
      <c r="N105" s="687"/>
      <c r="O105" s="687"/>
      <c r="P105" s="687"/>
      <c r="Q105" s="687"/>
      <c r="R105" s="687"/>
      <c r="S105" s="687"/>
      <c r="T105" s="687"/>
      <c r="U105" s="687"/>
      <c r="V105" s="687"/>
      <c r="W105" s="687"/>
      <c r="X105" s="687"/>
      <c r="Y105" s="687"/>
      <c r="Z105" s="687"/>
      <c r="AA105" s="687"/>
      <c r="AB105" s="687"/>
      <c r="AC105" s="687"/>
      <c r="AD105" s="687"/>
      <c r="AE105" s="687"/>
      <c r="AF105" s="687"/>
      <c r="AG105" s="687"/>
      <c r="AH105" s="687"/>
      <c r="AI105" s="687"/>
      <c r="AJ105" s="687"/>
      <c r="AK105" s="687"/>
      <c r="AL105" s="687"/>
      <c r="AM105" s="687"/>
      <c r="AN105" s="687"/>
      <c r="AO105" s="687"/>
      <c r="AP105" s="687"/>
      <c r="AQ105" s="687"/>
      <c r="AR105" s="687"/>
      <c r="AS105" s="687"/>
      <c r="AT105" s="687"/>
      <c r="AU105" s="687"/>
      <c r="AV105" s="687"/>
      <c r="AW105" s="687"/>
      <c r="AX105" s="687"/>
      <c r="AY105" s="687"/>
      <c r="AZ105" s="687"/>
      <c r="BA105" s="687"/>
      <c r="BB105" s="513"/>
      <c r="BC105" s="687"/>
      <c r="BD105" s="687"/>
      <c r="BE105" s="687"/>
      <c r="BF105" s="687"/>
      <c r="BG105" s="687"/>
      <c r="BH105" s="687"/>
      <c r="BI105" s="687"/>
      <c r="BJ105" s="687"/>
      <c r="BK105" s="687"/>
      <c r="BL105" s="687"/>
      <c r="BM105" s="687"/>
      <c r="BN105" s="687"/>
      <c r="BO105" s="687"/>
      <c r="BP105" s="687"/>
      <c r="BQ105" s="687"/>
      <c r="BR105" s="687"/>
      <c r="BS105" s="687"/>
      <c r="BT105" s="513"/>
      <c r="BU105" s="748"/>
      <c r="BV105" s="736"/>
      <c r="BW105" s="736"/>
      <c r="BX105" s="736"/>
      <c r="BY105" s="736"/>
      <c r="BZ105" s="736"/>
      <c r="CA105" s="741"/>
      <c r="CB105" s="742"/>
    </row>
    <row r="106" spans="1:80" s="460" customFormat="1" ht="15.75">
      <c r="A106" s="485"/>
      <c r="B106" s="479"/>
      <c r="C106" s="688" t="s">
        <v>378</v>
      </c>
      <c r="D106" s="689"/>
      <c r="E106" s="690"/>
      <c r="F106" s="479"/>
      <c r="G106" s="479"/>
      <c r="H106" s="479"/>
      <c r="I106" s="691">
        <f>I103+I90+I69+I51</f>
        <v>393601.6</v>
      </c>
      <c r="J106" s="691"/>
      <c r="K106" s="691"/>
      <c r="L106" s="691"/>
      <c r="M106" s="691">
        <f>M103+M90+M69+M51</f>
        <v>704082.868</v>
      </c>
      <c r="N106" s="691">
        <f>N51+N69+N90+N103</f>
        <v>1097684.4679999999</v>
      </c>
      <c r="O106" s="691">
        <f aca="true" t="shared" si="97" ref="O106:BA106">O51+O69+O90+O103</f>
        <v>302770.46153846156</v>
      </c>
      <c r="P106" s="691">
        <f t="shared" si="97"/>
        <v>541602.2061538461</v>
      </c>
      <c r="Q106" s="691">
        <f t="shared" si="97"/>
        <v>844372.6676923076</v>
      </c>
      <c r="R106" s="691">
        <f t="shared" si="97"/>
        <v>345256.36</v>
      </c>
      <c r="S106" s="691">
        <f t="shared" si="97"/>
        <v>358826.50800000003</v>
      </c>
      <c r="T106" s="538">
        <f>R106/I106</f>
        <v>0.8771721456416844</v>
      </c>
      <c r="U106" s="691">
        <f t="shared" si="97"/>
        <v>0</v>
      </c>
      <c r="V106" s="691">
        <f t="shared" si="97"/>
        <v>0</v>
      </c>
      <c r="W106" s="691">
        <f t="shared" si="97"/>
        <v>0</v>
      </c>
      <c r="X106" s="691">
        <f t="shared" si="97"/>
        <v>0</v>
      </c>
      <c r="Y106" s="691">
        <f t="shared" si="97"/>
        <v>0</v>
      </c>
      <c r="Z106" s="691">
        <f t="shared" si="97"/>
        <v>0</v>
      </c>
      <c r="AA106" s="691">
        <f t="shared" si="97"/>
        <v>0</v>
      </c>
      <c r="AB106" s="691">
        <f t="shared" si="97"/>
        <v>0</v>
      </c>
      <c r="AC106" s="691">
        <f t="shared" si="97"/>
        <v>0</v>
      </c>
      <c r="AD106" s="691">
        <f t="shared" si="97"/>
        <v>0</v>
      </c>
      <c r="AE106" s="691">
        <f t="shared" si="97"/>
        <v>0</v>
      </c>
      <c r="AF106" s="691">
        <f t="shared" si="97"/>
        <v>0</v>
      </c>
      <c r="AG106" s="691">
        <f t="shared" si="97"/>
        <v>550394.61</v>
      </c>
      <c r="AH106" s="691">
        <f t="shared" si="97"/>
        <v>547289.858</v>
      </c>
      <c r="AI106" s="538">
        <f t="shared" si="87"/>
        <v>0.5014142278999616</v>
      </c>
      <c r="AJ106" s="691">
        <f t="shared" si="97"/>
        <v>0</v>
      </c>
      <c r="AK106" s="691">
        <f>AK51+AK69+AK90+AK103</f>
        <v>0</v>
      </c>
      <c r="AL106" s="691">
        <f t="shared" si="97"/>
        <v>1680.15</v>
      </c>
      <c r="AM106" s="691">
        <f t="shared" si="97"/>
        <v>7302.1</v>
      </c>
      <c r="AN106" s="691">
        <f t="shared" si="97"/>
        <v>0</v>
      </c>
      <c r="AO106" s="691">
        <f t="shared" si="97"/>
        <v>8982.25</v>
      </c>
      <c r="AP106" s="691">
        <f t="shared" si="97"/>
        <v>6643.110000000001</v>
      </c>
      <c r="AQ106" s="691">
        <f t="shared" si="97"/>
        <v>10523.06</v>
      </c>
      <c r="AR106" s="691">
        <f t="shared" si="97"/>
        <v>9821.869999999999</v>
      </c>
      <c r="AS106" s="691">
        <f t="shared" si="97"/>
        <v>26988.04</v>
      </c>
      <c r="AT106" s="691">
        <f t="shared" si="97"/>
        <v>11328.57</v>
      </c>
      <c r="AU106" s="691">
        <f t="shared" si="97"/>
        <v>37533.75</v>
      </c>
      <c r="AV106" s="691">
        <f t="shared" si="97"/>
        <v>7171.06</v>
      </c>
      <c r="AW106" s="691">
        <f t="shared" si="97"/>
        <v>56033.380000000005</v>
      </c>
      <c r="AX106" s="691">
        <f t="shared" si="97"/>
        <v>6600.5599999999995</v>
      </c>
      <c r="AY106" s="691">
        <f t="shared" si="97"/>
        <v>13159.92</v>
      </c>
      <c r="AZ106" s="691">
        <f t="shared" si="97"/>
        <v>93374.1</v>
      </c>
      <c r="BA106" s="691">
        <f t="shared" si="97"/>
        <v>113134.58</v>
      </c>
      <c r="BB106" s="513"/>
      <c r="BC106" s="691">
        <f>BC51+BC69+BC90+BC103</f>
        <v>18444.39</v>
      </c>
      <c r="BD106" s="691">
        <f aca="true" t="shared" si="98" ref="BD106:BS106">BD51+BD69+BD90+BD103</f>
        <v>45347.61</v>
      </c>
      <c r="BE106" s="691">
        <f t="shared" si="98"/>
        <v>46294.83</v>
      </c>
      <c r="BF106" s="691">
        <f t="shared" si="98"/>
        <v>0</v>
      </c>
      <c r="BG106" s="691">
        <f t="shared" si="98"/>
        <v>110086.83</v>
      </c>
      <c r="BH106" s="691">
        <f t="shared" si="98"/>
        <v>75176.09999999999</v>
      </c>
      <c r="BI106" s="691">
        <f t="shared" si="98"/>
        <v>11385.81</v>
      </c>
      <c r="BJ106" s="691">
        <f t="shared" si="98"/>
        <v>9051.260000000002</v>
      </c>
      <c r="BK106" s="691">
        <f t="shared" si="98"/>
        <v>95613.17</v>
      </c>
      <c r="BL106" s="691">
        <f t="shared" si="98"/>
        <v>58099.68999999999</v>
      </c>
      <c r="BM106" s="691">
        <f t="shared" si="98"/>
        <v>23057.61</v>
      </c>
      <c r="BN106" s="691">
        <f t="shared" si="98"/>
        <v>7651.26</v>
      </c>
      <c r="BO106" s="691">
        <f t="shared" si="98"/>
        <v>88808.56</v>
      </c>
      <c r="BP106" s="691">
        <f t="shared" si="98"/>
        <v>50747.8</v>
      </c>
      <c r="BQ106" s="691">
        <f t="shared" si="98"/>
        <v>0</v>
      </c>
      <c r="BR106" s="691">
        <f t="shared" si="98"/>
        <v>0</v>
      </c>
      <c r="BS106" s="691">
        <f t="shared" si="98"/>
        <v>50747.8</v>
      </c>
      <c r="BT106" s="513"/>
      <c r="BU106" s="783">
        <f aca="true" t="shared" si="99" ref="BU106:BZ106">BU51+BU69+BU90+BU103</f>
        <v>547287</v>
      </c>
      <c r="BV106" s="691">
        <f t="shared" si="99"/>
        <v>204583</v>
      </c>
      <c r="BW106" s="691">
        <f t="shared" si="99"/>
        <v>151121</v>
      </c>
      <c r="BX106" s="691">
        <f t="shared" si="99"/>
        <v>98600</v>
      </c>
      <c r="BY106" s="691">
        <f t="shared" si="99"/>
        <v>59120</v>
      </c>
      <c r="BZ106" s="691">
        <f t="shared" si="99"/>
        <v>32340</v>
      </c>
      <c r="CA106" s="759">
        <f t="shared" si="92"/>
        <v>545764</v>
      </c>
      <c r="CB106" s="760">
        <f t="shared" si="93"/>
        <v>0.9972171822096998</v>
      </c>
    </row>
    <row r="107" spans="1:80" s="459" customFormat="1" ht="15.75">
      <c r="A107" s="485"/>
      <c r="B107" s="692" t="s">
        <v>2</v>
      </c>
      <c r="C107" s="693" t="s">
        <v>379</v>
      </c>
      <c r="D107" s="694"/>
      <c r="E107" s="694"/>
      <c r="F107" s="692"/>
      <c r="G107" s="692"/>
      <c r="H107" s="692"/>
      <c r="I107" s="695"/>
      <c r="J107" s="695"/>
      <c r="K107" s="695"/>
      <c r="L107" s="695"/>
      <c r="M107" s="695"/>
      <c r="N107" s="695"/>
      <c r="O107" s="695"/>
      <c r="P107" s="695"/>
      <c r="Q107" s="695"/>
      <c r="R107" s="695"/>
      <c r="S107" s="695"/>
      <c r="T107" s="734"/>
      <c r="U107" s="695"/>
      <c r="V107" s="695"/>
      <c r="W107" s="695"/>
      <c r="X107" s="695"/>
      <c r="Y107" s="695"/>
      <c r="Z107" s="695"/>
      <c r="AA107" s="695"/>
      <c r="AB107" s="695"/>
      <c r="AC107" s="695"/>
      <c r="AD107" s="695"/>
      <c r="AE107" s="695"/>
      <c r="AF107" s="695"/>
      <c r="AG107" s="695"/>
      <c r="AH107" s="695"/>
      <c r="AI107" s="734"/>
      <c r="AJ107" s="695"/>
      <c r="AK107" s="695"/>
      <c r="AL107" s="695"/>
      <c r="AM107" s="695"/>
      <c r="AN107" s="695"/>
      <c r="AO107" s="695"/>
      <c r="AP107" s="695"/>
      <c r="AQ107" s="695"/>
      <c r="AR107" s="695"/>
      <c r="AS107" s="695"/>
      <c r="AT107" s="695"/>
      <c r="AU107" s="695"/>
      <c r="AV107" s="695"/>
      <c r="AW107" s="695"/>
      <c r="AX107" s="695"/>
      <c r="AY107" s="695"/>
      <c r="AZ107" s="695"/>
      <c r="BA107" s="695"/>
      <c r="BB107" s="513"/>
      <c r="BC107" s="695"/>
      <c r="BD107" s="695"/>
      <c r="BE107" s="695"/>
      <c r="BF107" s="695"/>
      <c r="BG107" s="695"/>
      <c r="BH107" s="695"/>
      <c r="BI107" s="695"/>
      <c r="BJ107" s="695"/>
      <c r="BK107" s="695"/>
      <c r="BL107" s="695"/>
      <c r="BM107" s="695"/>
      <c r="BN107" s="695"/>
      <c r="BO107" s="695"/>
      <c r="BP107" s="695"/>
      <c r="BQ107" s="695"/>
      <c r="BR107" s="695"/>
      <c r="BS107" s="695"/>
      <c r="BT107" s="513"/>
      <c r="BU107" s="784"/>
      <c r="BV107" s="739"/>
      <c r="BW107" s="739"/>
      <c r="BX107" s="739"/>
      <c r="BY107" s="739"/>
      <c r="BZ107" s="739"/>
      <c r="CA107" s="739"/>
      <c r="CB107" s="739"/>
    </row>
    <row r="108" spans="1:80" s="459" customFormat="1" ht="15.75">
      <c r="A108" s="485"/>
      <c r="B108" s="480"/>
      <c r="C108" s="696"/>
      <c r="D108" s="697"/>
      <c r="E108" s="698"/>
      <c r="F108" s="480"/>
      <c r="G108" s="480"/>
      <c r="H108" s="480"/>
      <c r="I108" s="699"/>
      <c r="J108" s="699"/>
      <c r="K108" s="699"/>
      <c r="L108" s="699"/>
      <c r="M108" s="699"/>
      <c r="N108" s="699"/>
      <c r="O108" s="699"/>
      <c r="P108" s="699"/>
      <c r="Q108" s="699"/>
      <c r="R108" s="699"/>
      <c r="S108" s="699"/>
      <c r="T108" s="699"/>
      <c r="U108" s="699"/>
      <c r="V108" s="699"/>
      <c r="W108" s="699"/>
      <c r="X108" s="699"/>
      <c r="Y108" s="699"/>
      <c r="Z108" s="699"/>
      <c r="AA108" s="699"/>
      <c r="AB108" s="699"/>
      <c r="AC108" s="699"/>
      <c r="AD108" s="699"/>
      <c r="AE108" s="699"/>
      <c r="AF108" s="699"/>
      <c r="AG108" s="699"/>
      <c r="AH108" s="699"/>
      <c r="AI108" s="699"/>
      <c r="AJ108" s="699"/>
      <c r="AK108" s="699"/>
      <c r="AL108" s="699"/>
      <c r="AM108" s="699"/>
      <c r="AN108" s="699"/>
      <c r="AO108" s="699"/>
      <c r="AP108" s="699"/>
      <c r="AQ108" s="699"/>
      <c r="AR108" s="699"/>
      <c r="AS108" s="699"/>
      <c r="AT108" s="699"/>
      <c r="AU108" s="699"/>
      <c r="AV108" s="699"/>
      <c r="AW108" s="699"/>
      <c r="AX108" s="699"/>
      <c r="AY108" s="699"/>
      <c r="AZ108" s="699"/>
      <c r="BA108" s="699"/>
      <c r="BB108" s="513"/>
      <c r="BC108" s="699"/>
      <c r="BD108" s="699"/>
      <c r="BE108" s="699"/>
      <c r="BF108" s="699"/>
      <c r="BG108" s="699"/>
      <c r="BH108" s="699"/>
      <c r="BI108" s="699"/>
      <c r="BJ108" s="699"/>
      <c r="BK108" s="699"/>
      <c r="BL108" s="699"/>
      <c r="BM108" s="699"/>
      <c r="BN108" s="699"/>
      <c r="BO108" s="699"/>
      <c r="BP108" s="699"/>
      <c r="BQ108" s="699"/>
      <c r="BR108" s="699"/>
      <c r="BS108" s="699"/>
      <c r="BT108" s="513"/>
      <c r="BU108" s="748"/>
      <c r="BV108" s="736"/>
      <c r="BW108" s="736"/>
      <c r="BX108" s="736"/>
      <c r="BY108" s="736"/>
      <c r="BZ108" s="736"/>
      <c r="CA108" s="741" t="s">
        <v>581</v>
      </c>
      <c r="CB108" s="742" t="s">
        <v>581</v>
      </c>
    </row>
    <row r="109" spans="1:80" s="459" customFormat="1" ht="23.25" customHeight="1">
      <c r="A109" s="484" t="s">
        <v>110</v>
      </c>
      <c r="B109" s="679" t="s">
        <v>380</v>
      </c>
      <c r="C109" s="680" t="s">
        <v>377</v>
      </c>
      <c r="D109" s="681" t="s">
        <v>471</v>
      </c>
      <c r="E109" s="467" t="s">
        <v>44</v>
      </c>
      <c r="F109" s="572">
        <v>1</v>
      </c>
      <c r="G109" s="572">
        <v>3876</v>
      </c>
      <c r="H109" s="683">
        <v>0.5</v>
      </c>
      <c r="I109" s="574">
        <f>G109*13*H109</f>
        <v>25194</v>
      </c>
      <c r="J109" s="575">
        <v>1</v>
      </c>
      <c r="K109" s="575">
        <f>3876*1.03</f>
        <v>3992.28</v>
      </c>
      <c r="L109" s="684">
        <v>0.5</v>
      </c>
      <c r="M109" s="574">
        <f>K109*13*L109</f>
        <v>25949.82</v>
      </c>
      <c r="N109" s="685">
        <f aca="true" t="shared" si="100" ref="N109:N120">I109+M109</f>
        <v>51143.82</v>
      </c>
      <c r="O109" s="536">
        <f t="shared" si="84"/>
        <v>19380</v>
      </c>
      <c r="P109" s="536">
        <f t="shared" si="85"/>
        <v>19961.399999999998</v>
      </c>
      <c r="Q109" s="536">
        <f t="shared" si="86"/>
        <v>39341.399999999994</v>
      </c>
      <c r="R109" s="525">
        <f aca="true" t="shared" si="101" ref="R109:R120">BG109+BK109+BO109+BS109</f>
        <v>18679.7</v>
      </c>
      <c r="S109" s="525">
        <f aca="true" t="shared" si="102" ref="S109:S120">M109-R109</f>
        <v>7270.119999999999</v>
      </c>
      <c r="T109" s="475">
        <f aca="true" t="shared" si="103" ref="T109:T120">R109/M109</f>
        <v>0.7198392898293707</v>
      </c>
      <c r="U109" s="476"/>
      <c r="V109" s="476"/>
      <c r="W109" s="476"/>
      <c r="X109" s="476"/>
      <c r="Y109" s="476"/>
      <c r="Z109" s="476"/>
      <c r="AA109" s="476"/>
      <c r="AB109" s="476"/>
      <c r="AC109" s="476"/>
      <c r="AD109" s="476"/>
      <c r="AE109" s="476"/>
      <c r="AF109" s="476"/>
      <c r="AG109" s="535">
        <f aca="true" t="shared" si="104" ref="AG109:AG120">AO109+AS109+AW109+BA109+BG109+BK109+BO109+BS109</f>
        <v>35839.37</v>
      </c>
      <c r="AH109" s="535">
        <f t="shared" si="94"/>
        <v>15304.449999999997</v>
      </c>
      <c r="AI109" s="477">
        <f t="shared" si="87"/>
        <v>0.7007566114537397</v>
      </c>
      <c r="AJ109" s="461"/>
      <c r="AK109" s="511">
        <v>0</v>
      </c>
      <c r="AL109" s="511">
        <v>0</v>
      </c>
      <c r="AM109" s="511">
        <v>1749.42</v>
      </c>
      <c r="AN109" s="511">
        <v>0</v>
      </c>
      <c r="AO109" s="512">
        <f t="shared" si="88"/>
        <v>1749.42</v>
      </c>
      <c r="AP109" s="511">
        <v>1863.73</v>
      </c>
      <c r="AQ109" s="511">
        <v>2223.74</v>
      </c>
      <c r="AR109" s="511">
        <v>1623.74</v>
      </c>
      <c r="AS109" s="512">
        <f t="shared" si="89"/>
        <v>5711.21</v>
      </c>
      <c r="AT109" s="511">
        <v>1619.76</v>
      </c>
      <c r="AU109" s="511">
        <v>1608.05</v>
      </c>
      <c r="AV109" s="511">
        <v>1622.03</v>
      </c>
      <c r="AW109" s="512">
        <f t="shared" si="90"/>
        <v>4849.84</v>
      </c>
      <c r="AX109" s="511">
        <v>1613.73</v>
      </c>
      <c r="AY109" s="511">
        <v>1617.73</v>
      </c>
      <c r="AZ109" s="511">
        <v>1617.74</v>
      </c>
      <c r="BA109" s="512">
        <f t="shared" si="91"/>
        <v>4849.2</v>
      </c>
      <c r="BB109" s="513"/>
      <c r="BC109" s="511">
        <v>1619.46</v>
      </c>
      <c r="BD109" s="511">
        <v>1623.73</v>
      </c>
      <c r="BE109" s="511">
        <v>3179.48</v>
      </c>
      <c r="BF109" s="511">
        <v>0</v>
      </c>
      <c r="BG109" s="512">
        <f aca="true" t="shared" si="105" ref="BG109:BG120">SUM(BC109:BF109)</f>
        <v>6422.67</v>
      </c>
      <c r="BH109" s="511">
        <v>1658.15</v>
      </c>
      <c r="BI109" s="511">
        <v>1678.13</v>
      </c>
      <c r="BJ109" s="511">
        <v>1726.13</v>
      </c>
      <c r="BK109" s="512">
        <f aca="true" t="shared" si="106" ref="BK109:BK120">SUM(BH109:BJ109)</f>
        <v>5062.41</v>
      </c>
      <c r="BL109" s="511">
        <v>1600.13</v>
      </c>
      <c r="BM109" s="511">
        <v>1863.49</v>
      </c>
      <c r="BN109" s="511">
        <v>1865.51</v>
      </c>
      <c r="BO109" s="512">
        <f aca="true" t="shared" si="107" ref="BO109:BO120">SUM(BL109:BN109)</f>
        <v>5329.13</v>
      </c>
      <c r="BP109" s="511">
        <v>1865.49</v>
      </c>
      <c r="BQ109" s="511">
        <v>0</v>
      </c>
      <c r="BR109" s="511">
        <v>0</v>
      </c>
      <c r="BS109" s="512">
        <f aca="true" t="shared" si="108" ref="BS109:BS120">SUM(BP109:BR109)</f>
        <v>1865.49</v>
      </c>
      <c r="BT109" s="513"/>
      <c r="BU109" s="748">
        <v>15304</v>
      </c>
      <c r="BV109" s="752">
        <v>1850</v>
      </c>
      <c r="BW109" s="752">
        <v>1850</v>
      </c>
      <c r="BX109" s="752">
        <v>1850</v>
      </c>
      <c r="BY109" s="752">
        <v>1850</v>
      </c>
      <c r="BZ109" s="752">
        <v>3700</v>
      </c>
      <c r="CA109" s="753">
        <f t="shared" si="92"/>
        <v>11100</v>
      </c>
      <c r="CB109" s="754">
        <f t="shared" si="93"/>
        <v>0.7253005750130684</v>
      </c>
    </row>
    <row r="110" spans="1:80" s="459" customFormat="1" ht="22.5" customHeight="1">
      <c r="A110" s="484" t="s">
        <v>111</v>
      </c>
      <c r="B110" s="679" t="s">
        <v>381</v>
      </c>
      <c r="C110" s="680" t="s">
        <v>382</v>
      </c>
      <c r="D110" s="681" t="s">
        <v>383</v>
      </c>
      <c r="E110" s="467" t="s">
        <v>44</v>
      </c>
      <c r="F110" s="572">
        <v>1</v>
      </c>
      <c r="G110" s="572">
        <v>2444</v>
      </c>
      <c r="H110" s="683">
        <v>0.15</v>
      </c>
      <c r="I110" s="574">
        <f aca="true" t="shared" si="109" ref="I110:I117">(F110*G110*H110)*13</f>
        <v>4765.799999999999</v>
      </c>
      <c r="J110" s="575">
        <v>1</v>
      </c>
      <c r="K110" s="575">
        <f>2444*1.03</f>
        <v>2517.32</v>
      </c>
      <c r="L110" s="684">
        <v>0.15</v>
      </c>
      <c r="M110" s="574">
        <f>(J110*K110*L110)*13</f>
        <v>4908.774</v>
      </c>
      <c r="N110" s="685">
        <f t="shared" si="100"/>
        <v>9674.574</v>
      </c>
      <c r="O110" s="536">
        <f t="shared" si="84"/>
        <v>3665.999999999999</v>
      </c>
      <c r="P110" s="536">
        <f t="shared" si="85"/>
        <v>3775.98</v>
      </c>
      <c r="Q110" s="536">
        <f t="shared" si="86"/>
        <v>7441.98</v>
      </c>
      <c r="R110" s="525">
        <f t="shared" si="101"/>
        <v>3951.1</v>
      </c>
      <c r="S110" s="525">
        <f t="shared" si="102"/>
        <v>957.6740000000004</v>
      </c>
      <c r="T110" s="475">
        <f t="shared" si="103"/>
        <v>0.804905664836067</v>
      </c>
      <c r="U110" s="476"/>
      <c r="V110" s="476"/>
      <c r="W110" s="476"/>
      <c r="X110" s="476"/>
      <c r="Y110" s="476"/>
      <c r="Z110" s="476"/>
      <c r="AA110" s="476"/>
      <c r="AB110" s="476"/>
      <c r="AC110" s="476"/>
      <c r="AD110" s="476"/>
      <c r="AE110" s="476"/>
      <c r="AF110" s="476"/>
      <c r="AG110" s="535">
        <f t="shared" si="104"/>
        <v>9275.46</v>
      </c>
      <c r="AH110" s="535">
        <f t="shared" si="94"/>
        <v>399.1140000000014</v>
      </c>
      <c r="AI110" s="477">
        <f t="shared" si="87"/>
        <v>0.9587460905255362</v>
      </c>
      <c r="AJ110" s="461"/>
      <c r="AK110" s="511">
        <v>409.14</v>
      </c>
      <c r="AL110" s="511">
        <v>327.24</v>
      </c>
      <c r="AM110" s="511">
        <v>444.12</v>
      </c>
      <c r="AN110" s="511">
        <v>0</v>
      </c>
      <c r="AO110" s="512">
        <f t="shared" si="88"/>
        <v>1180.5</v>
      </c>
      <c r="AP110" s="511">
        <v>555.92</v>
      </c>
      <c r="AQ110" s="511">
        <v>321.63</v>
      </c>
      <c r="AR110" s="511">
        <v>290.81</v>
      </c>
      <c r="AS110" s="512">
        <f t="shared" si="89"/>
        <v>1168.36</v>
      </c>
      <c r="AT110" s="511">
        <v>321.03</v>
      </c>
      <c r="AU110" s="511">
        <v>320.44</v>
      </c>
      <c r="AV110" s="511">
        <v>321.06</v>
      </c>
      <c r="AW110" s="512">
        <f t="shared" si="90"/>
        <v>962.53</v>
      </c>
      <c r="AX110" s="511">
        <v>2012.97</v>
      </c>
      <c r="AY110" s="511">
        <v>0</v>
      </c>
      <c r="AZ110" s="511">
        <v>0</v>
      </c>
      <c r="BA110" s="512">
        <f t="shared" si="91"/>
        <v>2012.97</v>
      </c>
      <c r="BB110" s="513"/>
      <c r="BC110" s="511">
        <v>105.88</v>
      </c>
      <c r="BD110" s="511">
        <v>643.26</v>
      </c>
      <c r="BE110" s="511">
        <v>1245.73</v>
      </c>
      <c r="BF110" s="511">
        <v>0</v>
      </c>
      <c r="BG110" s="512">
        <f t="shared" si="105"/>
        <v>1994.87</v>
      </c>
      <c r="BH110" s="511">
        <v>1198.09</v>
      </c>
      <c r="BI110" s="511">
        <v>220.78</v>
      </c>
      <c r="BJ110" s="511">
        <v>154.54</v>
      </c>
      <c r="BK110" s="512">
        <f t="shared" si="106"/>
        <v>1573.4099999999999</v>
      </c>
      <c r="BL110" s="511">
        <v>158.74</v>
      </c>
      <c r="BM110" s="511">
        <v>224.08</v>
      </c>
      <c r="BN110" s="511">
        <v>0</v>
      </c>
      <c r="BO110" s="512">
        <f t="shared" si="107"/>
        <v>382.82000000000005</v>
      </c>
      <c r="BP110" s="511">
        <v>0</v>
      </c>
      <c r="BQ110" s="511">
        <v>0</v>
      </c>
      <c r="BR110" s="511">
        <v>0</v>
      </c>
      <c r="BS110" s="512">
        <f t="shared" si="108"/>
        <v>0</v>
      </c>
      <c r="BT110" s="513"/>
      <c r="BU110" s="748">
        <v>399</v>
      </c>
      <c r="BV110" s="752">
        <v>1000</v>
      </c>
      <c r="BW110" s="752">
        <v>1000</v>
      </c>
      <c r="BX110" s="752">
        <v>1000</v>
      </c>
      <c r="BY110" s="752">
        <v>1000</v>
      </c>
      <c r="BZ110" s="752">
        <v>1800</v>
      </c>
      <c r="CA110" s="753">
        <f t="shared" si="92"/>
        <v>5800</v>
      </c>
      <c r="CB110" s="754">
        <f t="shared" si="93"/>
        <v>14.536340852130326</v>
      </c>
    </row>
    <row r="111" spans="1:80" s="460" customFormat="1" ht="15.75">
      <c r="A111" s="484" t="s">
        <v>112</v>
      </c>
      <c r="B111" s="679" t="s">
        <v>384</v>
      </c>
      <c r="C111" s="680" t="s">
        <v>385</v>
      </c>
      <c r="D111" s="681" t="s">
        <v>383</v>
      </c>
      <c r="E111" s="467" t="s">
        <v>44</v>
      </c>
      <c r="F111" s="572">
        <v>1</v>
      </c>
      <c r="G111" s="572">
        <v>2208</v>
      </c>
      <c r="H111" s="683">
        <v>0.17</v>
      </c>
      <c r="I111" s="574">
        <f t="shared" si="109"/>
        <v>4879.68</v>
      </c>
      <c r="J111" s="575">
        <v>1</v>
      </c>
      <c r="K111" s="575">
        <f>2208*1.03</f>
        <v>2274.2400000000002</v>
      </c>
      <c r="L111" s="684">
        <v>0.17</v>
      </c>
      <c r="M111" s="574">
        <f aca="true" t="shared" si="110" ref="M111:M117">(J111*K111*L111)*13</f>
        <v>5026.070400000001</v>
      </c>
      <c r="N111" s="685">
        <f t="shared" si="100"/>
        <v>9905.7504</v>
      </c>
      <c r="O111" s="536">
        <f t="shared" si="84"/>
        <v>3753.6</v>
      </c>
      <c r="P111" s="536">
        <f t="shared" si="85"/>
        <v>3866.208000000001</v>
      </c>
      <c r="Q111" s="536">
        <f t="shared" si="86"/>
        <v>7619.808000000001</v>
      </c>
      <c r="R111" s="525">
        <f t="shared" si="101"/>
        <v>3482.9700000000003</v>
      </c>
      <c r="S111" s="525">
        <f t="shared" si="102"/>
        <v>1543.1004000000012</v>
      </c>
      <c r="T111" s="475">
        <f t="shared" si="103"/>
        <v>0.6929807429677068</v>
      </c>
      <c r="U111" s="476"/>
      <c r="V111" s="476"/>
      <c r="W111" s="476"/>
      <c r="X111" s="476"/>
      <c r="Y111" s="476"/>
      <c r="Z111" s="476"/>
      <c r="AA111" s="476"/>
      <c r="AB111" s="476"/>
      <c r="AC111" s="476"/>
      <c r="AD111" s="476"/>
      <c r="AE111" s="476"/>
      <c r="AF111" s="476"/>
      <c r="AG111" s="535">
        <f t="shared" si="104"/>
        <v>8234.519999999999</v>
      </c>
      <c r="AH111" s="535">
        <f t="shared" si="94"/>
        <v>1671.2304000000022</v>
      </c>
      <c r="AI111" s="477">
        <f t="shared" si="87"/>
        <v>0.8312868452651501</v>
      </c>
      <c r="AJ111" s="461"/>
      <c r="AK111" s="511">
        <v>0</v>
      </c>
      <c r="AL111" s="511">
        <v>396.74</v>
      </c>
      <c r="AM111" s="511">
        <v>666.8</v>
      </c>
      <c r="AN111" s="511">
        <v>0</v>
      </c>
      <c r="AO111" s="512">
        <f t="shared" si="88"/>
        <v>1063.54</v>
      </c>
      <c r="AP111" s="511">
        <v>348.08</v>
      </c>
      <c r="AQ111" s="511">
        <v>397.92</v>
      </c>
      <c r="AR111" s="511">
        <v>395.19</v>
      </c>
      <c r="AS111" s="512">
        <f t="shared" si="89"/>
        <v>1141.19</v>
      </c>
      <c r="AT111" s="511">
        <v>397.25</v>
      </c>
      <c r="AU111" s="511">
        <v>349.91</v>
      </c>
      <c r="AV111" s="511">
        <v>350.51</v>
      </c>
      <c r="AW111" s="512">
        <f t="shared" si="90"/>
        <v>1097.67</v>
      </c>
      <c r="AX111" s="511">
        <v>1287.38</v>
      </c>
      <c r="AY111" s="511">
        <v>46.73</v>
      </c>
      <c r="AZ111" s="511">
        <v>115.04</v>
      </c>
      <c r="BA111" s="512">
        <f t="shared" si="91"/>
        <v>1449.15</v>
      </c>
      <c r="BB111" s="513"/>
      <c r="BC111" s="511">
        <v>584.36</v>
      </c>
      <c r="BD111" s="511">
        <v>273.7</v>
      </c>
      <c r="BE111" s="511">
        <v>953.05</v>
      </c>
      <c r="BF111" s="511">
        <v>0</v>
      </c>
      <c r="BG111" s="512">
        <f t="shared" si="105"/>
        <v>1811.11</v>
      </c>
      <c r="BH111" s="511">
        <v>286.44</v>
      </c>
      <c r="BI111" s="511">
        <v>482.17</v>
      </c>
      <c r="BJ111" s="511">
        <v>-672.25</v>
      </c>
      <c r="BK111" s="512">
        <f t="shared" si="106"/>
        <v>96.36000000000001</v>
      </c>
      <c r="BL111" s="511">
        <v>0</v>
      </c>
      <c r="BM111" s="511">
        <v>0</v>
      </c>
      <c r="BN111" s="511">
        <v>674.53</v>
      </c>
      <c r="BO111" s="512">
        <f t="shared" si="107"/>
        <v>674.53</v>
      </c>
      <c r="BP111" s="511">
        <v>900.97</v>
      </c>
      <c r="BQ111" s="511">
        <v>0</v>
      </c>
      <c r="BR111" s="511">
        <v>0</v>
      </c>
      <c r="BS111" s="512">
        <f t="shared" si="108"/>
        <v>900.97</v>
      </c>
      <c r="BT111" s="513"/>
      <c r="BU111" s="748">
        <v>1671</v>
      </c>
      <c r="BV111" s="752">
        <v>500</v>
      </c>
      <c r="BW111" s="752">
        <v>500</v>
      </c>
      <c r="BX111" s="752">
        <v>500</v>
      </c>
      <c r="BY111" s="752">
        <v>500</v>
      </c>
      <c r="BZ111" s="752">
        <v>1000</v>
      </c>
      <c r="CA111" s="753">
        <f t="shared" si="92"/>
        <v>3000</v>
      </c>
      <c r="CB111" s="754">
        <f t="shared" si="93"/>
        <v>1.7953321364452424</v>
      </c>
    </row>
    <row r="112" spans="1:80" s="460" customFormat="1" ht="15.75">
      <c r="A112" s="484" t="s">
        <v>113</v>
      </c>
      <c r="B112" s="679" t="s">
        <v>386</v>
      </c>
      <c r="C112" s="680" t="s">
        <v>387</v>
      </c>
      <c r="D112" s="681" t="s">
        <v>383</v>
      </c>
      <c r="E112" s="467" t="s">
        <v>44</v>
      </c>
      <c r="F112" s="572">
        <v>1</v>
      </c>
      <c r="G112" s="572">
        <v>1571</v>
      </c>
      <c r="H112" s="683">
        <v>0.17</v>
      </c>
      <c r="I112" s="574">
        <f t="shared" si="109"/>
        <v>3471.91</v>
      </c>
      <c r="J112" s="575">
        <v>1</v>
      </c>
      <c r="K112" s="575">
        <f>1571*1.03</f>
        <v>1618.13</v>
      </c>
      <c r="L112" s="684">
        <v>0.17</v>
      </c>
      <c r="M112" s="574">
        <f t="shared" si="110"/>
        <v>3576.0673</v>
      </c>
      <c r="N112" s="685">
        <f t="shared" si="100"/>
        <v>7047.9773000000005</v>
      </c>
      <c r="O112" s="536">
        <f t="shared" si="84"/>
        <v>2670.7</v>
      </c>
      <c r="P112" s="536">
        <f t="shared" si="85"/>
        <v>2750.821</v>
      </c>
      <c r="Q112" s="536">
        <f t="shared" si="86"/>
        <v>5421.521</v>
      </c>
      <c r="R112" s="525">
        <f t="shared" si="101"/>
        <v>3006.3799999999997</v>
      </c>
      <c r="S112" s="525">
        <f t="shared" si="102"/>
        <v>569.6873000000005</v>
      </c>
      <c r="T112" s="475">
        <f t="shared" si="103"/>
        <v>0.8406944690330631</v>
      </c>
      <c r="U112" s="476"/>
      <c r="V112" s="476"/>
      <c r="W112" s="476"/>
      <c r="X112" s="476"/>
      <c r="Y112" s="476"/>
      <c r="Z112" s="476"/>
      <c r="AA112" s="476"/>
      <c r="AB112" s="476"/>
      <c r="AC112" s="476"/>
      <c r="AD112" s="476"/>
      <c r="AE112" s="476"/>
      <c r="AF112" s="476"/>
      <c r="AG112" s="535">
        <f t="shared" si="104"/>
        <v>6400.9400000000005</v>
      </c>
      <c r="AH112" s="535">
        <f t="shared" si="94"/>
        <v>647.0373</v>
      </c>
      <c r="AI112" s="477">
        <f t="shared" si="87"/>
        <v>0.9081953200955968</v>
      </c>
      <c r="AJ112" s="461"/>
      <c r="AK112" s="511">
        <v>0</v>
      </c>
      <c r="AL112" s="511">
        <v>104.23</v>
      </c>
      <c r="AM112" s="511">
        <v>917.53</v>
      </c>
      <c r="AN112" s="511">
        <v>0</v>
      </c>
      <c r="AO112" s="512">
        <f t="shared" si="88"/>
        <v>1021.76</v>
      </c>
      <c r="AP112" s="511">
        <v>262.56</v>
      </c>
      <c r="AQ112" s="511">
        <v>224.53</v>
      </c>
      <c r="AR112" s="511">
        <v>226.55</v>
      </c>
      <c r="AS112" s="512">
        <f t="shared" si="89"/>
        <v>713.6400000000001</v>
      </c>
      <c r="AT112" s="511">
        <v>223.18</v>
      </c>
      <c r="AU112" s="511">
        <v>197.53</v>
      </c>
      <c r="AV112" s="511">
        <v>202.78</v>
      </c>
      <c r="AW112" s="512">
        <f t="shared" si="90"/>
        <v>623.49</v>
      </c>
      <c r="AX112" s="511">
        <v>696.53</v>
      </c>
      <c r="AY112" s="511">
        <v>136.14</v>
      </c>
      <c r="AZ112" s="511">
        <v>203</v>
      </c>
      <c r="BA112" s="512">
        <f t="shared" si="91"/>
        <v>1035.67</v>
      </c>
      <c r="BB112" s="513"/>
      <c r="BC112" s="511">
        <v>262.22</v>
      </c>
      <c r="BD112" s="511">
        <v>216.95</v>
      </c>
      <c r="BE112" s="511">
        <v>753.6</v>
      </c>
      <c r="BF112" s="511">
        <v>0</v>
      </c>
      <c r="BG112" s="512">
        <f t="shared" si="105"/>
        <v>1232.77</v>
      </c>
      <c r="BH112" s="511">
        <v>201.41</v>
      </c>
      <c r="BI112" s="511">
        <v>161.63</v>
      </c>
      <c r="BJ112" s="511">
        <v>137.1</v>
      </c>
      <c r="BK112" s="512">
        <f t="shared" si="106"/>
        <v>500.14</v>
      </c>
      <c r="BL112" s="511">
        <v>123</v>
      </c>
      <c r="BM112" s="511">
        <v>283.23</v>
      </c>
      <c r="BN112" s="511">
        <v>95.93</v>
      </c>
      <c r="BO112" s="512">
        <f t="shared" si="107"/>
        <v>502.16</v>
      </c>
      <c r="BP112" s="511">
        <v>771.31</v>
      </c>
      <c r="BQ112" s="511">
        <v>0</v>
      </c>
      <c r="BR112" s="511">
        <v>0</v>
      </c>
      <c r="BS112" s="512">
        <f t="shared" si="108"/>
        <v>771.31</v>
      </c>
      <c r="BT112" s="513"/>
      <c r="BU112" s="748">
        <v>647</v>
      </c>
      <c r="BV112" s="752">
        <v>800</v>
      </c>
      <c r="BW112" s="752">
        <v>800</v>
      </c>
      <c r="BX112" s="752">
        <v>800</v>
      </c>
      <c r="BY112" s="752">
        <v>800</v>
      </c>
      <c r="BZ112" s="752">
        <v>1500</v>
      </c>
      <c r="CA112" s="753">
        <f t="shared" si="92"/>
        <v>4700</v>
      </c>
      <c r="CB112" s="754">
        <f t="shared" si="93"/>
        <v>7.2642967542503865</v>
      </c>
    </row>
    <row r="113" spans="1:80" s="460" customFormat="1" ht="15" customHeight="1">
      <c r="A113" s="484" t="s">
        <v>114</v>
      </c>
      <c r="B113" s="679" t="s">
        <v>388</v>
      </c>
      <c r="C113" s="680" t="s">
        <v>389</v>
      </c>
      <c r="D113" s="681" t="s">
        <v>383</v>
      </c>
      <c r="E113" s="467" t="s">
        <v>44</v>
      </c>
      <c r="F113" s="572">
        <v>1</v>
      </c>
      <c r="G113" s="572">
        <v>1057</v>
      </c>
      <c r="H113" s="683">
        <v>0.17</v>
      </c>
      <c r="I113" s="574">
        <f t="shared" si="109"/>
        <v>2335.9700000000003</v>
      </c>
      <c r="J113" s="575">
        <v>1</v>
      </c>
      <c r="K113" s="575">
        <f>1057*1.03</f>
        <v>1088.71</v>
      </c>
      <c r="L113" s="684">
        <v>0.17</v>
      </c>
      <c r="M113" s="574">
        <f t="shared" si="110"/>
        <v>2406.0491</v>
      </c>
      <c r="N113" s="685">
        <f t="shared" si="100"/>
        <v>4742.0191</v>
      </c>
      <c r="O113" s="536">
        <f t="shared" si="84"/>
        <v>1796.9</v>
      </c>
      <c r="P113" s="536">
        <f t="shared" si="85"/>
        <v>1850.807</v>
      </c>
      <c r="Q113" s="536">
        <f t="shared" si="86"/>
        <v>3647.7070000000003</v>
      </c>
      <c r="R113" s="525">
        <f t="shared" si="101"/>
        <v>1897.56</v>
      </c>
      <c r="S113" s="525">
        <f t="shared" si="102"/>
        <v>508.48910000000024</v>
      </c>
      <c r="T113" s="475">
        <f t="shared" si="103"/>
        <v>0.7886622097612221</v>
      </c>
      <c r="U113" s="476"/>
      <c r="V113" s="476"/>
      <c r="W113" s="476"/>
      <c r="X113" s="476"/>
      <c r="Y113" s="476"/>
      <c r="Z113" s="476"/>
      <c r="AA113" s="476"/>
      <c r="AB113" s="476"/>
      <c r="AC113" s="476"/>
      <c r="AD113" s="476"/>
      <c r="AE113" s="476"/>
      <c r="AF113" s="476"/>
      <c r="AG113" s="535">
        <f t="shared" si="104"/>
        <v>3519.39</v>
      </c>
      <c r="AH113" s="535">
        <f t="shared" si="94"/>
        <v>1222.6291000000006</v>
      </c>
      <c r="AI113" s="477">
        <f t="shared" si="87"/>
        <v>0.7421711987621474</v>
      </c>
      <c r="AJ113" s="461"/>
      <c r="AK113" s="511">
        <v>0</v>
      </c>
      <c r="AL113" s="511">
        <v>7.5</v>
      </c>
      <c r="AM113" s="511">
        <v>0</v>
      </c>
      <c r="AN113" s="511">
        <v>0</v>
      </c>
      <c r="AO113" s="512">
        <f t="shared" si="88"/>
        <v>7.5</v>
      </c>
      <c r="AP113" s="511">
        <v>213.77</v>
      </c>
      <c r="AQ113" s="511">
        <v>145.37</v>
      </c>
      <c r="AR113" s="511">
        <v>11.47</v>
      </c>
      <c r="AS113" s="512">
        <f t="shared" si="89"/>
        <v>370.61</v>
      </c>
      <c r="AT113" s="511">
        <v>149.65</v>
      </c>
      <c r="AU113" s="511">
        <v>128.45</v>
      </c>
      <c r="AV113" s="511">
        <v>130.85</v>
      </c>
      <c r="AW113" s="512">
        <f t="shared" si="90"/>
        <v>408.95000000000005</v>
      </c>
      <c r="AX113" s="511">
        <v>532.09</v>
      </c>
      <c r="AY113" s="511">
        <v>176.04</v>
      </c>
      <c r="AZ113" s="511">
        <v>126.64</v>
      </c>
      <c r="BA113" s="512">
        <f t="shared" si="91"/>
        <v>834.77</v>
      </c>
      <c r="BB113" s="513"/>
      <c r="BC113" s="511">
        <v>88.31</v>
      </c>
      <c r="BD113" s="511">
        <v>173.66</v>
      </c>
      <c r="BE113" s="511">
        <v>216.51</v>
      </c>
      <c r="BF113" s="511">
        <v>0</v>
      </c>
      <c r="BG113" s="512">
        <f t="shared" si="105"/>
        <v>478.48</v>
      </c>
      <c r="BH113" s="511">
        <v>172.79</v>
      </c>
      <c r="BI113" s="511">
        <v>136.79</v>
      </c>
      <c r="BJ113" s="511">
        <v>133.19</v>
      </c>
      <c r="BK113" s="512">
        <f t="shared" si="106"/>
        <v>442.77</v>
      </c>
      <c r="BL113" s="511">
        <v>135.59</v>
      </c>
      <c r="BM113" s="511">
        <v>140.92</v>
      </c>
      <c r="BN113" s="511">
        <v>140.91</v>
      </c>
      <c r="BO113" s="512">
        <f t="shared" si="107"/>
        <v>417.41999999999996</v>
      </c>
      <c r="BP113" s="511">
        <v>558.89</v>
      </c>
      <c r="BQ113" s="511">
        <v>0</v>
      </c>
      <c r="BR113" s="511">
        <v>0</v>
      </c>
      <c r="BS113" s="512">
        <f t="shared" si="108"/>
        <v>558.89</v>
      </c>
      <c r="BT113" s="513"/>
      <c r="BU113" s="748">
        <v>1222</v>
      </c>
      <c r="BV113" s="752">
        <v>400</v>
      </c>
      <c r="BW113" s="752">
        <v>400</v>
      </c>
      <c r="BX113" s="752">
        <v>400</v>
      </c>
      <c r="BY113" s="752">
        <v>400</v>
      </c>
      <c r="BZ113" s="752">
        <v>800</v>
      </c>
      <c r="CA113" s="753">
        <f t="shared" si="92"/>
        <v>2400</v>
      </c>
      <c r="CB113" s="754">
        <f t="shared" si="93"/>
        <v>1.9639934533551555</v>
      </c>
    </row>
    <row r="114" spans="1:80" s="460" customFormat="1" ht="15" customHeight="1">
      <c r="A114" s="484" t="s">
        <v>115</v>
      </c>
      <c r="B114" s="679" t="s">
        <v>390</v>
      </c>
      <c r="C114" s="680" t="s">
        <v>391</v>
      </c>
      <c r="D114" s="681" t="s">
        <v>383</v>
      </c>
      <c r="E114" s="467" t="s">
        <v>44</v>
      </c>
      <c r="F114" s="572">
        <v>1</v>
      </c>
      <c r="G114" s="572">
        <v>699</v>
      </c>
      <c r="H114" s="683">
        <v>0.7</v>
      </c>
      <c r="I114" s="574">
        <f t="shared" si="109"/>
        <v>6360.9</v>
      </c>
      <c r="J114" s="575">
        <v>1</v>
      </c>
      <c r="K114" s="575">
        <f>699*1.03</f>
        <v>719.97</v>
      </c>
      <c r="L114" s="684">
        <v>0.7</v>
      </c>
      <c r="M114" s="574">
        <f t="shared" si="110"/>
        <v>6551.727</v>
      </c>
      <c r="N114" s="685">
        <f t="shared" si="100"/>
        <v>12912.627</v>
      </c>
      <c r="O114" s="536">
        <f t="shared" si="84"/>
        <v>4893</v>
      </c>
      <c r="P114" s="536">
        <f t="shared" si="85"/>
        <v>5039.79</v>
      </c>
      <c r="Q114" s="536">
        <f t="shared" si="86"/>
        <v>9932.79</v>
      </c>
      <c r="R114" s="525">
        <f t="shared" si="101"/>
        <v>8247.720000000001</v>
      </c>
      <c r="S114" s="525">
        <f t="shared" si="102"/>
        <v>-1695.9930000000013</v>
      </c>
      <c r="T114" s="475">
        <f t="shared" si="103"/>
        <v>1.2588619763918736</v>
      </c>
      <c r="U114" s="476"/>
      <c r="V114" s="476"/>
      <c r="W114" s="476"/>
      <c r="X114" s="476"/>
      <c r="Y114" s="476"/>
      <c r="Z114" s="476"/>
      <c r="AA114" s="476"/>
      <c r="AB114" s="476"/>
      <c r="AC114" s="476"/>
      <c r="AD114" s="476"/>
      <c r="AE114" s="476"/>
      <c r="AF114" s="476"/>
      <c r="AG114" s="535">
        <f t="shared" si="104"/>
        <v>14398.89</v>
      </c>
      <c r="AH114" s="535">
        <f t="shared" si="94"/>
        <v>-1486.262999999999</v>
      </c>
      <c r="AI114" s="477">
        <f t="shared" si="87"/>
        <v>1.1151015203955013</v>
      </c>
      <c r="AJ114" s="461"/>
      <c r="AK114" s="511">
        <v>0</v>
      </c>
      <c r="AL114" s="511">
        <v>211.08</v>
      </c>
      <c r="AM114" s="511">
        <v>457.27</v>
      </c>
      <c r="AN114" s="511">
        <v>0</v>
      </c>
      <c r="AO114" s="512">
        <f t="shared" si="88"/>
        <v>668.35</v>
      </c>
      <c r="AP114" s="511">
        <v>443.8</v>
      </c>
      <c r="AQ114" s="511">
        <v>610.78</v>
      </c>
      <c r="AR114" s="511">
        <v>739.48</v>
      </c>
      <c r="AS114" s="512">
        <f t="shared" si="89"/>
        <v>1794.06</v>
      </c>
      <c r="AT114" s="511">
        <v>573.51</v>
      </c>
      <c r="AU114" s="511">
        <v>575.09</v>
      </c>
      <c r="AV114" s="511">
        <v>639.24</v>
      </c>
      <c r="AW114" s="512">
        <f t="shared" si="90"/>
        <v>1787.84</v>
      </c>
      <c r="AX114" s="511">
        <v>1386.88</v>
      </c>
      <c r="AY114" s="511">
        <v>939.02</v>
      </c>
      <c r="AZ114" s="511">
        <v>-424.98</v>
      </c>
      <c r="BA114" s="512">
        <f t="shared" si="91"/>
        <v>1900.92</v>
      </c>
      <c r="BB114" s="513"/>
      <c r="BC114" s="511">
        <v>144.8</v>
      </c>
      <c r="BD114" s="511">
        <v>264.65</v>
      </c>
      <c r="BE114" s="511">
        <v>862.05</v>
      </c>
      <c r="BF114" s="511">
        <v>0</v>
      </c>
      <c r="BG114" s="512">
        <f t="shared" si="105"/>
        <v>1271.5</v>
      </c>
      <c r="BH114" s="511">
        <v>645.27</v>
      </c>
      <c r="BI114" s="511">
        <v>667.82</v>
      </c>
      <c r="BJ114" s="511">
        <v>868.81</v>
      </c>
      <c r="BK114" s="512">
        <f t="shared" si="106"/>
        <v>2181.9</v>
      </c>
      <c r="BL114" s="511">
        <v>944.18</v>
      </c>
      <c r="BM114" s="511">
        <v>1329.41</v>
      </c>
      <c r="BN114" s="511">
        <v>1352.27</v>
      </c>
      <c r="BO114" s="512">
        <f t="shared" si="107"/>
        <v>3625.86</v>
      </c>
      <c r="BP114" s="511">
        <v>1168.46</v>
      </c>
      <c r="BQ114" s="511">
        <v>0</v>
      </c>
      <c r="BR114" s="511">
        <v>0</v>
      </c>
      <c r="BS114" s="512">
        <f t="shared" si="108"/>
        <v>1168.46</v>
      </c>
      <c r="BT114" s="513"/>
      <c r="BU114" s="748">
        <f>0-1486</f>
        <v>-1486</v>
      </c>
      <c r="BV114" s="752">
        <v>1200</v>
      </c>
      <c r="BW114" s="752">
        <v>1200</v>
      </c>
      <c r="BX114" s="752">
        <v>1200</v>
      </c>
      <c r="BY114" s="752">
        <v>1200</v>
      </c>
      <c r="BZ114" s="752">
        <v>2400</v>
      </c>
      <c r="CA114" s="753">
        <f t="shared" si="92"/>
        <v>7200</v>
      </c>
      <c r="CB114" s="754">
        <f t="shared" si="93"/>
        <v>-4.8452220726783315</v>
      </c>
    </row>
    <row r="115" spans="1:80" s="460" customFormat="1" ht="15" customHeight="1">
      <c r="A115" s="484" t="s">
        <v>274</v>
      </c>
      <c r="B115" s="679" t="s">
        <v>392</v>
      </c>
      <c r="C115" s="680" t="s">
        <v>393</v>
      </c>
      <c r="D115" s="681" t="s">
        <v>383</v>
      </c>
      <c r="E115" s="467" t="s">
        <v>44</v>
      </c>
      <c r="F115" s="572">
        <v>1</v>
      </c>
      <c r="G115" s="572">
        <v>592</v>
      </c>
      <c r="H115" s="683">
        <v>0.17</v>
      </c>
      <c r="I115" s="574">
        <f t="shared" si="109"/>
        <v>1308.32</v>
      </c>
      <c r="J115" s="575">
        <v>1</v>
      </c>
      <c r="K115" s="575">
        <f>592*1.03</f>
        <v>609.76</v>
      </c>
      <c r="L115" s="684">
        <v>0.17</v>
      </c>
      <c r="M115" s="574">
        <f t="shared" si="110"/>
        <v>1347.5696000000003</v>
      </c>
      <c r="N115" s="685">
        <f t="shared" si="100"/>
        <v>2655.8896000000004</v>
      </c>
      <c r="O115" s="536">
        <f t="shared" si="84"/>
        <v>1006.3999999999999</v>
      </c>
      <c r="P115" s="536">
        <f t="shared" si="85"/>
        <v>1036.592</v>
      </c>
      <c r="Q115" s="536">
        <f t="shared" si="86"/>
        <v>2042.992</v>
      </c>
      <c r="R115" s="525">
        <f t="shared" si="101"/>
        <v>1065.29</v>
      </c>
      <c r="S115" s="525">
        <f t="shared" si="102"/>
        <v>282.2796000000003</v>
      </c>
      <c r="T115" s="475">
        <f t="shared" si="103"/>
        <v>0.7905268863292848</v>
      </c>
      <c r="U115" s="476"/>
      <c r="V115" s="476"/>
      <c r="W115" s="476"/>
      <c r="X115" s="476"/>
      <c r="Y115" s="476"/>
      <c r="Z115" s="476"/>
      <c r="AA115" s="476"/>
      <c r="AB115" s="476"/>
      <c r="AC115" s="476"/>
      <c r="AD115" s="476"/>
      <c r="AE115" s="476"/>
      <c r="AF115" s="476"/>
      <c r="AG115" s="535">
        <f t="shared" si="104"/>
        <v>2208.84</v>
      </c>
      <c r="AH115" s="535">
        <f t="shared" si="94"/>
        <v>447.0496000000003</v>
      </c>
      <c r="AI115" s="477">
        <f t="shared" si="87"/>
        <v>0.8316761359357707</v>
      </c>
      <c r="AJ115" s="461"/>
      <c r="AK115" s="511">
        <v>0</v>
      </c>
      <c r="AL115" s="511">
        <v>40.61</v>
      </c>
      <c r="AM115" s="511">
        <v>213.26</v>
      </c>
      <c r="AN115" s="511">
        <v>0</v>
      </c>
      <c r="AO115" s="512">
        <f t="shared" si="88"/>
        <v>253.87</v>
      </c>
      <c r="AP115" s="511">
        <v>22.99</v>
      </c>
      <c r="AQ115" s="511">
        <v>97.56</v>
      </c>
      <c r="AR115" s="511">
        <v>82.92</v>
      </c>
      <c r="AS115" s="512">
        <f t="shared" si="89"/>
        <v>203.47</v>
      </c>
      <c r="AT115" s="511">
        <v>80.92</v>
      </c>
      <c r="AU115" s="511">
        <v>70.8</v>
      </c>
      <c r="AV115" s="511">
        <v>68.39</v>
      </c>
      <c r="AW115" s="512">
        <f t="shared" si="90"/>
        <v>220.11</v>
      </c>
      <c r="AX115" s="511">
        <v>257.53</v>
      </c>
      <c r="AY115" s="511">
        <v>102.96</v>
      </c>
      <c r="AZ115" s="511">
        <v>105.61</v>
      </c>
      <c r="BA115" s="512">
        <f t="shared" si="91"/>
        <v>466.09999999999997</v>
      </c>
      <c r="BB115" s="513"/>
      <c r="BC115" s="511">
        <v>9.59</v>
      </c>
      <c r="BD115" s="511">
        <v>72.01</v>
      </c>
      <c r="BE115" s="511">
        <v>154.1</v>
      </c>
      <c r="BF115" s="511">
        <v>0</v>
      </c>
      <c r="BG115" s="512">
        <f t="shared" si="105"/>
        <v>235.7</v>
      </c>
      <c r="BH115" s="511">
        <v>69.85</v>
      </c>
      <c r="BI115" s="511">
        <v>98.74</v>
      </c>
      <c r="BJ115" s="511">
        <v>88.86</v>
      </c>
      <c r="BK115" s="512">
        <f t="shared" si="106"/>
        <v>257.45</v>
      </c>
      <c r="BL115" s="511">
        <v>113.42</v>
      </c>
      <c r="BM115" s="511">
        <v>125.81</v>
      </c>
      <c r="BN115" s="511">
        <v>63.7</v>
      </c>
      <c r="BO115" s="512">
        <f t="shared" si="107"/>
        <v>302.93</v>
      </c>
      <c r="BP115" s="511">
        <v>269.21</v>
      </c>
      <c r="BQ115" s="511">
        <v>0</v>
      </c>
      <c r="BR115" s="511">
        <v>0</v>
      </c>
      <c r="BS115" s="512">
        <f t="shared" si="108"/>
        <v>269.21</v>
      </c>
      <c r="BT115" s="513"/>
      <c r="BU115" s="748">
        <v>447</v>
      </c>
      <c r="BV115" s="752">
        <v>300</v>
      </c>
      <c r="BW115" s="752">
        <v>300</v>
      </c>
      <c r="BX115" s="752">
        <v>300</v>
      </c>
      <c r="BY115" s="752">
        <v>300</v>
      </c>
      <c r="BZ115" s="752">
        <v>600</v>
      </c>
      <c r="CA115" s="753">
        <f t="shared" si="92"/>
        <v>1800</v>
      </c>
      <c r="CB115" s="754">
        <f t="shared" si="93"/>
        <v>4.026845637583893</v>
      </c>
    </row>
    <row r="116" spans="1:80" s="460" customFormat="1" ht="15" customHeight="1">
      <c r="A116" s="484" t="s">
        <v>275</v>
      </c>
      <c r="B116" s="679" t="s">
        <v>394</v>
      </c>
      <c r="C116" s="680" t="s">
        <v>395</v>
      </c>
      <c r="D116" s="681" t="s">
        <v>383</v>
      </c>
      <c r="E116" s="467" t="s">
        <v>44</v>
      </c>
      <c r="F116" s="572">
        <v>1</v>
      </c>
      <c r="G116" s="572">
        <v>3853</v>
      </c>
      <c r="H116" s="683">
        <v>0.1</v>
      </c>
      <c r="I116" s="574">
        <f t="shared" si="109"/>
        <v>5008.900000000001</v>
      </c>
      <c r="J116" s="575">
        <v>1</v>
      </c>
      <c r="K116" s="575">
        <f>3853*1.03</f>
        <v>3968.59</v>
      </c>
      <c r="L116" s="684">
        <v>0.1</v>
      </c>
      <c r="M116" s="574">
        <f t="shared" si="110"/>
        <v>5159.167</v>
      </c>
      <c r="N116" s="685">
        <f t="shared" si="100"/>
        <v>10168.067000000001</v>
      </c>
      <c r="O116" s="536">
        <f t="shared" si="84"/>
        <v>3853.0000000000005</v>
      </c>
      <c r="P116" s="536">
        <f t="shared" si="85"/>
        <v>3968.59</v>
      </c>
      <c r="Q116" s="536">
        <f t="shared" si="86"/>
        <v>7821.59</v>
      </c>
      <c r="R116" s="525">
        <f t="shared" si="101"/>
        <v>3510.84</v>
      </c>
      <c r="S116" s="525">
        <f t="shared" si="102"/>
        <v>1648.3270000000002</v>
      </c>
      <c r="T116" s="475">
        <f t="shared" si="103"/>
        <v>0.6805052055884215</v>
      </c>
      <c r="U116" s="476"/>
      <c r="V116" s="476"/>
      <c r="W116" s="476"/>
      <c r="X116" s="476"/>
      <c r="Y116" s="476"/>
      <c r="Z116" s="476"/>
      <c r="AA116" s="476"/>
      <c r="AB116" s="476"/>
      <c r="AC116" s="476"/>
      <c r="AD116" s="476"/>
      <c r="AE116" s="476"/>
      <c r="AF116" s="476"/>
      <c r="AG116" s="535">
        <f t="shared" si="104"/>
        <v>9426.630000000001</v>
      </c>
      <c r="AH116" s="535">
        <f t="shared" si="94"/>
        <v>741.4369999999999</v>
      </c>
      <c r="AI116" s="477">
        <f t="shared" si="87"/>
        <v>0.9270818140753794</v>
      </c>
      <c r="AJ116" s="461"/>
      <c r="AK116" s="511">
        <v>385.24</v>
      </c>
      <c r="AL116" s="511">
        <v>385.25</v>
      </c>
      <c r="AM116" s="511">
        <v>1523.53</v>
      </c>
      <c r="AN116" s="511">
        <v>0</v>
      </c>
      <c r="AO116" s="512">
        <f t="shared" si="88"/>
        <v>2294.02</v>
      </c>
      <c r="AP116" s="511">
        <v>986.94</v>
      </c>
      <c r="AQ116" s="511">
        <v>394.36</v>
      </c>
      <c r="AR116" s="511">
        <v>1967.87</v>
      </c>
      <c r="AS116" s="512">
        <f t="shared" si="89"/>
        <v>3349.17</v>
      </c>
      <c r="AT116" s="511">
        <v>0</v>
      </c>
      <c r="AU116" s="511">
        <v>0</v>
      </c>
      <c r="AV116" s="511">
        <v>0</v>
      </c>
      <c r="AW116" s="512">
        <f t="shared" si="90"/>
        <v>0</v>
      </c>
      <c r="AX116" s="511">
        <v>193.01</v>
      </c>
      <c r="AY116" s="511">
        <v>0</v>
      </c>
      <c r="AZ116" s="511">
        <v>79.59</v>
      </c>
      <c r="BA116" s="512">
        <f t="shared" si="91"/>
        <v>272.6</v>
      </c>
      <c r="BB116" s="513"/>
      <c r="BC116" s="511">
        <v>0</v>
      </c>
      <c r="BD116" s="511">
        <v>394.78</v>
      </c>
      <c r="BE116" s="511">
        <v>781.94</v>
      </c>
      <c r="BF116" s="511">
        <v>0</v>
      </c>
      <c r="BG116" s="512">
        <f t="shared" si="105"/>
        <v>1176.72</v>
      </c>
      <c r="BH116" s="511">
        <v>403.78</v>
      </c>
      <c r="BI116" s="511">
        <v>81.71</v>
      </c>
      <c r="BJ116" s="511">
        <v>81.71</v>
      </c>
      <c r="BK116" s="512">
        <f t="shared" si="106"/>
        <v>567.1999999999999</v>
      </c>
      <c r="BL116" s="511">
        <v>40.77</v>
      </c>
      <c r="BM116" s="511">
        <v>150.84</v>
      </c>
      <c r="BN116" s="511">
        <v>63.1</v>
      </c>
      <c r="BO116" s="512">
        <f t="shared" si="107"/>
        <v>254.71</v>
      </c>
      <c r="BP116" s="511">
        <v>1512.21</v>
      </c>
      <c r="BQ116" s="511">
        <v>0</v>
      </c>
      <c r="BR116" s="511">
        <v>0</v>
      </c>
      <c r="BS116" s="512">
        <f t="shared" si="108"/>
        <v>1512.21</v>
      </c>
      <c r="BT116" s="513"/>
      <c r="BU116" s="748">
        <v>741</v>
      </c>
      <c r="BV116" s="752">
        <v>1000</v>
      </c>
      <c r="BW116" s="752">
        <v>1000</v>
      </c>
      <c r="BX116" s="752">
        <v>1000</v>
      </c>
      <c r="BY116" s="752">
        <v>1000</v>
      </c>
      <c r="BZ116" s="752">
        <v>2000</v>
      </c>
      <c r="CA116" s="753">
        <f t="shared" si="92"/>
        <v>6000</v>
      </c>
      <c r="CB116" s="754">
        <f t="shared" si="93"/>
        <v>8.097165991902834</v>
      </c>
    </row>
    <row r="117" spans="1:80" s="460" customFormat="1" ht="15.75">
      <c r="A117" s="484" t="s">
        <v>276</v>
      </c>
      <c r="B117" s="679" t="s">
        <v>396</v>
      </c>
      <c r="C117" s="680" t="s">
        <v>397</v>
      </c>
      <c r="D117" s="681" t="s">
        <v>383</v>
      </c>
      <c r="E117" s="467" t="s">
        <v>44</v>
      </c>
      <c r="F117" s="572">
        <v>1</v>
      </c>
      <c r="G117" s="573">
        <v>337</v>
      </c>
      <c r="H117" s="683">
        <v>0.7</v>
      </c>
      <c r="I117" s="574">
        <f t="shared" si="109"/>
        <v>3066.7</v>
      </c>
      <c r="J117" s="575">
        <v>1</v>
      </c>
      <c r="K117" s="575">
        <f>337*1.03</f>
        <v>347.11</v>
      </c>
      <c r="L117" s="684">
        <v>0.7</v>
      </c>
      <c r="M117" s="574">
        <f t="shared" si="110"/>
        <v>3158.701</v>
      </c>
      <c r="N117" s="685">
        <f t="shared" si="100"/>
        <v>6225.401</v>
      </c>
      <c r="O117" s="536">
        <f t="shared" si="84"/>
        <v>2359</v>
      </c>
      <c r="P117" s="536">
        <f t="shared" si="85"/>
        <v>2429.77</v>
      </c>
      <c r="Q117" s="536">
        <f t="shared" si="86"/>
        <v>4788.77</v>
      </c>
      <c r="R117" s="525">
        <f t="shared" si="101"/>
        <v>2682.7400000000002</v>
      </c>
      <c r="S117" s="525">
        <f t="shared" si="102"/>
        <v>475.9609999999998</v>
      </c>
      <c r="T117" s="475">
        <f t="shared" si="103"/>
        <v>0.8493174884232475</v>
      </c>
      <c r="U117" s="476"/>
      <c r="V117" s="476"/>
      <c r="W117" s="476"/>
      <c r="X117" s="476"/>
      <c r="Y117" s="476"/>
      <c r="Z117" s="476"/>
      <c r="AA117" s="476"/>
      <c r="AB117" s="476"/>
      <c r="AC117" s="476"/>
      <c r="AD117" s="476"/>
      <c r="AE117" s="476"/>
      <c r="AF117" s="476"/>
      <c r="AG117" s="535">
        <f t="shared" si="104"/>
        <v>5467.31</v>
      </c>
      <c r="AH117" s="535">
        <f t="shared" si="94"/>
        <v>758.0909999999994</v>
      </c>
      <c r="AI117" s="477">
        <f t="shared" si="87"/>
        <v>0.878226157640287</v>
      </c>
      <c r="AJ117" s="461"/>
      <c r="AK117" s="511">
        <v>235.39</v>
      </c>
      <c r="AL117" s="511">
        <v>195.04</v>
      </c>
      <c r="AM117" s="511">
        <v>366.02</v>
      </c>
      <c r="AN117" s="511">
        <v>0</v>
      </c>
      <c r="AO117" s="512">
        <f t="shared" si="88"/>
        <v>796.4499999999999</v>
      </c>
      <c r="AP117" s="511">
        <v>181.12</v>
      </c>
      <c r="AQ117" s="511">
        <v>235.57</v>
      </c>
      <c r="AR117" s="511">
        <v>235.47</v>
      </c>
      <c r="AS117" s="512">
        <f t="shared" si="89"/>
        <v>652.16</v>
      </c>
      <c r="AT117" s="511">
        <v>215.78</v>
      </c>
      <c r="AU117" s="511">
        <v>215.78</v>
      </c>
      <c r="AV117" s="511">
        <v>232.59</v>
      </c>
      <c r="AW117" s="512">
        <f t="shared" si="90"/>
        <v>664.15</v>
      </c>
      <c r="AX117" s="511">
        <v>312.74</v>
      </c>
      <c r="AY117" s="511">
        <v>225.92</v>
      </c>
      <c r="AZ117" s="511">
        <v>133.15</v>
      </c>
      <c r="BA117" s="512">
        <f t="shared" si="91"/>
        <v>671.81</v>
      </c>
      <c r="BB117" s="513"/>
      <c r="BC117" s="511">
        <v>13.44</v>
      </c>
      <c r="BD117" s="511">
        <v>112.12</v>
      </c>
      <c r="BE117" s="511">
        <v>217.71</v>
      </c>
      <c r="BF117" s="511">
        <v>0</v>
      </c>
      <c r="BG117" s="512">
        <f t="shared" si="105"/>
        <v>343.27</v>
      </c>
      <c r="BH117" s="511">
        <v>221.96</v>
      </c>
      <c r="BI117" s="511">
        <v>49.91</v>
      </c>
      <c r="BJ117" s="511">
        <v>341.26</v>
      </c>
      <c r="BK117" s="512">
        <f t="shared" si="106"/>
        <v>613.13</v>
      </c>
      <c r="BL117" s="511">
        <v>367.05</v>
      </c>
      <c r="BM117" s="511">
        <v>525.42</v>
      </c>
      <c r="BN117" s="511">
        <v>487.41</v>
      </c>
      <c r="BO117" s="512">
        <f t="shared" si="107"/>
        <v>1379.88</v>
      </c>
      <c r="BP117" s="511">
        <v>346.46</v>
      </c>
      <c r="BQ117" s="511">
        <v>0</v>
      </c>
      <c r="BR117" s="511">
        <v>0</v>
      </c>
      <c r="BS117" s="512">
        <f t="shared" si="108"/>
        <v>346.46</v>
      </c>
      <c r="BT117" s="513"/>
      <c r="BU117" s="748">
        <v>758</v>
      </c>
      <c r="BV117" s="752">
        <v>300</v>
      </c>
      <c r="BW117" s="752">
        <v>300</v>
      </c>
      <c r="BX117" s="752">
        <v>300</v>
      </c>
      <c r="BY117" s="752">
        <v>300</v>
      </c>
      <c r="BZ117" s="752">
        <v>600</v>
      </c>
      <c r="CA117" s="753">
        <f t="shared" si="92"/>
        <v>1800</v>
      </c>
      <c r="CB117" s="754">
        <f t="shared" si="93"/>
        <v>2.37467018469657</v>
      </c>
    </row>
    <row r="118" spans="1:80" s="460" customFormat="1" ht="15.75">
      <c r="A118" s="484" t="s">
        <v>277</v>
      </c>
      <c r="B118" s="679" t="s">
        <v>398</v>
      </c>
      <c r="C118" s="680" t="s">
        <v>399</v>
      </c>
      <c r="D118" s="681" t="s">
        <v>383</v>
      </c>
      <c r="E118" s="467" t="s">
        <v>44</v>
      </c>
      <c r="F118" s="572">
        <v>1</v>
      </c>
      <c r="G118" s="572">
        <v>9102</v>
      </c>
      <c r="H118" s="683">
        <v>0.17</v>
      </c>
      <c r="I118" s="574">
        <f>(F118*G118*H118)*12</f>
        <v>18568.08</v>
      </c>
      <c r="J118" s="575">
        <v>1</v>
      </c>
      <c r="K118" s="575">
        <v>9102</v>
      </c>
      <c r="L118" s="684">
        <v>0.17</v>
      </c>
      <c r="M118" s="574">
        <f>(J118*K118*L118)*12</f>
        <v>18568.08</v>
      </c>
      <c r="N118" s="685">
        <f t="shared" si="100"/>
        <v>37136.16</v>
      </c>
      <c r="O118" s="536">
        <f t="shared" si="84"/>
        <v>14283.138461538463</v>
      </c>
      <c r="P118" s="536">
        <f t="shared" si="85"/>
        <v>14283.138461538463</v>
      </c>
      <c r="Q118" s="536">
        <f t="shared" si="86"/>
        <v>28566.276923076926</v>
      </c>
      <c r="R118" s="525">
        <f t="shared" si="101"/>
        <v>5616.599999999999</v>
      </c>
      <c r="S118" s="525">
        <f t="shared" si="102"/>
        <v>12951.480000000003</v>
      </c>
      <c r="T118" s="475">
        <f t="shared" si="103"/>
        <v>0.3024868483978957</v>
      </c>
      <c r="U118" s="476"/>
      <c r="V118" s="476"/>
      <c r="W118" s="476"/>
      <c r="X118" s="476"/>
      <c r="Y118" s="476"/>
      <c r="Z118" s="476"/>
      <c r="AA118" s="476"/>
      <c r="AB118" s="476"/>
      <c r="AC118" s="476"/>
      <c r="AD118" s="476"/>
      <c r="AE118" s="476"/>
      <c r="AF118" s="476"/>
      <c r="AG118" s="535">
        <f t="shared" si="104"/>
        <v>15780.19</v>
      </c>
      <c r="AH118" s="535">
        <f t="shared" si="94"/>
        <v>21355.97</v>
      </c>
      <c r="AI118" s="477">
        <f t="shared" si="87"/>
        <v>0.4249278869974709</v>
      </c>
      <c r="AJ118" s="461"/>
      <c r="AK118" s="511">
        <v>0</v>
      </c>
      <c r="AL118" s="511">
        <v>42.94</v>
      </c>
      <c r="AM118" s="511">
        <v>1000.17</v>
      </c>
      <c r="AN118" s="511">
        <v>0</v>
      </c>
      <c r="AO118" s="512">
        <f t="shared" si="88"/>
        <v>1043.11</v>
      </c>
      <c r="AP118" s="511">
        <v>0.3</v>
      </c>
      <c r="AQ118" s="511">
        <v>721.87</v>
      </c>
      <c r="AR118" s="511">
        <v>897.58</v>
      </c>
      <c r="AS118" s="512">
        <f t="shared" si="89"/>
        <v>1619.75</v>
      </c>
      <c r="AT118" s="511">
        <v>1360.19</v>
      </c>
      <c r="AU118" s="511">
        <v>1088.67</v>
      </c>
      <c r="AV118" s="511">
        <v>1998.46</v>
      </c>
      <c r="AW118" s="512">
        <f t="shared" si="90"/>
        <v>4447.32</v>
      </c>
      <c r="AX118" s="511">
        <v>1034.15</v>
      </c>
      <c r="AY118" s="511">
        <v>933.11</v>
      </c>
      <c r="AZ118" s="511">
        <v>1086.15</v>
      </c>
      <c r="BA118" s="512">
        <f t="shared" si="91"/>
        <v>3053.4100000000003</v>
      </c>
      <c r="BB118" s="513"/>
      <c r="BC118" s="511">
        <v>669.88</v>
      </c>
      <c r="BD118" s="511">
        <v>533.84</v>
      </c>
      <c r="BE118" s="511">
        <v>543.03</v>
      </c>
      <c r="BF118" s="511">
        <v>0</v>
      </c>
      <c r="BG118" s="512">
        <f t="shared" si="105"/>
        <v>1746.75</v>
      </c>
      <c r="BH118" s="511">
        <v>542.91</v>
      </c>
      <c r="BI118" s="511">
        <v>570.44</v>
      </c>
      <c r="BJ118" s="511">
        <v>419.34</v>
      </c>
      <c r="BK118" s="512">
        <f t="shared" si="106"/>
        <v>1532.6899999999998</v>
      </c>
      <c r="BL118" s="511">
        <v>837.86</v>
      </c>
      <c r="BM118" s="511">
        <v>725.8</v>
      </c>
      <c r="BN118" s="511">
        <v>138.68</v>
      </c>
      <c r="BO118" s="512">
        <f t="shared" si="107"/>
        <v>1702.34</v>
      </c>
      <c r="BP118" s="511">
        <v>634.82</v>
      </c>
      <c r="BQ118" s="511">
        <v>0</v>
      </c>
      <c r="BR118" s="511">
        <v>0</v>
      </c>
      <c r="BS118" s="512">
        <f t="shared" si="108"/>
        <v>634.82</v>
      </c>
      <c r="BT118" s="513"/>
      <c r="BU118" s="748">
        <v>21356</v>
      </c>
      <c r="BV118" s="752">
        <v>1000</v>
      </c>
      <c r="BW118" s="752">
        <v>1000</v>
      </c>
      <c r="BX118" s="752">
        <v>1000</v>
      </c>
      <c r="BY118" s="752">
        <v>1000</v>
      </c>
      <c r="BZ118" s="752">
        <v>2000</v>
      </c>
      <c r="CA118" s="753">
        <f t="shared" si="92"/>
        <v>6000</v>
      </c>
      <c r="CB118" s="754">
        <f t="shared" si="93"/>
        <v>0.2809514890428919</v>
      </c>
    </row>
    <row r="119" spans="1:80" s="460" customFormat="1" ht="15.75">
      <c r="A119" s="484" t="s">
        <v>278</v>
      </c>
      <c r="B119" s="679" t="s">
        <v>400</v>
      </c>
      <c r="C119" s="680" t="s">
        <v>401</v>
      </c>
      <c r="D119" s="681" t="s">
        <v>383</v>
      </c>
      <c r="E119" s="467" t="s">
        <v>44</v>
      </c>
      <c r="F119" s="572">
        <v>1</v>
      </c>
      <c r="G119" s="572">
        <v>7436</v>
      </c>
      <c r="H119" s="683">
        <v>0.17</v>
      </c>
      <c r="I119" s="574">
        <f>(F119*G119*H119)*12</f>
        <v>15169.440000000002</v>
      </c>
      <c r="J119" s="575">
        <v>1</v>
      </c>
      <c r="K119" s="575">
        <v>7436</v>
      </c>
      <c r="L119" s="684">
        <v>0.17</v>
      </c>
      <c r="M119" s="574">
        <f>(J119*K119*L119)*12</f>
        <v>15169.440000000002</v>
      </c>
      <c r="N119" s="685">
        <f t="shared" si="100"/>
        <v>30338.880000000005</v>
      </c>
      <c r="O119" s="536">
        <f t="shared" si="84"/>
        <v>11668.800000000001</v>
      </c>
      <c r="P119" s="536">
        <f t="shared" si="85"/>
        <v>11668.800000000001</v>
      </c>
      <c r="Q119" s="536">
        <f t="shared" si="86"/>
        <v>23337.600000000002</v>
      </c>
      <c r="R119" s="525">
        <f t="shared" si="101"/>
        <v>11948.130000000001</v>
      </c>
      <c r="S119" s="525">
        <f t="shared" si="102"/>
        <v>3221.3100000000013</v>
      </c>
      <c r="T119" s="475">
        <f t="shared" si="103"/>
        <v>0.7876447647375249</v>
      </c>
      <c r="U119" s="476"/>
      <c r="V119" s="476"/>
      <c r="W119" s="476"/>
      <c r="X119" s="476"/>
      <c r="Y119" s="476"/>
      <c r="Z119" s="476"/>
      <c r="AA119" s="476"/>
      <c r="AB119" s="476"/>
      <c r="AC119" s="476"/>
      <c r="AD119" s="476"/>
      <c r="AE119" s="476"/>
      <c r="AF119" s="476"/>
      <c r="AG119" s="535">
        <f t="shared" si="104"/>
        <v>21813.489999999998</v>
      </c>
      <c r="AH119" s="535">
        <f t="shared" si="94"/>
        <v>8525.390000000007</v>
      </c>
      <c r="AI119" s="477">
        <f t="shared" si="87"/>
        <v>0.7189945706631226</v>
      </c>
      <c r="AJ119" s="461"/>
      <c r="AK119" s="511">
        <v>0</v>
      </c>
      <c r="AL119" s="511">
        <v>0</v>
      </c>
      <c r="AM119" s="511">
        <v>753.53</v>
      </c>
      <c r="AN119" s="511">
        <v>0</v>
      </c>
      <c r="AO119" s="512">
        <f t="shared" si="88"/>
        <v>753.53</v>
      </c>
      <c r="AP119" s="511">
        <v>756.53</v>
      </c>
      <c r="AQ119" s="511">
        <v>2397.61</v>
      </c>
      <c r="AR119" s="511">
        <v>109.43</v>
      </c>
      <c r="AS119" s="512">
        <f t="shared" si="89"/>
        <v>3263.57</v>
      </c>
      <c r="AT119" s="511">
        <v>549.94</v>
      </c>
      <c r="AU119" s="511">
        <v>964.37</v>
      </c>
      <c r="AV119" s="511">
        <v>863.27</v>
      </c>
      <c r="AW119" s="512">
        <f t="shared" si="90"/>
        <v>2377.58</v>
      </c>
      <c r="AX119" s="511">
        <v>1012.6</v>
      </c>
      <c r="AY119" s="511">
        <v>986.54</v>
      </c>
      <c r="AZ119" s="511">
        <v>1471.54</v>
      </c>
      <c r="BA119" s="512">
        <f t="shared" si="91"/>
        <v>3470.68</v>
      </c>
      <c r="BB119" s="513"/>
      <c r="BC119" s="511">
        <v>2061.78</v>
      </c>
      <c r="BD119" s="511">
        <v>466.51</v>
      </c>
      <c r="BE119" s="511">
        <v>415.24</v>
      </c>
      <c r="BF119" s="511">
        <v>0</v>
      </c>
      <c r="BG119" s="512">
        <f t="shared" si="105"/>
        <v>2943.5299999999997</v>
      </c>
      <c r="BH119" s="511">
        <v>965.6</v>
      </c>
      <c r="BI119" s="511">
        <v>204.1</v>
      </c>
      <c r="BJ119" s="511">
        <v>4085.54</v>
      </c>
      <c r="BK119" s="512">
        <f t="shared" si="106"/>
        <v>5255.24</v>
      </c>
      <c r="BL119" s="511">
        <v>1344.45</v>
      </c>
      <c r="BM119" s="511">
        <v>7.56</v>
      </c>
      <c r="BN119" s="511">
        <v>1192</v>
      </c>
      <c r="BO119" s="512">
        <f t="shared" si="107"/>
        <v>2544.01</v>
      </c>
      <c r="BP119" s="511">
        <v>1205.35</v>
      </c>
      <c r="BQ119" s="511">
        <v>0</v>
      </c>
      <c r="BR119" s="511">
        <v>0</v>
      </c>
      <c r="BS119" s="512">
        <f t="shared" si="108"/>
        <v>1205.35</v>
      </c>
      <c r="BT119" s="513"/>
      <c r="BU119" s="748">
        <v>8525</v>
      </c>
      <c r="BV119" s="752">
        <v>1000</v>
      </c>
      <c r="BW119" s="752">
        <v>1000</v>
      </c>
      <c r="BX119" s="752">
        <v>1000</v>
      </c>
      <c r="BY119" s="752">
        <v>1000</v>
      </c>
      <c r="BZ119" s="752">
        <v>2000</v>
      </c>
      <c r="CA119" s="753">
        <f t="shared" si="92"/>
        <v>6000</v>
      </c>
      <c r="CB119" s="754">
        <f t="shared" si="93"/>
        <v>0.7038123167155426</v>
      </c>
    </row>
    <row r="120" spans="1:80" s="460" customFormat="1" ht="15" customHeight="1">
      <c r="A120" s="484" t="s">
        <v>279</v>
      </c>
      <c r="B120" s="679" t="s">
        <v>402</v>
      </c>
      <c r="C120" s="680" t="s">
        <v>403</v>
      </c>
      <c r="D120" s="681" t="s">
        <v>383</v>
      </c>
      <c r="E120" s="467" t="s">
        <v>44</v>
      </c>
      <c r="F120" s="572">
        <v>1</v>
      </c>
      <c r="G120" s="572">
        <v>7436</v>
      </c>
      <c r="H120" s="683">
        <v>0.17</v>
      </c>
      <c r="I120" s="574">
        <f>(F120*G120*H120)*12</f>
        <v>15169.440000000002</v>
      </c>
      <c r="J120" s="575">
        <v>1</v>
      </c>
      <c r="K120" s="575">
        <v>7436</v>
      </c>
      <c r="L120" s="684">
        <v>0.17</v>
      </c>
      <c r="M120" s="574">
        <f>(J120*K120*L120)*12</f>
        <v>15169.440000000002</v>
      </c>
      <c r="N120" s="685">
        <f t="shared" si="100"/>
        <v>30338.880000000005</v>
      </c>
      <c r="O120" s="536">
        <f t="shared" si="84"/>
        <v>11668.800000000001</v>
      </c>
      <c r="P120" s="536">
        <f t="shared" si="85"/>
        <v>11668.800000000001</v>
      </c>
      <c r="Q120" s="536">
        <f t="shared" si="86"/>
        <v>23337.600000000002</v>
      </c>
      <c r="R120" s="525">
        <f t="shared" si="101"/>
        <v>5691.08</v>
      </c>
      <c r="S120" s="525">
        <f t="shared" si="102"/>
        <v>9478.360000000002</v>
      </c>
      <c r="T120" s="475">
        <f t="shared" si="103"/>
        <v>0.3751674419095233</v>
      </c>
      <c r="U120" s="476"/>
      <c r="V120" s="476"/>
      <c r="W120" s="476"/>
      <c r="X120" s="476"/>
      <c r="Y120" s="476"/>
      <c r="Z120" s="476"/>
      <c r="AA120" s="476"/>
      <c r="AB120" s="476"/>
      <c r="AC120" s="476"/>
      <c r="AD120" s="476"/>
      <c r="AE120" s="476"/>
      <c r="AF120" s="476"/>
      <c r="AG120" s="535">
        <f t="shared" si="104"/>
        <v>14301.359999999997</v>
      </c>
      <c r="AH120" s="535">
        <f t="shared" si="94"/>
        <v>16037.520000000008</v>
      </c>
      <c r="AI120" s="477">
        <f t="shared" si="87"/>
        <v>0.4713872100749927</v>
      </c>
      <c r="AJ120" s="461"/>
      <c r="AK120" s="511">
        <v>0</v>
      </c>
      <c r="AL120" s="511">
        <v>525.12</v>
      </c>
      <c r="AM120" s="511">
        <v>752.63</v>
      </c>
      <c r="AN120" s="511">
        <v>0</v>
      </c>
      <c r="AO120" s="512">
        <f t="shared" si="88"/>
        <v>1277.75</v>
      </c>
      <c r="AP120" s="511">
        <v>531.38</v>
      </c>
      <c r="AQ120" s="511">
        <v>860.32</v>
      </c>
      <c r="AR120" s="511">
        <v>639.49</v>
      </c>
      <c r="AS120" s="512">
        <f t="shared" si="89"/>
        <v>2031.19</v>
      </c>
      <c r="AT120" s="511">
        <v>784.91</v>
      </c>
      <c r="AU120" s="511">
        <v>692.76</v>
      </c>
      <c r="AV120" s="511">
        <v>576.12</v>
      </c>
      <c r="AW120" s="512">
        <f t="shared" si="90"/>
        <v>2053.79</v>
      </c>
      <c r="AX120" s="511">
        <v>756.86</v>
      </c>
      <c r="AY120" s="511">
        <v>472.44</v>
      </c>
      <c r="AZ120" s="511">
        <v>2018.25</v>
      </c>
      <c r="BA120" s="512">
        <f t="shared" si="91"/>
        <v>3247.55</v>
      </c>
      <c r="BB120" s="513"/>
      <c r="BC120" s="511">
        <v>598.75</v>
      </c>
      <c r="BD120" s="511">
        <v>830.8</v>
      </c>
      <c r="BE120" s="511">
        <v>845.1</v>
      </c>
      <c r="BF120" s="511">
        <v>0</v>
      </c>
      <c r="BG120" s="512">
        <f t="shared" si="105"/>
        <v>2274.65</v>
      </c>
      <c r="BH120" s="511">
        <v>663.86</v>
      </c>
      <c r="BI120" s="511">
        <v>882.33</v>
      </c>
      <c r="BJ120" s="511">
        <v>493.04</v>
      </c>
      <c r="BK120" s="512">
        <f t="shared" si="106"/>
        <v>2039.23</v>
      </c>
      <c r="BL120" s="511">
        <v>666.53</v>
      </c>
      <c r="BM120" s="511">
        <v>710.67</v>
      </c>
      <c r="BN120" s="511">
        <v>0</v>
      </c>
      <c r="BO120" s="512">
        <f t="shared" si="107"/>
        <v>1377.1999999999998</v>
      </c>
      <c r="BP120" s="511">
        <v>0</v>
      </c>
      <c r="BQ120" s="511">
        <v>0</v>
      </c>
      <c r="BR120" s="511">
        <v>0</v>
      </c>
      <c r="BS120" s="512">
        <f t="shared" si="108"/>
        <v>0</v>
      </c>
      <c r="BT120" s="513"/>
      <c r="BU120" s="748">
        <v>16037</v>
      </c>
      <c r="BV120" s="752">
        <v>1000</v>
      </c>
      <c r="BW120" s="752">
        <v>1000</v>
      </c>
      <c r="BX120" s="752">
        <v>1000</v>
      </c>
      <c r="BY120" s="752">
        <v>1000</v>
      </c>
      <c r="BZ120" s="752">
        <v>2000</v>
      </c>
      <c r="CA120" s="753">
        <f t="shared" si="92"/>
        <v>6000</v>
      </c>
      <c r="CB120" s="754">
        <f t="shared" si="93"/>
        <v>0.37413481324437237</v>
      </c>
    </row>
    <row r="121" spans="1:80" s="460" customFormat="1" ht="15.75" customHeight="1">
      <c r="A121" s="485"/>
      <c r="B121" s="478" t="s">
        <v>404</v>
      </c>
      <c r="C121" s="700" t="s">
        <v>404</v>
      </c>
      <c r="D121" s="701"/>
      <c r="E121" s="701"/>
      <c r="F121" s="478"/>
      <c r="G121" s="478"/>
      <c r="H121" s="478"/>
      <c r="I121" s="702">
        <f>SUM(I109:I120)</f>
        <v>105299.14000000001</v>
      </c>
      <c r="J121" s="702"/>
      <c r="K121" s="702"/>
      <c r="L121" s="702"/>
      <c r="M121" s="702">
        <f>SUM(M109:M120)</f>
        <v>106990.90540000002</v>
      </c>
      <c r="N121" s="702">
        <f>SUM(N109:N120)</f>
        <v>212290.0454</v>
      </c>
      <c r="O121" s="536">
        <f t="shared" si="84"/>
        <v>80999.33846153847</v>
      </c>
      <c r="P121" s="536">
        <f t="shared" si="85"/>
        <v>82300.69646153848</v>
      </c>
      <c r="Q121" s="536">
        <f t="shared" si="86"/>
        <v>163300.03492307695</v>
      </c>
      <c r="R121" s="702">
        <f>SUM(R109:R120)</f>
        <v>69780.11000000002</v>
      </c>
      <c r="S121" s="702">
        <f>SUM(S109:S120)</f>
        <v>37210.79540000001</v>
      </c>
      <c r="T121" s="537">
        <f>R121/I121</f>
        <v>0.6626845195506821</v>
      </c>
      <c r="U121" s="476"/>
      <c r="V121" s="476"/>
      <c r="W121" s="476"/>
      <c r="X121" s="476"/>
      <c r="Y121" s="476"/>
      <c r="Z121" s="476"/>
      <c r="AA121" s="476"/>
      <c r="AB121" s="476"/>
      <c r="AC121" s="476"/>
      <c r="AD121" s="476"/>
      <c r="AE121" s="476"/>
      <c r="AF121" s="476"/>
      <c r="AG121" s="702">
        <f>SUM(AG109:AG120)</f>
        <v>146666.38999999998</v>
      </c>
      <c r="AH121" s="702">
        <f>SUM(AH109:AH120)</f>
        <v>65623.65540000002</v>
      </c>
      <c r="AI121" s="537">
        <f t="shared" si="87"/>
        <v>0.6908773782757879</v>
      </c>
      <c r="AJ121" s="461"/>
      <c r="AK121" s="702">
        <f aca="true" t="shared" si="111" ref="AK121:BA121">SUM(AK109:AK120)</f>
        <v>1029.77</v>
      </c>
      <c r="AL121" s="702">
        <f t="shared" si="111"/>
        <v>2235.75</v>
      </c>
      <c r="AM121" s="702">
        <f t="shared" si="111"/>
        <v>8844.279999999999</v>
      </c>
      <c r="AN121" s="702">
        <f t="shared" si="111"/>
        <v>0</v>
      </c>
      <c r="AO121" s="702">
        <f t="shared" si="111"/>
        <v>12109.800000000003</v>
      </c>
      <c r="AP121" s="702">
        <f t="shared" si="111"/>
        <v>6167.12</v>
      </c>
      <c r="AQ121" s="702">
        <f t="shared" si="111"/>
        <v>8631.26</v>
      </c>
      <c r="AR121" s="702">
        <f t="shared" si="111"/>
        <v>7220</v>
      </c>
      <c r="AS121" s="702">
        <f t="shared" si="111"/>
        <v>22018.379999999997</v>
      </c>
      <c r="AT121" s="702">
        <f t="shared" si="111"/>
        <v>6276.120000000001</v>
      </c>
      <c r="AU121" s="702">
        <f t="shared" si="111"/>
        <v>6211.850000000001</v>
      </c>
      <c r="AV121" s="702">
        <f t="shared" si="111"/>
        <v>7005.3</v>
      </c>
      <c r="AW121" s="702">
        <f t="shared" si="111"/>
        <v>19493.27</v>
      </c>
      <c r="AX121" s="702">
        <f t="shared" si="111"/>
        <v>11096.470000000001</v>
      </c>
      <c r="AY121" s="702">
        <f t="shared" si="111"/>
        <v>5636.629999999999</v>
      </c>
      <c r="AZ121" s="702">
        <f t="shared" si="111"/>
        <v>6531.73</v>
      </c>
      <c r="BA121" s="702">
        <f t="shared" si="111"/>
        <v>23264.83</v>
      </c>
      <c r="BB121" s="513"/>
      <c r="BC121" s="702">
        <f aca="true" t="shared" si="112" ref="BC121:BS121">SUM(BC109:BC120)</f>
        <v>6158.470000000001</v>
      </c>
      <c r="BD121" s="702">
        <f t="shared" si="112"/>
        <v>5606.01</v>
      </c>
      <c r="BE121" s="702">
        <f t="shared" si="112"/>
        <v>10167.54</v>
      </c>
      <c r="BF121" s="702">
        <f t="shared" si="112"/>
        <v>0</v>
      </c>
      <c r="BG121" s="702">
        <f t="shared" si="112"/>
        <v>21932.020000000004</v>
      </c>
      <c r="BH121" s="702">
        <f t="shared" si="112"/>
        <v>7030.11</v>
      </c>
      <c r="BI121" s="702">
        <f t="shared" si="112"/>
        <v>5234.55</v>
      </c>
      <c r="BJ121" s="702">
        <f t="shared" si="112"/>
        <v>7857.27</v>
      </c>
      <c r="BK121" s="702">
        <f t="shared" si="112"/>
        <v>20121.93</v>
      </c>
      <c r="BL121" s="702">
        <f t="shared" si="112"/>
        <v>6331.719999999999</v>
      </c>
      <c r="BM121" s="702">
        <f t="shared" si="112"/>
        <v>6087.2300000000005</v>
      </c>
      <c r="BN121" s="702">
        <f t="shared" si="112"/>
        <v>6074.04</v>
      </c>
      <c r="BO121" s="702">
        <f t="shared" si="112"/>
        <v>18492.99</v>
      </c>
      <c r="BP121" s="702">
        <f t="shared" si="112"/>
        <v>9233.17</v>
      </c>
      <c r="BQ121" s="702">
        <f t="shared" si="112"/>
        <v>0</v>
      </c>
      <c r="BR121" s="702">
        <f t="shared" si="112"/>
        <v>0</v>
      </c>
      <c r="BS121" s="702">
        <f t="shared" si="112"/>
        <v>9233.17</v>
      </c>
      <c r="BT121" s="513"/>
      <c r="BU121" s="783">
        <f aca="true" t="shared" si="113" ref="BU121:BZ121">SUM(BU109:BU120)</f>
        <v>65621</v>
      </c>
      <c r="BV121" s="702">
        <f t="shared" si="113"/>
        <v>10350</v>
      </c>
      <c r="BW121" s="702">
        <f t="shared" si="113"/>
        <v>10350</v>
      </c>
      <c r="BX121" s="702">
        <f t="shared" si="113"/>
        <v>10350</v>
      </c>
      <c r="BY121" s="702">
        <f t="shared" si="113"/>
        <v>10350</v>
      </c>
      <c r="BZ121" s="702">
        <f t="shared" si="113"/>
        <v>20400</v>
      </c>
      <c r="CA121" s="743">
        <f t="shared" si="92"/>
        <v>61800</v>
      </c>
      <c r="CB121" s="744">
        <f t="shared" si="93"/>
        <v>0.9417716889410402</v>
      </c>
    </row>
    <row r="122" spans="1:80" s="460" customFormat="1" ht="15" customHeight="1">
      <c r="A122" s="485"/>
      <c r="B122" s="692" t="s">
        <v>4</v>
      </c>
      <c r="C122" s="693" t="s">
        <v>405</v>
      </c>
      <c r="D122" s="694"/>
      <c r="E122" s="694"/>
      <c r="F122" s="692"/>
      <c r="G122" s="692"/>
      <c r="H122" s="692"/>
      <c r="I122" s="703"/>
      <c r="J122" s="695"/>
      <c r="K122" s="695"/>
      <c r="L122" s="695"/>
      <c r="M122" s="704"/>
      <c r="N122" s="704"/>
      <c r="O122" s="704"/>
      <c r="P122" s="704"/>
      <c r="Q122" s="704"/>
      <c r="R122" s="704"/>
      <c r="S122" s="704"/>
      <c r="T122" s="704"/>
      <c r="U122" s="704"/>
      <c r="V122" s="704"/>
      <c r="W122" s="704"/>
      <c r="X122" s="704"/>
      <c r="Y122" s="704"/>
      <c r="Z122" s="704"/>
      <c r="AA122" s="704"/>
      <c r="AB122" s="704"/>
      <c r="AC122" s="704"/>
      <c r="AD122" s="704"/>
      <c r="AE122" s="704"/>
      <c r="AF122" s="704"/>
      <c r="AG122" s="704"/>
      <c r="AH122" s="704"/>
      <c r="AI122" s="704"/>
      <c r="AJ122" s="704"/>
      <c r="AK122" s="704"/>
      <c r="AL122" s="704"/>
      <c r="AM122" s="704"/>
      <c r="AN122" s="704"/>
      <c r="AO122" s="704"/>
      <c r="AP122" s="704"/>
      <c r="AQ122" s="704"/>
      <c r="AR122" s="704"/>
      <c r="AS122" s="704"/>
      <c r="AT122" s="704"/>
      <c r="AU122" s="704"/>
      <c r="AV122" s="704"/>
      <c r="AW122" s="704"/>
      <c r="AX122" s="704"/>
      <c r="AY122" s="704"/>
      <c r="AZ122" s="704"/>
      <c r="BA122" s="704"/>
      <c r="BB122" s="513"/>
      <c r="BC122" s="704"/>
      <c r="BD122" s="704"/>
      <c r="BE122" s="704"/>
      <c r="BF122" s="704"/>
      <c r="BG122" s="704"/>
      <c r="BH122" s="704"/>
      <c r="BI122" s="704"/>
      <c r="BJ122" s="704"/>
      <c r="BK122" s="704"/>
      <c r="BL122" s="704"/>
      <c r="BM122" s="704"/>
      <c r="BN122" s="704"/>
      <c r="BO122" s="704"/>
      <c r="BP122" s="704"/>
      <c r="BQ122" s="704"/>
      <c r="BR122" s="704"/>
      <c r="BS122" s="704"/>
      <c r="BT122" s="513"/>
      <c r="BU122" s="785"/>
      <c r="BV122" s="739"/>
      <c r="BW122" s="739"/>
      <c r="BX122" s="739"/>
      <c r="BY122" s="739"/>
      <c r="BZ122" s="739"/>
      <c r="CA122" s="739"/>
      <c r="CB122" s="739"/>
    </row>
    <row r="123" spans="1:80" s="460" customFormat="1" ht="15" customHeight="1">
      <c r="A123" s="485"/>
      <c r="B123" s="679"/>
      <c r="C123" s="680"/>
      <c r="D123" s="705"/>
      <c r="E123" s="706"/>
      <c r="F123" s="572"/>
      <c r="G123" s="572"/>
      <c r="H123" s="683"/>
      <c r="I123" s="574"/>
      <c r="J123" s="575"/>
      <c r="K123" s="575"/>
      <c r="L123" s="684"/>
      <c r="M123" s="574"/>
      <c r="N123" s="685"/>
      <c r="O123" s="685"/>
      <c r="P123" s="685"/>
      <c r="Q123" s="685"/>
      <c r="R123" s="685"/>
      <c r="S123" s="685"/>
      <c r="T123" s="685"/>
      <c r="U123" s="685"/>
      <c r="V123" s="685"/>
      <c r="W123" s="685"/>
      <c r="X123" s="685"/>
      <c r="Y123" s="685"/>
      <c r="Z123" s="685"/>
      <c r="AA123" s="685"/>
      <c r="AB123" s="685"/>
      <c r="AC123" s="685"/>
      <c r="AD123" s="685"/>
      <c r="AE123" s="685"/>
      <c r="AF123" s="685"/>
      <c r="AG123" s="685"/>
      <c r="AH123" s="685"/>
      <c r="AI123" s="685"/>
      <c r="AJ123" s="685"/>
      <c r="AK123" s="685"/>
      <c r="AL123" s="685"/>
      <c r="AM123" s="685"/>
      <c r="AN123" s="685"/>
      <c r="AO123" s="685"/>
      <c r="AP123" s="685"/>
      <c r="AQ123" s="685"/>
      <c r="AR123" s="685"/>
      <c r="AS123" s="685"/>
      <c r="AT123" s="685"/>
      <c r="AU123" s="685"/>
      <c r="AV123" s="685"/>
      <c r="AW123" s="685"/>
      <c r="AX123" s="685"/>
      <c r="AY123" s="685"/>
      <c r="AZ123" s="685"/>
      <c r="BA123" s="685"/>
      <c r="BB123" s="513"/>
      <c r="BC123" s="685"/>
      <c r="BD123" s="685"/>
      <c r="BE123" s="685"/>
      <c r="BF123" s="685"/>
      <c r="BG123" s="685"/>
      <c r="BH123" s="685"/>
      <c r="BI123" s="685"/>
      <c r="BJ123" s="685"/>
      <c r="BK123" s="685"/>
      <c r="BL123" s="685"/>
      <c r="BM123" s="685"/>
      <c r="BN123" s="685"/>
      <c r="BO123" s="685"/>
      <c r="BP123" s="685"/>
      <c r="BQ123" s="685"/>
      <c r="BR123" s="685"/>
      <c r="BS123" s="685"/>
      <c r="BT123" s="513"/>
      <c r="BU123" s="748"/>
      <c r="BV123" s="737"/>
      <c r="BW123" s="737"/>
      <c r="BX123" s="737"/>
      <c r="BY123" s="737"/>
      <c r="BZ123" s="737"/>
      <c r="CA123" s="741"/>
      <c r="CB123" s="742"/>
    </row>
    <row r="124" spans="1:80" s="460" customFormat="1" ht="15" customHeight="1">
      <c r="A124" s="485"/>
      <c r="B124" s="679"/>
      <c r="C124" s="680"/>
      <c r="D124" s="705"/>
      <c r="E124" s="706"/>
      <c r="F124" s="572"/>
      <c r="G124" s="572"/>
      <c r="H124" s="683"/>
      <c r="I124" s="574"/>
      <c r="J124" s="575"/>
      <c r="K124" s="575"/>
      <c r="L124" s="684"/>
      <c r="M124" s="574"/>
      <c r="N124" s="685"/>
      <c r="O124" s="685"/>
      <c r="P124" s="685"/>
      <c r="Q124" s="685"/>
      <c r="R124" s="685"/>
      <c r="S124" s="685"/>
      <c r="T124" s="685"/>
      <c r="U124" s="685"/>
      <c r="V124" s="685"/>
      <c r="W124" s="685"/>
      <c r="X124" s="685"/>
      <c r="Y124" s="685"/>
      <c r="Z124" s="685"/>
      <c r="AA124" s="685"/>
      <c r="AB124" s="685"/>
      <c r="AC124" s="685"/>
      <c r="AD124" s="685"/>
      <c r="AE124" s="685"/>
      <c r="AF124" s="685"/>
      <c r="AG124" s="685"/>
      <c r="AH124" s="685"/>
      <c r="AI124" s="685"/>
      <c r="AJ124" s="685"/>
      <c r="AK124" s="685"/>
      <c r="AL124" s="685"/>
      <c r="AM124" s="685"/>
      <c r="AN124" s="685"/>
      <c r="AO124" s="685"/>
      <c r="AP124" s="685"/>
      <c r="AQ124" s="685"/>
      <c r="AR124" s="685"/>
      <c r="AS124" s="685"/>
      <c r="AT124" s="685"/>
      <c r="AU124" s="685"/>
      <c r="AV124" s="685"/>
      <c r="AW124" s="685"/>
      <c r="AX124" s="685"/>
      <c r="AY124" s="685"/>
      <c r="AZ124" s="685"/>
      <c r="BA124" s="685"/>
      <c r="BB124" s="513"/>
      <c r="BC124" s="685"/>
      <c r="BD124" s="685"/>
      <c r="BE124" s="685"/>
      <c r="BF124" s="685"/>
      <c r="BG124" s="685"/>
      <c r="BH124" s="685"/>
      <c r="BI124" s="685"/>
      <c r="BJ124" s="685"/>
      <c r="BK124" s="685"/>
      <c r="BL124" s="685"/>
      <c r="BM124" s="685"/>
      <c r="BN124" s="685"/>
      <c r="BO124" s="685"/>
      <c r="BP124" s="685"/>
      <c r="BQ124" s="685"/>
      <c r="BR124" s="685"/>
      <c r="BS124" s="685"/>
      <c r="BT124" s="513"/>
      <c r="BU124" s="748"/>
      <c r="BV124" s="737"/>
      <c r="BW124" s="737"/>
      <c r="BX124" s="737"/>
      <c r="BY124" s="737"/>
      <c r="BZ124" s="737"/>
      <c r="CA124" s="741"/>
      <c r="CB124" s="742"/>
    </row>
    <row r="125" spans="1:80" s="460" customFormat="1" ht="15" customHeight="1">
      <c r="A125" s="485"/>
      <c r="B125" s="478" t="s">
        <v>406</v>
      </c>
      <c r="C125" s="700" t="s">
        <v>406</v>
      </c>
      <c r="D125" s="701"/>
      <c r="E125" s="701"/>
      <c r="F125" s="478"/>
      <c r="G125" s="806"/>
      <c r="H125" s="806"/>
      <c r="I125" s="702">
        <f>I123+I124</f>
        <v>0</v>
      </c>
      <c r="J125" s="702"/>
      <c r="K125" s="702"/>
      <c r="L125" s="702"/>
      <c r="M125" s="702">
        <f>M123+M124</f>
        <v>0</v>
      </c>
      <c r="N125" s="702">
        <f>I125+M125</f>
        <v>0</v>
      </c>
      <c r="O125" s="536">
        <f t="shared" si="84"/>
        <v>0</v>
      </c>
      <c r="P125" s="536">
        <f t="shared" si="85"/>
        <v>0</v>
      </c>
      <c r="Q125" s="536">
        <f t="shared" si="86"/>
        <v>0</v>
      </c>
      <c r="R125" s="525">
        <f>BG125+BK125+BO125+BS125</f>
        <v>0</v>
      </c>
      <c r="S125" s="525">
        <f>M125-R125</f>
        <v>0</v>
      </c>
      <c r="T125" s="475" t="e">
        <f>R125/M125</f>
        <v>#DIV/0!</v>
      </c>
      <c r="U125" s="525"/>
      <c r="V125" s="525"/>
      <c r="W125" s="525"/>
      <c r="X125" s="525"/>
      <c r="Y125" s="525"/>
      <c r="Z125" s="525"/>
      <c r="AA125" s="525"/>
      <c r="AB125" s="525"/>
      <c r="AC125" s="525"/>
      <c r="AD125" s="525"/>
      <c r="AE125" s="525"/>
      <c r="AF125" s="525"/>
      <c r="AG125" s="525">
        <f>AO125+AS125+AW125+BA125+BG125+BK125+BO125+BS125</f>
        <v>0</v>
      </c>
      <c r="AH125" s="525">
        <f aca="true" t="shared" si="114" ref="AH125:BA125">SUM(AH123:AH124)</f>
        <v>0</v>
      </c>
      <c r="AI125" s="475" t="e">
        <f>AG125/N125</f>
        <v>#DIV/0!</v>
      </c>
      <c r="AJ125" s="525">
        <f t="shared" si="114"/>
        <v>0</v>
      </c>
      <c r="AK125" s="525">
        <f t="shared" si="114"/>
        <v>0</v>
      </c>
      <c r="AL125" s="525">
        <f t="shared" si="114"/>
        <v>0</v>
      </c>
      <c r="AM125" s="525">
        <f t="shared" si="114"/>
        <v>0</v>
      </c>
      <c r="AN125" s="525">
        <f t="shared" si="114"/>
        <v>0</v>
      </c>
      <c r="AO125" s="525">
        <f t="shared" si="114"/>
        <v>0</v>
      </c>
      <c r="AP125" s="525">
        <f t="shared" si="114"/>
        <v>0</v>
      </c>
      <c r="AQ125" s="525">
        <f t="shared" si="114"/>
        <v>0</v>
      </c>
      <c r="AR125" s="525">
        <f t="shared" si="114"/>
        <v>0</v>
      </c>
      <c r="AS125" s="525">
        <f t="shared" si="114"/>
        <v>0</v>
      </c>
      <c r="AT125" s="525">
        <f t="shared" si="114"/>
        <v>0</v>
      </c>
      <c r="AU125" s="525">
        <f t="shared" si="114"/>
        <v>0</v>
      </c>
      <c r="AV125" s="525">
        <f t="shared" si="114"/>
        <v>0</v>
      </c>
      <c r="AW125" s="525">
        <f t="shared" si="114"/>
        <v>0</v>
      </c>
      <c r="AX125" s="525">
        <f t="shared" si="114"/>
        <v>0</v>
      </c>
      <c r="AY125" s="525">
        <f t="shared" si="114"/>
        <v>0</v>
      </c>
      <c r="AZ125" s="525">
        <f t="shared" si="114"/>
        <v>0</v>
      </c>
      <c r="BA125" s="525">
        <f t="shared" si="114"/>
        <v>0</v>
      </c>
      <c r="BB125" s="513"/>
      <c r="BC125" s="525">
        <f aca="true" t="shared" si="115" ref="BC125:BS125">SUM(BC123:BC124)</f>
        <v>0</v>
      </c>
      <c r="BD125" s="525">
        <f t="shared" si="115"/>
        <v>0</v>
      </c>
      <c r="BE125" s="525">
        <f t="shared" si="115"/>
        <v>0</v>
      </c>
      <c r="BF125" s="525">
        <f t="shared" si="115"/>
        <v>0</v>
      </c>
      <c r="BG125" s="525">
        <f t="shared" si="115"/>
        <v>0</v>
      </c>
      <c r="BH125" s="525">
        <f t="shared" si="115"/>
        <v>0</v>
      </c>
      <c r="BI125" s="525">
        <f t="shared" si="115"/>
        <v>0</v>
      </c>
      <c r="BJ125" s="525">
        <f t="shared" si="115"/>
        <v>0</v>
      </c>
      <c r="BK125" s="525">
        <f t="shared" si="115"/>
        <v>0</v>
      </c>
      <c r="BL125" s="525">
        <f t="shared" si="115"/>
        <v>0</v>
      </c>
      <c r="BM125" s="525">
        <f t="shared" si="115"/>
        <v>0</v>
      </c>
      <c r="BN125" s="525">
        <f t="shared" si="115"/>
        <v>0</v>
      </c>
      <c r="BO125" s="525">
        <f t="shared" si="115"/>
        <v>0</v>
      </c>
      <c r="BP125" s="525">
        <f t="shared" si="115"/>
        <v>0</v>
      </c>
      <c r="BQ125" s="525">
        <f t="shared" si="115"/>
        <v>0</v>
      </c>
      <c r="BR125" s="525">
        <f t="shared" si="115"/>
        <v>0</v>
      </c>
      <c r="BS125" s="525">
        <f t="shared" si="115"/>
        <v>0</v>
      </c>
      <c r="BT125" s="513"/>
      <c r="BU125" s="749">
        <f aca="true" t="shared" si="116" ref="BU125:BZ125">SUM(BU123:BU124)</f>
        <v>0</v>
      </c>
      <c r="BV125" s="525">
        <f t="shared" si="116"/>
        <v>0</v>
      </c>
      <c r="BW125" s="525">
        <f t="shared" si="116"/>
        <v>0</v>
      </c>
      <c r="BX125" s="525">
        <f t="shared" si="116"/>
        <v>0</v>
      </c>
      <c r="BY125" s="525">
        <f t="shared" si="116"/>
        <v>0</v>
      </c>
      <c r="BZ125" s="525">
        <f t="shared" si="116"/>
        <v>0</v>
      </c>
      <c r="CA125" s="757">
        <f t="shared" si="92"/>
        <v>0</v>
      </c>
      <c r="CB125" s="758" t="e">
        <f t="shared" si="93"/>
        <v>#DIV/0!</v>
      </c>
    </row>
    <row r="126" spans="1:80" s="460" customFormat="1" ht="15" customHeight="1">
      <c r="A126" s="485"/>
      <c r="B126" s="692" t="s">
        <v>5</v>
      </c>
      <c r="C126" s="693" t="s">
        <v>407</v>
      </c>
      <c r="D126" s="694"/>
      <c r="E126" s="694"/>
      <c r="F126" s="692"/>
      <c r="G126" s="692"/>
      <c r="H126" s="692"/>
      <c r="I126" s="703"/>
      <c r="J126" s="703"/>
      <c r="K126" s="703"/>
      <c r="L126" s="703"/>
      <c r="M126" s="703"/>
      <c r="N126" s="703"/>
      <c r="O126" s="703"/>
      <c r="P126" s="703"/>
      <c r="Q126" s="703"/>
      <c r="R126" s="703"/>
      <c r="S126" s="703"/>
      <c r="T126" s="703"/>
      <c r="U126" s="703"/>
      <c r="V126" s="703"/>
      <c r="W126" s="703"/>
      <c r="X126" s="703"/>
      <c r="Y126" s="703"/>
      <c r="Z126" s="703"/>
      <c r="AA126" s="703"/>
      <c r="AB126" s="703"/>
      <c r="AC126" s="703"/>
      <c r="AD126" s="703"/>
      <c r="AE126" s="703"/>
      <c r="AF126" s="703"/>
      <c r="AG126" s="703"/>
      <c r="AH126" s="703"/>
      <c r="AI126" s="703"/>
      <c r="AJ126" s="703"/>
      <c r="AK126" s="703"/>
      <c r="AL126" s="703"/>
      <c r="AM126" s="703"/>
      <c r="AN126" s="703"/>
      <c r="AO126" s="703"/>
      <c r="AP126" s="703"/>
      <c r="AQ126" s="703"/>
      <c r="AR126" s="703"/>
      <c r="AS126" s="703"/>
      <c r="AT126" s="703"/>
      <c r="AU126" s="703"/>
      <c r="AV126" s="703"/>
      <c r="AW126" s="703"/>
      <c r="AX126" s="703"/>
      <c r="AY126" s="703"/>
      <c r="AZ126" s="703"/>
      <c r="BA126" s="703"/>
      <c r="BB126" s="513"/>
      <c r="BC126" s="703"/>
      <c r="BD126" s="703"/>
      <c r="BE126" s="703"/>
      <c r="BF126" s="703"/>
      <c r="BG126" s="703"/>
      <c r="BH126" s="703"/>
      <c r="BI126" s="703"/>
      <c r="BJ126" s="703"/>
      <c r="BK126" s="703"/>
      <c r="BL126" s="703"/>
      <c r="BM126" s="703"/>
      <c r="BN126" s="703"/>
      <c r="BO126" s="703"/>
      <c r="BP126" s="703"/>
      <c r="BQ126" s="703"/>
      <c r="BR126" s="703"/>
      <c r="BS126" s="703"/>
      <c r="BT126" s="513"/>
      <c r="BU126" s="786"/>
      <c r="BV126" s="739"/>
      <c r="BW126" s="739"/>
      <c r="BX126" s="739"/>
      <c r="BY126" s="739"/>
      <c r="BZ126" s="739"/>
      <c r="CA126" s="739"/>
      <c r="CB126" s="739"/>
    </row>
    <row r="127" spans="1:80" s="460" customFormat="1" ht="15.75">
      <c r="A127" s="484" t="s">
        <v>280</v>
      </c>
      <c r="B127" s="679" t="s">
        <v>408</v>
      </c>
      <c r="C127" s="680" t="s">
        <v>409</v>
      </c>
      <c r="D127" s="681" t="s">
        <v>407</v>
      </c>
      <c r="E127" s="706" t="s">
        <v>44</v>
      </c>
      <c r="F127" s="572">
        <v>3</v>
      </c>
      <c r="G127" s="572">
        <v>800</v>
      </c>
      <c r="H127" s="683">
        <v>1</v>
      </c>
      <c r="I127" s="574">
        <f>F127*G127</f>
        <v>2400</v>
      </c>
      <c r="J127" s="575"/>
      <c r="K127" s="575"/>
      <c r="L127" s="684"/>
      <c r="M127" s="574"/>
      <c r="N127" s="685">
        <f>I127+M127</f>
        <v>2400</v>
      </c>
      <c r="O127" s="536">
        <f t="shared" si="84"/>
        <v>1846.1538461538462</v>
      </c>
      <c r="P127" s="536">
        <f t="shared" si="85"/>
        <v>0</v>
      </c>
      <c r="Q127" s="536">
        <f t="shared" si="86"/>
        <v>1846.1538461538462</v>
      </c>
      <c r="R127" s="525">
        <f>BG127+BK127+BO127+BS127</f>
        <v>30</v>
      </c>
      <c r="S127" s="525">
        <f>M127-R127</f>
        <v>-30</v>
      </c>
      <c r="T127" s="475" t="e">
        <f>R127/M127</f>
        <v>#DIV/0!</v>
      </c>
      <c r="U127" s="476"/>
      <c r="V127" s="476"/>
      <c r="W127" s="476"/>
      <c r="X127" s="476"/>
      <c r="Y127" s="476"/>
      <c r="Z127" s="476"/>
      <c r="AA127" s="476"/>
      <c r="AB127" s="476"/>
      <c r="AC127" s="476"/>
      <c r="AD127" s="476"/>
      <c r="AE127" s="476"/>
      <c r="AF127" s="476"/>
      <c r="AG127" s="535">
        <f>AO127+AS127+AW127+BA127+BG127+BK127+BO127+BS127</f>
        <v>2397.38</v>
      </c>
      <c r="AH127" s="535">
        <f t="shared" si="94"/>
        <v>2.619999999999891</v>
      </c>
      <c r="AI127" s="477">
        <f t="shared" si="87"/>
        <v>0.9989083333333334</v>
      </c>
      <c r="AJ127" s="461"/>
      <c r="AK127" s="511">
        <v>0</v>
      </c>
      <c r="AL127" s="511">
        <v>0</v>
      </c>
      <c r="AM127" s="511">
        <v>0</v>
      </c>
      <c r="AN127" s="511">
        <v>0</v>
      </c>
      <c r="AO127" s="512">
        <f t="shared" si="88"/>
        <v>0</v>
      </c>
      <c r="AP127" s="511">
        <v>0</v>
      </c>
      <c r="AQ127" s="511">
        <v>411.58</v>
      </c>
      <c r="AR127" s="511">
        <v>0</v>
      </c>
      <c r="AS127" s="512">
        <f t="shared" si="89"/>
        <v>411.58</v>
      </c>
      <c r="AT127" s="511">
        <v>985.8</v>
      </c>
      <c r="AU127" s="511">
        <v>0</v>
      </c>
      <c r="AV127" s="511">
        <v>0</v>
      </c>
      <c r="AW127" s="512">
        <f t="shared" si="90"/>
        <v>985.8</v>
      </c>
      <c r="AX127" s="511">
        <v>70</v>
      </c>
      <c r="AY127" s="511">
        <v>0</v>
      </c>
      <c r="AZ127" s="511">
        <v>900</v>
      </c>
      <c r="BA127" s="512">
        <f t="shared" si="91"/>
        <v>970</v>
      </c>
      <c r="BB127" s="513"/>
      <c r="BC127" s="511">
        <v>0</v>
      </c>
      <c r="BD127" s="511">
        <v>0</v>
      </c>
      <c r="BE127" s="511">
        <v>0</v>
      </c>
      <c r="BF127" s="511">
        <v>0</v>
      </c>
      <c r="BG127" s="512">
        <f>SUM(BC127:BF127)</f>
        <v>0</v>
      </c>
      <c r="BH127" s="511">
        <v>0</v>
      </c>
      <c r="BI127" s="511">
        <v>0</v>
      </c>
      <c r="BJ127" s="511">
        <v>0</v>
      </c>
      <c r="BK127" s="512">
        <f>SUM(BH127:BJ127)</f>
        <v>0</v>
      </c>
      <c r="BL127" s="511">
        <v>0</v>
      </c>
      <c r="BM127" s="511">
        <v>30</v>
      </c>
      <c r="BN127" s="511">
        <v>0</v>
      </c>
      <c r="BO127" s="512">
        <f>SUM(BL127:BN127)</f>
        <v>30</v>
      </c>
      <c r="BP127" s="511">
        <v>0</v>
      </c>
      <c r="BQ127" s="511">
        <v>0</v>
      </c>
      <c r="BR127" s="511">
        <v>0</v>
      </c>
      <c r="BS127" s="512">
        <f>SUM(BP127:BR127)</f>
        <v>0</v>
      </c>
      <c r="BT127" s="513"/>
      <c r="BU127" s="748">
        <v>3</v>
      </c>
      <c r="BV127" s="535">
        <v>0</v>
      </c>
      <c r="BW127" s="535">
        <v>0</v>
      </c>
      <c r="BX127" s="535">
        <v>0</v>
      </c>
      <c r="BY127" s="535">
        <v>0</v>
      </c>
      <c r="BZ127" s="535">
        <v>0</v>
      </c>
      <c r="CA127" s="761">
        <f t="shared" si="92"/>
        <v>0</v>
      </c>
      <c r="CB127" s="762">
        <f t="shared" si="93"/>
        <v>0</v>
      </c>
    </row>
    <row r="128" spans="1:80" s="460" customFormat="1" ht="15.75">
      <c r="A128" s="485"/>
      <c r="B128" s="478" t="s">
        <v>410</v>
      </c>
      <c r="C128" s="700" t="s">
        <v>410</v>
      </c>
      <c r="D128" s="701"/>
      <c r="E128" s="701"/>
      <c r="F128" s="478"/>
      <c r="G128" s="478"/>
      <c r="H128" s="478"/>
      <c r="I128" s="702">
        <f>SUM(I127)</f>
        <v>2400</v>
      </c>
      <c r="J128" s="702"/>
      <c r="K128" s="702"/>
      <c r="L128" s="702"/>
      <c r="M128" s="702">
        <f>SUM(M127)</f>
        <v>0</v>
      </c>
      <c r="N128" s="702">
        <f>SUM(N127)</f>
        <v>2400</v>
      </c>
      <c r="O128" s="702">
        <f aca="true" t="shared" si="117" ref="O128:AJ128">J128+N128</f>
        <v>2400</v>
      </c>
      <c r="P128" s="702">
        <f t="shared" si="117"/>
        <v>2400</v>
      </c>
      <c r="Q128" s="702">
        <f t="shared" si="117"/>
        <v>2400</v>
      </c>
      <c r="R128" s="702">
        <f>SUM(R127)</f>
        <v>30</v>
      </c>
      <c r="S128" s="702">
        <f>SUM(S127)</f>
        <v>-30</v>
      </c>
      <c r="T128" s="537">
        <f>R128/I128</f>
        <v>0.0125</v>
      </c>
      <c r="U128" s="702">
        <f t="shared" si="117"/>
        <v>2400.0125</v>
      </c>
      <c r="V128" s="702">
        <f t="shared" si="117"/>
        <v>4800.0125</v>
      </c>
      <c r="W128" s="702">
        <f t="shared" si="117"/>
        <v>4830.0125</v>
      </c>
      <c r="X128" s="702">
        <f t="shared" si="117"/>
        <v>4800.0125</v>
      </c>
      <c r="Y128" s="702">
        <f t="shared" si="117"/>
        <v>4800.025</v>
      </c>
      <c r="Z128" s="702">
        <f t="shared" si="117"/>
        <v>7200.037499999999</v>
      </c>
      <c r="AA128" s="702">
        <f t="shared" si="117"/>
        <v>12000.05</v>
      </c>
      <c r="AB128" s="702">
        <f t="shared" si="117"/>
        <v>16830.0625</v>
      </c>
      <c r="AC128" s="702">
        <f t="shared" si="117"/>
        <v>21630.075</v>
      </c>
      <c r="AD128" s="702">
        <f t="shared" si="117"/>
        <v>26430.1</v>
      </c>
      <c r="AE128" s="702">
        <f t="shared" si="117"/>
        <v>33630.1375</v>
      </c>
      <c r="AF128" s="702">
        <f t="shared" si="117"/>
        <v>45630.1875</v>
      </c>
      <c r="AG128" s="702">
        <f>SUM(AG127)</f>
        <v>2397.38</v>
      </c>
      <c r="AH128" s="702">
        <f>SUM(AH127)</f>
        <v>2.619999999999891</v>
      </c>
      <c r="AI128" s="537">
        <f t="shared" si="87"/>
        <v>0.9989083333333334</v>
      </c>
      <c r="AJ128" s="702">
        <f t="shared" si="117"/>
        <v>33631.13640833333</v>
      </c>
      <c r="AK128" s="702">
        <f>SUM(AK127)</f>
        <v>0</v>
      </c>
      <c r="AL128" s="702">
        <f>SUM(AL127)</f>
        <v>0</v>
      </c>
      <c r="AM128" s="702">
        <f aca="true" t="shared" si="118" ref="AM128:BA128">SUM(AM127)</f>
        <v>0</v>
      </c>
      <c r="AN128" s="702">
        <f t="shared" si="118"/>
        <v>0</v>
      </c>
      <c r="AO128" s="702">
        <f t="shared" si="118"/>
        <v>0</v>
      </c>
      <c r="AP128" s="702">
        <f t="shared" si="118"/>
        <v>0</v>
      </c>
      <c r="AQ128" s="702">
        <f t="shared" si="118"/>
        <v>411.58</v>
      </c>
      <c r="AR128" s="702">
        <f t="shared" si="118"/>
        <v>0</v>
      </c>
      <c r="AS128" s="702">
        <f t="shared" si="118"/>
        <v>411.58</v>
      </c>
      <c r="AT128" s="702">
        <f t="shared" si="118"/>
        <v>985.8</v>
      </c>
      <c r="AU128" s="702">
        <f t="shared" si="118"/>
        <v>0</v>
      </c>
      <c r="AV128" s="702">
        <f t="shared" si="118"/>
        <v>0</v>
      </c>
      <c r="AW128" s="702">
        <f t="shared" si="118"/>
        <v>985.8</v>
      </c>
      <c r="AX128" s="702">
        <f t="shared" si="118"/>
        <v>70</v>
      </c>
      <c r="AY128" s="702">
        <f t="shared" si="118"/>
        <v>0</v>
      </c>
      <c r="AZ128" s="702">
        <f t="shared" si="118"/>
        <v>900</v>
      </c>
      <c r="BA128" s="702">
        <f t="shared" si="118"/>
        <v>970</v>
      </c>
      <c r="BB128" s="513"/>
      <c r="BC128" s="702">
        <f>SUM(BC127)</f>
        <v>0</v>
      </c>
      <c r="BD128" s="702">
        <f>SUM(BD127)</f>
        <v>0</v>
      </c>
      <c r="BE128" s="702">
        <f aca="true" t="shared" si="119" ref="BE128:BS128">SUM(BE127)</f>
        <v>0</v>
      </c>
      <c r="BF128" s="702">
        <f t="shared" si="119"/>
        <v>0</v>
      </c>
      <c r="BG128" s="702">
        <f t="shared" si="119"/>
        <v>0</v>
      </c>
      <c r="BH128" s="702">
        <f t="shared" si="119"/>
        <v>0</v>
      </c>
      <c r="BI128" s="702">
        <f t="shared" si="119"/>
        <v>0</v>
      </c>
      <c r="BJ128" s="702">
        <f t="shared" si="119"/>
        <v>0</v>
      </c>
      <c r="BK128" s="702">
        <f t="shared" si="119"/>
        <v>0</v>
      </c>
      <c r="BL128" s="702">
        <f t="shared" si="119"/>
        <v>0</v>
      </c>
      <c r="BM128" s="702">
        <f t="shared" si="119"/>
        <v>30</v>
      </c>
      <c r="BN128" s="702">
        <f t="shared" si="119"/>
        <v>0</v>
      </c>
      <c r="BO128" s="702">
        <f t="shared" si="119"/>
        <v>30</v>
      </c>
      <c r="BP128" s="702">
        <f t="shared" si="119"/>
        <v>0</v>
      </c>
      <c r="BQ128" s="702">
        <f t="shared" si="119"/>
        <v>0</v>
      </c>
      <c r="BR128" s="702">
        <f t="shared" si="119"/>
        <v>0</v>
      </c>
      <c r="BS128" s="702">
        <f t="shared" si="119"/>
        <v>0</v>
      </c>
      <c r="BT128" s="513"/>
      <c r="BU128" s="783">
        <f aca="true" t="shared" si="120" ref="BU128:BZ128">SUM(BU127)</f>
        <v>3</v>
      </c>
      <c r="BV128" s="702">
        <f t="shared" si="120"/>
        <v>0</v>
      </c>
      <c r="BW128" s="702">
        <f t="shared" si="120"/>
        <v>0</v>
      </c>
      <c r="BX128" s="702">
        <f t="shared" si="120"/>
        <v>0</v>
      </c>
      <c r="BY128" s="702">
        <f t="shared" si="120"/>
        <v>0</v>
      </c>
      <c r="BZ128" s="702">
        <f t="shared" si="120"/>
        <v>0</v>
      </c>
      <c r="CA128" s="743">
        <f t="shared" si="92"/>
        <v>0</v>
      </c>
      <c r="CB128" s="744">
        <f t="shared" si="93"/>
        <v>0</v>
      </c>
    </row>
    <row r="129" spans="1:80" s="460" customFormat="1" ht="15.75">
      <c r="A129" s="485"/>
      <c r="B129" s="692" t="s">
        <v>20</v>
      </c>
      <c r="C129" s="693" t="s">
        <v>411</v>
      </c>
      <c r="D129" s="694"/>
      <c r="E129" s="694"/>
      <c r="F129" s="692"/>
      <c r="G129" s="692"/>
      <c r="H129" s="692"/>
      <c r="I129" s="703"/>
      <c r="J129" s="695"/>
      <c r="K129" s="695"/>
      <c r="L129" s="695"/>
      <c r="M129" s="704"/>
      <c r="N129" s="704"/>
      <c r="O129" s="704"/>
      <c r="P129" s="704"/>
      <c r="Q129" s="704"/>
      <c r="R129" s="704"/>
      <c r="S129" s="704"/>
      <c r="T129" s="734"/>
      <c r="U129" s="704"/>
      <c r="V129" s="704"/>
      <c r="W129" s="704"/>
      <c r="X129" s="704"/>
      <c r="Y129" s="704"/>
      <c r="Z129" s="704"/>
      <c r="AA129" s="704"/>
      <c r="AB129" s="704"/>
      <c r="AC129" s="704"/>
      <c r="AD129" s="704"/>
      <c r="AE129" s="704"/>
      <c r="AF129" s="704"/>
      <c r="AG129" s="704"/>
      <c r="AH129" s="704"/>
      <c r="AI129" s="734"/>
      <c r="AJ129" s="704"/>
      <c r="AK129" s="704"/>
      <c r="AL129" s="704"/>
      <c r="AM129" s="704"/>
      <c r="AN129" s="704"/>
      <c r="AO129" s="704"/>
      <c r="AP129" s="704"/>
      <c r="AQ129" s="704"/>
      <c r="AR129" s="704"/>
      <c r="AS129" s="704"/>
      <c r="AT129" s="704"/>
      <c r="AU129" s="704"/>
      <c r="AV129" s="704"/>
      <c r="AW129" s="704"/>
      <c r="AX129" s="704"/>
      <c r="AY129" s="704"/>
      <c r="AZ129" s="704"/>
      <c r="BA129" s="704"/>
      <c r="BB129" s="513"/>
      <c r="BC129" s="704"/>
      <c r="BD129" s="704"/>
      <c r="BE129" s="704"/>
      <c r="BF129" s="704"/>
      <c r="BG129" s="704"/>
      <c r="BH129" s="704"/>
      <c r="BI129" s="704"/>
      <c r="BJ129" s="704"/>
      <c r="BK129" s="704"/>
      <c r="BL129" s="704"/>
      <c r="BM129" s="704"/>
      <c r="BN129" s="704"/>
      <c r="BO129" s="704"/>
      <c r="BP129" s="704"/>
      <c r="BQ129" s="704"/>
      <c r="BR129" s="704"/>
      <c r="BS129" s="704"/>
      <c r="BT129" s="513"/>
      <c r="BU129" s="784"/>
      <c r="BV129" s="739"/>
      <c r="BW129" s="739"/>
      <c r="BX129" s="739"/>
      <c r="BY129" s="739"/>
      <c r="BZ129" s="739"/>
      <c r="CA129" s="739"/>
      <c r="CB129" s="739"/>
    </row>
    <row r="130" spans="1:80" s="460" customFormat="1" ht="15.75">
      <c r="A130" s="485"/>
      <c r="B130" s="679"/>
      <c r="C130" s="680"/>
      <c r="D130" s="705"/>
      <c r="E130" s="706"/>
      <c r="F130" s="572"/>
      <c r="G130" s="572"/>
      <c r="H130" s="683"/>
      <c r="I130" s="574"/>
      <c r="J130" s="575"/>
      <c r="K130" s="575"/>
      <c r="L130" s="684"/>
      <c r="M130" s="574"/>
      <c r="N130" s="685"/>
      <c r="O130" s="685"/>
      <c r="P130" s="685"/>
      <c r="Q130" s="685"/>
      <c r="R130" s="685"/>
      <c r="S130" s="685"/>
      <c r="T130" s="685"/>
      <c r="U130" s="685"/>
      <c r="V130" s="685"/>
      <c r="W130" s="685"/>
      <c r="X130" s="685"/>
      <c r="Y130" s="685"/>
      <c r="Z130" s="685"/>
      <c r="AA130" s="685"/>
      <c r="AB130" s="685"/>
      <c r="AC130" s="685"/>
      <c r="AD130" s="685"/>
      <c r="AE130" s="685"/>
      <c r="AF130" s="685"/>
      <c r="AG130" s="685"/>
      <c r="AH130" s="685"/>
      <c r="AI130" s="685"/>
      <c r="AJ130" s="685"/>
      <c r="AK130" s="685"/>
      <c r="AL130" s="685"/>
      <c r="AM130" s="685"/>
      <c r="AN130" s="685"/>
      <c r="AO130" s="685"/>
      <c r="AP130" s="685"/>
      <c r="AQ130" s="685"/>
      <c r="AR130" s="685"/>
      <c r="AS130" s="685"/>
      <c r="AT130" s="685"/>
      <c r="AU130" s="685"/>
      <c r="AV130" s="685"/>
      <c r="AW130" s="685"/>
      <c r="AX130" s="685"/>
      <c r="AY130" s="685"/>
      <c r="AZ130" s="685"/>
      <c r="BA130" s="685"/>
      <c r="BB130" s="513"/>
      <c r="BC130" s="685"/>
      <c r="BD130" s="685"/>
      <c r="BE130" s="685"/>
      <c r="BF130" s="685"/>
      <c r="BG130" s="685"/>
      <c r="BH130" s="685"/>
      <c r="BI130" s="685"/>
      <c r="BJ130" s="685"/>
      <c r="BK130" s="685"/>
      <c r="BL130" s="685"/>
      <c r="BM130" s="685"/>
      <c r="BN130" s="685"/>
      <c r="BO130" s="685"/>
      <c r="BP130" s="685"/>
      <c r="BQ130" s="685"/>
      <c r="BR130" s="685"/>
      <c r="BS130" s="685"/>
      <c r="BT130" s="513"/>
      <c r="BU130" s="748"/>
      <c r="BV130" s="737"/>
      <c r="BW130" s="737"/>
      <c r="BX130" s="737"/>
      <c r="BY130" s="737"/>
      <c r="BZ130" s="737"/>
      <c r="CA130" s="741"/>
      <c r="CB130" s="742"/>
    </row>
    <row r="131" spans="1:80" s="460" customFormat="1" ht="15.75">
      <c r="A131" s="485"/>
      <c r="B131" s="679"/>
      <c r="C131" s="680"/>
      <c r="D131" s="705"/>
      <c r="E131" s="706"/>
      <c r="F131" s="572"/>
      <c r="G131" s="572"/>
      <c r="H131" s="683"/>
      <c r="I131" s="574"/>
      <c r="J131" s="575"/>
      <c r="K131" s="575"/>
      <c r="L131" s="684"/>
      <c r="M131" s="574"/>
      <c r="N131" s="685"/>
      <c r="O131" s="685"/>
      <c r="P131" s="685"/>
      <c r="Q131" s="685"/>
      <c r="R131" s="685"/>
      <c r="S131" s="685"/>
      <c r="T131" s="685"/>
      <c r="U131" s="685"/>
      <c r="V131" s="685"/>
      <c r="W131" s="685"/>
      <c r="X131" s="685"/>
      <c r="Y131" s="685"/>
      <c r="Z131" s="685"/>
      <c r="AA131" s="685"/>
      <c r="AB131" s="685"/>
      <c r="AC131" s="685"/>
      <c r="AD131" s="685"/>
      <c r="AE131" s="685"/>
      <c r="AF131" s="685"/>
      <c r="AG131" s="685"/>
      <c r="AH131" s="685"/>
      <c r="AI131" s="685"/>
      <c r="AJ131" s="685"/>
      <c r="AK131" s="685"/>
      <c r="AL131" s="685"/>
      <c r="AM131" s="685"/>
      <c r="AN131" s="685"/>
      <c r="AO131" s="685"/>
      <c r="AP131" s="685"/>
      <c r="AQ131" s="685"/>
      <c r="AR131" s="685"/>
      <c r="AS131" s="685"/>
      <c r="AT131" s="685"/>
      <c r="AU131" s="685"/>
      <c r="AV131" s="685"/>
      <c r="AW131" s="685"/>
      <c r="AX131" s="685"/>
      <c r="AY131" s="685"/>
      <c r="AZ131" s="685"/>
      <c r="BA131" s="685"/>
      <c r="BB131" s="513"/>
      <c r="BC131" s="685"/>
      <c r="BD131" s="685"/>
      <c r="BE131" s="685"/>
      <c r="BF131" s="685"/>
      <c r="BG131" s="685"/>
      <c r="BH131" s="685"/>
      <c r="BI131" s="685"/>
      <c r="BJ131" s="685"/>
      <c r="BK131" s="685"/>
      <c r="BL131" s="685"/>
      <c r="BM131" s="685"/>
      <c r="BN131" s="685"/>
      <c r="BO131" s="685"/>
      <c r="BP131" s="685"/>
      <c r="BQ131" s="685"/>
      <c r="BR131" s="685"/>
      <c r="BS131" s="685"/>
      <c r="BT131" s="513"/>
      <c r="BU131" s="748"/>
      <c r="BV131" s="737"/>
      <c r="BW131" s="737"/>
      <c r="BX131" s="737"/>
      <c r="BY131" s="737"/>
      <c r="BZ131" s="737"/>
      <c r="CA131" s="741"/>
      <c r="CB131" s="742"/>
    </row>
    <row r="132" spans="1:80" s="460" customFormat="1" ht="15.75">
      <c r="A132" s="485"/>
      <c r="B132" s="478" t="s">
        <v>412</v>
      </c>
      <c r="C132" s="700" t="s">
        <v>412</v>
      </c>
      <c r="D132" s="701"/>
      <c r="E132" s="701"/>
      <c r="F132" s="478"/>
      <c r="G132" s="478"/>
      <c r="H132" s="478"/>
      <c r="I132" s="702">
        <f>SUM(I130:I131)</f>
        <v>0</v>
      </c>
      <c r="J132" s="702"/>
      <c r="K132" s="702"/>
      <c r="L132" s="702"/>
      <c r="M132" s="702">
        <f>SUM(M130:M131)</f>
        <v>0</v>
      </c>
      <c r="N132" s="702">
        <f>SUM(N130:N131)</f>
        <v>0</v>
      </c>
      <c r="O132" s="702">
        <f aca="true" t="shared" si="121" ref="O132:AJ132">J132+N132</f>
        <v>0</v>
      </c>
      <c r="P132" s="702">
        <f t="shared" si="121"/>
        <v>0</v>
      </c>
      <c r="Q132" s="702">
        <f t="shared" si="121"/>
        <v>0</v>
      </c>
      <c r="R132" s="702">
        <f>SUM(R130:R131)</f>
        <v>0</v>
      </c>
      <c r="S132" s="702">
        <f>SUM(S130:S131)</f>
        <v>0</v>
      </c>
      <c r="T132" s="537" t="e">
        <f>R132/I132</f>
        <v>#DIV/0!</v>
      </c>
      <c r="U132" s="702" t="e">
        <f t="shared" si="121"/>
        <v>#DIV/0!</v>
      </c>
      <c r="V132" s="702" t="e">
        <f t="shared" si="121"/>
        <v>#DIV/0!</v>
      </c>
      <c r="W132" s="702" t="e">
        <f t="shared" si="121"/>
        <v>#DIV/0!</v>
      </c>
      <c r="X132" s="702" t="e">
        <f t="shared" si="121"/>
        <v>#DIV/0!</v>
      </c>
      <c r="Y132" s="702" t="e">
        <f t="shared" si="121"/>
        <v>#DIV/0!</v>
      </c>
      <c r="Z132" s="702" t="e">
        <f t="shared" si="121"/>
        <v>#DIV/0!</v>
      </c>
      <c r="AA132" s="702" t="e">
        <f t="shared" si="121"/>
        <v>#DIV/0!</v>
      </c>
      <c r="AB132" s="702" t="e">
        <f t="shared" si="121"/>
        <v>#DIV/0!</v>
      </c>
      <c r="AC132" s="702" t="e">
        <f t="shared" si="121"/>
        <v>#DIV/0!</v>
      </c>
      <c r="AD132" s="702" t="e">
        <f t="shared" si="121"/>
        <v>#DIV/0!</v>
      </c>
      <c r="AE132" s="702" t="e">
        <f t="shared" si="121"/>
        <v>#DIV/0!</v>
      </c>
      <c r="AF132" s="702" t="e">
        <f t="shared" si="121"/>
        <v>#DIV/0!</v>
      </c>
      <c r="AG132" s="702">
        <f>SUM(AG130:AG131)</f>
        <v>0</v>
      </c>
      <c r="AH132" s="702">
        <f>SUM(AH130:AH131)</f>
        <v>0</v>
      </c>
      <c r="AI132" s="537" t="e">
        <f>AG132/N132</f>
        <v>#DIV/0!</v>
      </c>
      <c r="AJ132" s="702" t="e">
        <f t="shared" si="121"/>
        <v>#DIV/0!</v>
      </c>
      <c r="AK132" s="702">
        <f>SUM(AK130:AK131)</f>
        <v>0</v>
      </c>
      <c r="AL132" s="702">
        <f aca="true" t="shared" si="122" ref="AL132:BA132">SUM(AL130:AL131)</f>
        <v>0</v>
      </c>
      <c r="AM132" s="702">
        <f t="shared" si="122"/>
        <v>0</v>
      </c>
      <c r="AN132" s="702">
        <f t="shared" si="122"/>
        <v>0</v>
      </c>
      <c r="AO132" s="702">
        <f t="shared" si="122"/>
        <v>0</v>
      </c>
      <c r="AP132" s="702">
        <f t="shared" si="122"/>
        <v>0</v>
      </c>
      <c r="AQ132" s="702">
        <f t="shared" si="122"/>
        <v>0</v>
      </c>
      <c r="AR132" s="702">
        <f t="shared" si="122"/>
        <v>0</v>
      </c>
      <c r="AS132" s="702">
        <f t="shared" si="122"/>
        <v>0</v>
      </c>
      <c r="AT132" s="702">
        <f t="shared" si="122"/>
        <v>0</v>
      </c>
      <c r="AU132" s="702">
        <f t="shared" si="122"/>
        <v>0</v>
      </c>
      <c r="AV132" s="702">
        <f t="shared" si="122"/>
        <v>0</v>
      </c>
      <c r="AW132" s="702">
        <f t="shared" si="122"/>
        <v>0</v>
      </c>
      <c r="AX132" s="702">
        <f t="shared" si="122"/>
        <v>0</v>
      </c>
      <c r="AY132" s="702">
        <f t="shared" si="122"/>
        <v>0</v>
      </c>
      <c r="AZ132" s="702">
        <f t="shared" si="122"/>
        <v>0</v>
      </c>
      <c r="BA132" s="702">
        <f t="shared" si="122"/>
        <v>0</v>
      </c>
      <c r="BB132" s="513"/>
      <c r="BC132" s="702">
        <f>SUM(BC130:BC131)</f>
        <v>0</v>
      </c>
      <c r="BD132" s="702">
        <f aca="true" t="shared" si="123" ref="BD132:BS132">SUM(BD130:BD131)</f>
        <v>0</v>
      </c>
      <c r="BE132" s="702">
        <f t="shared" si="123"/>
        <v>0</v>
      </c>
      <c r="BF132" s="702">
        <f t="shared" si="123"/>
        <v>0</v>
      </c>
      <c r="BG132" s="702">
        <f t="shared" si="123"/>
        <v>0</v>
      </c>
      <c r="BH132" s="702">
        <f t="shared" si="123"/>
        <v>0</v>
      </c>
      <c r="BI132" s="702">
        <f t="shared" si="123"/>
        <v>0</v>
      </c>
      <c r="BJ132" s="702">
        <f t="shared" si="123"/>
        <v>0</v>
      </c>
      <c r="BK132" s="702">
        <f t="shared" si="123"/>
        <v>0</v>
      </c>
      <c r="BL132" s="702">
        <f t="shared" si="123"/>
        <v>0</v>
      </c>
      <c r="BM132" s="702">
        <f t="shared" si="123"/>
        <v>0</v>
      </c>
      <c r="BN132" s="702">
        <f t="shared" si="123"/>
        <v>0</v>
      </c>
      <c r="BO132" s="702">
        <f t="shared" si="123"/>
        <v>0</v>
      </c>
      <c r="BP132" s="702">
        <f t="shared" si="123"/>
        <v>0</v>
      </c>
      <c r="BQ132" s="702">
        <f t="shared" si="123"/>
        <v>0</v>
      </c>
      <c r="BR132" s="702">
        <f t="shared" si="123"/>
        <v>0</v>
      </c>
      <c r="BS132" s="702">
        <f t="shared" si="123"/>
        <v>0</v>
      </c>
      <c r="BT132" s="513"/>
      <c r="BU132" s="783">
        <f aca="true" t="shared" si="124" ref="BU132:BZ132">SUM(BU130:BU131)</f>
        <v>0</v>
      </c>
      <c r="BV132" s="702">
        <f t="shared" si="124"/>
        <v>0</v>
      </c>
      <c r="BW132" s="702">
        <f t="shared" si="124"/>
        <v>0</v>
      </c>
      <c r="BX132" s="702">
        <f t="shared" si="124"/>
        <v>0</v>
      </c>
      <c r="BY132" s="702">
        <f t="shared" si="124"/>
        <v>0</v>
      </c>
      <c r="BZ132" s="702">
        <f t="shared" si="124"/>
        <v>0</v>
      </c>
      <c r="CA132" s="743">
        <f t="shared" si="92"/>
        <v>0</v>
      </c>
      <c r="CB132" s="744" t="e">
        <f t="shared" si="93"/>
        <v>#DIV/0!</v>
      </c>
    </row>
    <row r="133" spans="1:80" s="459" customFormat="1" ht="15.75">
      <c r="A133" s="485"/>
      <c r="B133" s="692" t="s">
        <v>21</v>
      </c>
      <c r="C133" s="693" t="s">
        <v>413</v>
      </c>
      <c r="D133" s="694"/>
      <c r="E133" s="694"/>
      <c r="F133" s="692"/>
      <c r="G133" s="692"/>
      <c r="H133" s="692"/>
      <c r="I133" s="703"/>
      <c r="J133" s="695"/>
      <c r="K133" s="695"/>
      <c r="L133" s="695"/>
      <c r="M133" s="704"/>
      <c r="N133" s="704"/>
      <c r="O133" s="704"/>
      <c r="P133" s="704"/>
      <c r="Q133" s="704"/>
      <c r="R133" s="704"/>
      <c r="S133" s="704"/>
      <c r="T133" s="734"/>
      <c r="U133" s="704"/>
      <c r="V133" s="704"/>
      <c r="W133" s="704"/>
      <c r="X133" s="704"/>
      <c r="Y133" s="704"/>
      <c r="Z133" s="704"/>
      <c r="AA133" s="704"/>
      <c r="AB133" s="704"/>
      <c r="AC133" s="704"/>
      <c r="AD133" s="704"/>
      <c r="AE133" s="704"/>
      <c r="AF133" s="704"/>
      <c r="AG133" s="704"/>
      <c r="AH133" s="704"/>
      <c r="AI133" s="734"/>
      <c r="AJ133" s="704"/>
      <c r="AK133" s="704"/>
      <c r="AL133" s="704"/>
      <c r="AM133" s="704"/>
      <c r="AN133" s="704"/>
      <c r="AO133" s="704"/>
      <c r="AP133" s="704"/>
      <c r="AQ133" s="704"/>
      <c r="AR133" s="704"/>
      <c r="AS133" s="704"/>
      <c r="AT133" s="704"/>
      <c r="AU133" s="704"/>
      <c r="AV133" s="704"/>
      <c r="AW133" s="704"/>
      <c r="AX133" s="704"/>
      <c r="AY133" s="704"/>
      <c r="AZ133" s="704"/>
      <c r="BA133" s="704"/>
      <c r="BB133" s="513"/>
      <c r="BC133" s="704"/>
      <c r="BD133" s="704"/>
      <c r="BE133" s="704"/>
      <c r="BF133" s="704"/>
      <c r="BG133" s="704"/>
      <c r="BH133" s="704"/>
      <c r="BI133" s="704"/>
      <c r="BJ133" s="704"/>
      <c r="BK133" s="704"/>
      <c r="BL133" s="704"/>
      <c r="BM133" s="704"/>
      <c r="BN133" s="704"/>
      <c r="BO133" s="704"/>
      <c r="BP133" s="704"/>
      <c r="BQ133" s="704"/>
      <c r="BR133" s="704"/>
      <c r="BS133" s="704"/>
      <c r="BT133" s="513"/>
      <c r="BU133" s="784"/>
      <c r="BV133" s="739"/>
      <c r="BW133" s="739"/>
      <c r="BX133" s="739"/>
      <c r="BY133" s="739"/>
      <c r="BZ133" s="739"/>
      <c r="CA133" s="739"/>
      <c r="CB133" s="739"/>
    </row>
    <row r="134" spans="1:80" s="459" customFormat="1" ht="24">
      <c r="A134" s="484" t="s">
        <v>281</v>
      </c>
      <c r="B134" s="679" t="s">
        <v>414</v>
      </c>
      <c r="C134" s="680" t="s">
        <v>415</v>
      </c>
      <c r="D134" s="681" t="s">
        <v>413</v>
      </c>
      <c r="E134" s="682" t="s">
        <v>44</v>
      </c>
      <c r="F134" s="572">
        <v>3</v>
      </c>
      <c r="G134" s="572">
        <v>180</v>
      </c>
      <c r="H134" s="683">
        <v>1</v>
      </c>
      <c r="I134" s="574">
        <f>F134*G134*12</f>
        <v>6480</v>
      </c>
      <c r="J134" s="575">
        <v>3</v>
      </c>
      <c r="K134" s="575">
        <v>260</v>
      </c>
      <c r="L134" s="684">
        <v>1</v>
      </c>
      <c r="M134" s="574">
        <f>J134*K134*12</f>
        <v>9360</v>
      </c>
      <c r="N134" s="685">
        <f>I134+M134</f>
        <v>15840</v>
      </c>
      <c r="O134" s="536">
        <f t="shared" si="84"/>
        <v>4984.615384615385</v>
      </c>
      <c r="P134" s="536">
        <f t="shared" si="85"/>
        <v>7200</v>
      </c>
      <c r="Q134" s="536">
        <f t="shared" si="86"/>
        <v>12184.615384615385</v>
      </c>
      <c r="R134" s="525">
        <f>BG134+BK134+BO134+BS134</f>
        <v>10937.34</v>
      </c>
      <c r="S134" s="525">
        <f>M134-R134</f>
        <v>-1577.3400000000001</v>
      </c>
      <c r="T134" s="475">
        <f>R134/M134</f>
        <v>1.1685192307692307</v>
      </c>
      <c r="U134" s="476"/>
      <c r="V134" s="476"/>
      <c r="W134" s="476"/>
      <c r="X134" s="476"/>
      <c r="Y134" s="476"/>
      <c r="Z134" s="476"/>
      <c r="AA134" s="476"/>
      <c r="AB134" s="476"/>
      <c r="AC134" s="476"/>
      <c r="AD134" s="476"/>
      <c r="AE134" s="476"/>
      <c r="AF134" s="476"/>
      <c r="AG134" s="535">
        <f>AO134+AS134+AW134+BA134+BG134+BK134+BO134+BS134</f>
        <v>15961.44</v>
      </c>
      <c r="AH134" s="535">
        <f t="shared" si="94"/>
        <v>-121.44000000000051</v>
      </c>
      <c r="AI134" s="477">
        <f t="shared" si="87"/>
        <v>1.0076666666666667</v>
      </c>
      <c r="AJ134" s="461"/>
      <c r="AK134" s="511">
        <v>0</v>
      </c>
      <c r="AL134" s="511">
        <v>0</v>
      </c>
      <c r="AM134" s="511">
        <v>0</v>
      </c>
      <c r="AN134" s="511">
        <v>0</v>
      </c>
      <c r="AO134" s="512">
        <f t="shared" si="88"/>
        <v>0</v>
      </c>
      <c r="AP134" s="511">
        <v>175.98</v>
      </c>
      <c r="AQ134" s="511">
        <v>245.51</v>
      </c>
      <c r="AR134" s="511">
        <v>339.99</v>
      </c>
      <c r="AS134" s="512">
        <f t="shared" si="89"/>
        <v>761.48</v>
      </c>
      <c r="AT134" s="511">
        <v>301.99</v>
      </c>
      <c r="AU134" s="511">
        <v>210.99</v>
      </c>
      <c r="AV134" s="511">
        <v>342.5</v>
      </c>
      <c r="AW134" s="512">
        <f t="shared" si="90"/>
        <v>855.48</v>
      </c>
      <c r="AX134" s="511">
        <v>1926.01</v>
      </c>
      <c r="AY134" s="511">
        <v>1363.93</v>
      </c>
      <c r="AZ134" s="511">
        <v>117.2</v>
      </c>
      <c r="BA134" s="512">
        <f t="shared" si="91"/>
        <v>3407.14</v>
      </c>
      <c r="BB134" s="513"/>
      <c r="BC134" s="511">
        <v>420.6</v>
      </c>
      <c r="BD134" s="511">
        <v>1247.5</v>
      </c>
      <c r="BE134" s="511">
        <v>386.01</v>
      </c>
      <c r="BF134" s="511">
        <v>0</v>
      </c>
      <c r="BG134" s="512">
        <f>SUM(BC134:BF134)</f>
        <v>2054.1099999999997</v>
      </c>
      <c r="BH134" s="511">
        <v>433.99</v>
      </c>
      <c r="BI134" s="511">
        <v>1154.09</v>
      </c>
      <c r="BJ134" s="511">
        <v>820.35</v>
      </c>
      <c r="BK134" s="512">
        <f>SUM(BH134:BJ134)</f>
        <v>2408.43</v>
      </c>
      <c r="BL134" s="511">
        <v>262.59</v>
      </c>
      <c r="BM134" s="511">
        <v>1219.03</v>
      </c>
      <c r="BN134" s="511">
        <v>3593.48</v>
      </c>
      <c r="BO134" s="512">
        <f>SUM(BL134:BN134)</f>
        <v>5075.1</v>
      </c>
      <c r="BP134" s="511">
        <v>1399.7</v>
      </c>
      <c r="BQ134" s="511">
        <v>0</v>
      </c>
      <c r="BR134" s="511">
        <v>0</v>
      </c>
      <c r="BS134" s="512">
        <f>SUM(BP134:BR134)</f>
        <v>1399.7</v>
      </c>
      <c r="BT134" s="513"/>
      <c r="BU134" s="748">
        <f>0-121</f>
        <v>-121</v>
      </c>
      <c r="BV134" s="752">
        <v>100</v>
      </c>
      <c r="BW134" s="752">
        <v>100</v>
      </c>
      <c r="BX134" s="752">
        <v>100</v>
      </c>
      <c r="BY134" s="752">
        <v>100</v>
      </c>
      <c r="BZ134" s="752">
        <v>100</v>
      </c>
      <c r="CA134" s="753">
        <f t="shared" si="92"/>
        <v>500</v>
      </c>
      <c r="CB134" s="754">
        <f t="shared" si="93"/>
        <v>-4.132231404958677</v>
      </c>
    </row>
    <row r="135" spans="1:80" s="459" customFormat="1" ht="15.75">
      <c r="A135" s="484" t="s">
        <v>282</v>
      </c>
      <c r="B135" s="679" t="s">
        <v>416</v>
      </c>
      <c r="C135" s="680" t="s">
        <v>417</v>
      </c>
      <c r="D135" s="681" t="s">
        <v>413</v>
      </c>
      <c r="E135" s="682" t="s">
        <v>44</v>
      </c>
      <c r="F135" s="572">
        <v>1</v>
      </c>
      <c r="G135" s="572">
        <v>1298.7</v>
      </c>
      <c r="H135" s="683">
        <v>1</v>
      </c>
      <c r="I135" s="574">
        <f>F135*G135</f>
        <v>1298.7</v>
      </c>
      <c r="J135" s="575">
        <v>1</v>
      </c>
      <c r="K135" s="575">
        <v>1314</v>
      </c>
      <c r="L135" s="684">
        <v>1</v>
      </c>
      <c r="M135" s="574">
        <f>J135*K135</f>
        <v>1314</v>
      </c>
      <c r="N135" s="685">
        <f>I135+M135</f>
        <v>2612.7</v>
      </c>
      <c r="O135" s="536">
        <f t="shared" si="84"/>
        <v>999</v>
      </c>
      <c r="P135" s="536">
        <f t="shared" si="85"/>
        <v>1010.7692307692307</v>
      </c>
      <c r="Q135" s="536">
        <f t="shared" si="86"/>
        <v>2009.7692307692307</v>
      </c>
      <c r="R135" s="525">
        <f>BG135+BK135+BO135+BS135</f>
        <v>0</v>
      </c>
      <c r="S135" s="525">
        <f>M135-R135</f>
        <v>1314</v>
      </c>
      <c r="T135" s="475">
        <f>R135/M135</f>
        <v>0</v>
      </c>
      <c r="U135" s="476"/>
      <c r="V135" s="476"/>
      <c r="W135" s="476"/>
      <c r="X135" s="476"/>
      <c r="Y135" s="476"/>
      <c r="Z135" s="476"/>
      <c r="AA135" s="476"/>
      <c r="AB135" s="476"/>
      <c r="AC135" s="476"/>
      <c r="AD135" s="476"/>
      <c r="AE135" s="476"/>
      <c r="AF135" s="476"/>
      <c r="AG135" s="535">
        <f>AO135+AS135+AW135+BA135+BG135+BK135+BO135+BS135</f>
        <v>616.26</v>
      </c>
      <c r="AH135" s="535">
        <f t="shared" si="94"/>
        <v>1996.4399999999998</v>
      </c>
      <c r="AI135" s="477">
        <f t="shared" si="87"/>
        <v>0.23587093811000115</v>
      </c>
      <c r="AJ135" s="461"/>
      <c r="AK135" s="511">
        <v>0</v>
      </c>
      <c r="AL135" s="511">
        <v>0</v>
      </c>
      <c r="AM135" s="511">
        <v>0</v>
      </c>
      <c r="AN135" s="511">
        <v>0</v>
      </c>
      <c r="AO135" s="512">
        <f t="shared" si="88"/>
        <v>0</v>
      </c>
      <c r="AP135" s="511">
        <v>0</v>
      </c>
      <c r="AQ135" s="511">
        <v>0</v>
      </c>
      <c r="AR135" s="511">
        <v>0</v>
      </c>
      <c r="AS135" s="512">
        <f t="shared" si="89"/>
        <v>0</v>
      </c>
      <c r="AT135" s="511">
        <v>0</v>
      </c>
      <c r="AU135" s="511">
        <v>1.91</v>
      </c>
      <c r="AV135" s="511">
        <v>152.5</v>
      </c>
      <c r="AW135" s="512">
        <f t="shared" si="90"/>
        <v>154.41</v>
      </c>
      <c r="AX135" s="511">
        <v>0</v>
      </c>
      <c r="AY135" s="511">
        <v>0</v>
      </c>
      <c r="AZ135" s="511">
        <v>461.85</v>
      </c>
      <c r="BA135" s="512">
        <f t="shared" si="91"/>
        <v>461.85</v>
      </c>
      <c r="BB135" s="513"/>
      <c r="BC135" s="511">
        <v>0</v>
      </c>
      <c r="BD135" s="511">
        <v>0</v>
      </c>
      <c r="BE135" s="511">
        <v>0</v>
      </c>
      <c r="BF135" s="511">
        <v>0</v>
      </c>
      <c r="BG135" s="512">
        <f>SUM(BC135:BF135)</f>
        <v>0</v>
      </c>
      <c r="BH135" s="511">
        <v>0</v>
      </c>
      <c r="BI135" s="511">
        <v>0</v>
      </c>
      <c r="BJ135" s="511">
        <v>0</v>
      </c>
      <c r="BK135" s="512">
        <f>SUM(BH135:BJ135)</f>
        <v>0</v>
      </c>
      <c r="BL135" s="511">
        <v>0</v>
      </c>
      <c r="BM135" s="511">
        <v>0</v>
      </c>
      <c r="BN135" s="511">
        <v>0</v>
      </c>
      <c r="BO135" s="512">
        <f>SUM(BL135:BN135)</f>
        <v>0</v>
      </c>
      <c r="BP135" s="511">
        <v>0</v>
      </c>
      <c r="BQ135" s="511">
        <v>0</v>
      </c>
      <c r="BR135" s="511">
        <v>0</v>
      </c>
      <c r="BS135" s="512">
        <f>SUM(BP135:BR135)</f>
        <v>0</v>
      </c>
      <c r="BT135" s="513"/>
      <c r="BU135" s="748">
        <v>1996</v>
      </c>
      <c r="BV135" s="752">
        <v>300</v>
      </c>
      <c r="BW135" s="752">
        <v>300</v>
      </c>
      <c r="BX135" s="752">
        <v>300</v>
      </c>
      <c r="BY135" s="752">
        <v>300</v>
      </c>
      <c r="BZ135" s="752">
        <v>300</v>
      </c>
      <c r="CA135" s="753">
        <f t="shared" si="92"/>
        <v>1500</v>
      </c>
      <c r="CB135" s="754">
        <f t="shared" si="93"/>
        <v>0.751503006012024</v>
      </c>
    </row>
    <row r="136" spans="1:80" s="459" customFormat="1" ht="18" customHeight="1">
      <c r="A136" s="485"/>
      <c r="B136" s="478" t="s">
        <v>418</v>
      </c>
      <c r="C136" s="700" t="s">
        <v>418</v>
      </c>
      <c r="D136" s="701"/>
      <c r="E136" s="701"/>
      <c r="F136" s="478"/>
      <c r="G136" s="478"/>
      <c r="H136" s="478"/>
      <c r="I136" s="702">
        <f>I134+I135</f>
        <v>7778.7</v>
      </c>
      <c r="J136" s="702"/>
      <c r="K136" s="702"/>
      <c r="L136" s="702"/>
      <c r="M136" s="702">
        <f>M134+M135</f>
        <v>10674</v>
      </c>
      <c r="N136" s="702">
        <f>N134+N135</f>
        <v>18452.7</v>
      </c>
      <c r="O136" s="702">
        <f aca="true" t="shared" si="125" ref="O136:BA136">O134+O135</f>
        <v>5983.615384615385</v>
      </c>
      <c r="P136" s="702">
        <f t="shared" si="125"/>
        <v>8210.76923076923</v>
      </c>
      <c r="Q136" s="702">
        <f t="shared" si="125"/>
        <v>14194.384615384615</v>
      </c>
      <c r="R136" s="702">
        <f t="shared" si="125"/>
        <v>10937.34</v>
      </c>
      <c r="S136" s="702">
        <f t="shared" si="125"/>
        <v>-263.34000000000015</v>
      </c>
      <c r="T136" s="537">
        <f>R136/I136</f>
        <v>1.4060627097072775</v>
      </c>
      <c r="U136" s="702">
        <f t="shared" si="125"/>
        <v>0</v>
      </c>
      <c r="V136" s="702">
        <f t="shared" si="125"/>
        <v>0</v>
      </c>
      <c r="W136" s="702">
        <f t="shared" si="125"/>
        <v>0</v>
      </c>
      <c r="X136" s="702">
        <f t="shared" si="125"/>
        <v>0</v>
      </c>
      <c r="Y136" s="702">
        <f t="shared" si="125"/>
        <v>0</v>
      </c>
      <c r="Z136" s="702">
        <f t="shared" si="125"/>
        <v>0</v>
      </c>
      <c r="AA136" s="702">
        <f t="shared" si="125"/>
        <v>0</v>
      </c>
      <c r="AB136" s="702">
        <f t="shared" si="125"/>
        <v>0</v>
      </c>
      <c r="AC136" s="702">
        <f t="shared" si="125"/>
        <v>0</v>
      </c>
      <c r="AD136" s="702">
        <f t="shared" si="125"/>
        <v>0</v>
      </c>
      <c r="AE136" s="702">
        <f t="shared" si="125"/>
        <v>0</v>
      </c>
      <c r="AF136" s="702">
        <f t="shared" si="125"/>
        <v>0</v>
      </c>
      <c r="AG136" s="702">
        <f t="shared" si="125"/>
        <v>16577.7</v>
      </c>
      <c r="AH136" s="702">
        <f t="shared" si="125"/>
        <v>1874.9999999999993</v>
      </c>
      <c r="AI136" s="537">
        <f t="shared" si="87"/>
        <v>0.8983888536636915</v>
      </c>
      <c r="AJ136" s="702">
        <f t="shared" si="125"/>
        <v>0</v>
      </c>
      <c r="AK136" s="702">
        <f>AK134+AK135</f>
        <v>0</v>
      </c>
      <c r="AL136" s="702">
        <f t="shared" si="125"/>
        <v>0</v>
      </c>
      <c r="AM136" s="702">
        <f t="shared" si="125"/>
        <v>0</v>
      </c>
      <c r="AN136" s="702">
        <f t="shared" si="125"/>
        <v>0</v>
      </c>
      <c r="AO136" s="702">
        <f t="shared" si="125"/>
        <v>0</v>
      </c>
      <c r="AP136" s="702">
        <f t="shared" si="125"/>
        <v>175.98</v>
      </c>
      <c r="AQ136" s="702">
        <f t="shared" si="125"/>
        <v>245.51</v>
      </c>
      <c r="AR136" s="702">
        <f t="shared" si="125"/>
        <v>339.99</v>
      </c>
      <c r="AS136" s="702">
        <f t="shared" si="125"/>
        <v>761.48</v>
      </c>
      <c r="AT136" s="702">
        <f t="shared" si="125"/>
        <v>301.99</v>
      </c>
      <c r="AU136" s="702">
        <f t="shared" si="125"/>
        <v>212.9</v>
      </c>
      <c r="AV136" s="702">
        <f t="shared" si="125"/>
        <v>495</v>
      </c>
      <c r="AW136" s="702">
        <f t="shared" si="125"/>
        <v>1009.89</v>
      </c>
      <c r="AX136" s="702">
        <f t="shared" si="125"/>
        <v>1926.01</v>
      </c>
      <c r="AY136" s="702">
        <f t="shared" si="125"/>
        <v>1363.93</v>
      </c>
      <c r="AZ136" s="702">
        <f t="shared" si="125"/>
        <v>579.0500000000001</v>
      </c>
      <c r="BA136" s="702">
        <f t="shared" si="125"/>
        <v>3868.99</v>
      </c>
      <c r="BB136" s="513"/>
      <c r="BC136" s="702">
        <f>BC134+BC135</f>
        <v>420.6</v>
      </c>
      <c r="BD136" s="702">
        <f aca="true" t="shared" si="126" ref="BD136:BS136">BD134+BD135</f>
        <v>1247.5</v>
      </c>
      <c r="BE136" s="702">
        <f t="shared" si="126"/>
        <v>386.01</v>
      </c>
      <c r="BF136" s="702">
        <f t="shared" si="126"/>
        <v>0</v>
      </c>
      <c r="BG136" s="702">
        <f t="shared" si="126"/>
        <v>2054.1099999999997</v>
      </c>
      <c r="BH136" s="702">
        <f t="shared" si="126"/>
        <v>433.99</v>
      </c>
      <c r="BI136" s="702">
        <f t="shared" si="126"/>
        <v>1154.09</v>
      </c>
      <c r="BJ136" s="702">
        <f t="shared" si="126"/>
        <v>820.35</v>
      </c>
      <c r="BK136" s="702">
        <f t="shared" si="126"/>
        <v>2408.43</v>
      </c>
      <c r="BL136" s="702">
        <f t="shared" si="126"/>
        <v>262.59</v>
      </c>
      <c r="BM136" s="702">
        <f t="shared" si="126"/>
        <v>1219.03</v>
      </c>
      <c r="BN136" s="702">
        <f t="shared" si="126"/>
        <v>3593.48</v>
      </c>
      <c r="BO136" s="702">
        <f t="shared" si="126"/>
        <v>5075.1</v>
      </c>
      <c r="BP136" s="702">
        <f t="shared" si="126"/>
        <v>1399.7</v>
      </c>
      <c r="BQ136" s="702">
        <f t="shared" si="126"/>
        <v>0</v>
      </c>
      <c r="BR136" s="702">
        <f t="shared" si="126"/>
        <v>0</v>
      </c>
      <c r="BS136" s="702">
        <f t="shared" si="126"/>
        <v>1399.7</v>
      </c>
      <c r="BT136" s="513"/>
      <c r="BU136" s="783">
        <f aca="true" t="shared" si="127" ref="BU136:BZ136">BU134+BU135</f>
        <v>1875</v>
      </c>
      <c r="BV136" s="702">
        <f t="shared" si="127"/>
        <v>400</v>
      </c>
      <c r="BW136" s="702">
        <f t="shared" si="127"/>
        <v>400</v>
      </c>
      <c r="BX136" s="702">
        <f t="shared" si="127"/>
        <v>400</v>
      </c>
      <c r="BY136" s="702">
        <f t="shared" si="127"/>
        <v>400</v>
      </c>
      <c r="BZ136" s="702">
        <f t="shared" si="127"/>
        <v>400</v>
      </c>
      <c r="CA136" s="743">
        <f t="shared" si="92"/>
        <v>2000</v>
      </c>
      <c r="CB136" s="744">
        <f t="shared" si="93"/>
        <v>1.0666666666666667</v>
      </c>
    </row>
    <row r="137" spans="1:80" s="459" customFormat="1" ht="15.75">
      <c r="A137" s="485"/>
      <c r="B137" s="692" t="s">
        <v>22</v>
      </c>
      <c r="C137" s="693" t="s">
        <v>419</v>
      </c>
      <c r="D137" s="694"/>
      <c r="E137" s="694"/>
      <c r="F137" s="692"/>
      <c r="G137" s="692"/>
      <c r="H137" s="692"/>
      <c r="I137" s="703"/>
      <c r="J137" s="695"/>
      <c r="K137" s="695"/>
      <c r="L137" s="695"/>
      <c r="M137" s="704"/>
      <c r="N137" s="704"/>
      <c r="O137" s="704"/>
      <c r="P137" s="704"/>
      <c r="Q137" s="704"/>
      <c r="R137" s="704"/>
      <c r="S137" s="704"/>
      <c r="T137" s="734"/>
      <c r="U137" s="704"/>
      <c r="V137" s="704"/>
      <c r="W137" s="704"/>
      <c r="X137" s="704"/>
      <c r="Y137" s="704"/>
      <c r="Z137" s="704"/>
      <c r="AA137" s="704"/>
      <c r="AB137" s="704"/>
      <c r="AC137" s="704"/>
      <c r="AD137" s="704"/>
      <c r="AE137" s="704"/>
      <c r="AF137" s="704"/>
      <c r="AG137" s="704"/>
      <c r="AH137" s="704"/>
      <c r="AI137" s="734"/>
      <c r="AJ137" s="704"/>
      <c r="AK137" s="704"/>
      <c r="AL137" s="704"/>
      <c r="AM137" s="704"/>
      <c r="AN137" s="704"/>
      <c r="AO137" s="704"/>
      <c r="AP137" s="704"/>
      <c r="AQ137" s="704"/>
      <c r="AR137" s="704"/>
      <c r="AS137" s="704"/>
      <c r="AT137" s="704"/>
      <c r="AU137" s="704"/>
      <c r="AV137" s="704"/>
      <c r="AW137" s="704"/>
      <c r="AX137" s="704"/>
      <c r="AY137" s="704"/>
      <c r="AZ137" s="704"/>
      <c r="BA137" s="704"/>
      <c r="BB137" s="513"/>
      <c r="BC137" s="704"/>
      <c r="BD137" s="704"/>
      <c r="BE137" s="704"/>
      <c r="BF137" s="704"/>
      <c r="BG137" s="704"/>
      <c r="BH137" s="704"/>
      <c r="BI137" s="704"/>
      <c r="BJ137" s="704"/>
      <c r="BK137" s="704"/>
      <c r="BL137" s="704"/>
      <c r="BM137" s="704"/>
      <c r="BN137" s="704"/>
      <c r="BO137" s="704"/>
      <c r="BP137" s="704"/>
      <c r="BQ137" s="704"/>
      <c r="BR137" s="704"/>
      <c r="BS137" s="704"/>
      <c r="BT137" s="513"/>
      <c r="BU137" s="784"/>
      <c r="BV137" s="739"/>
      <c r="BW137" s="739"/>
      <c r="BX137" s="739"/>
      <c r="BY137" s="739"/>
      <c r="BZ137" s="739"/>
      <c r="CA137" s="739"/>
      <c r="CB137" s="739"/>
    </row>
    <row r="138" spans="1:80" s="460" customFormat="1" ht="15.75">
      <c r="A138" s="484" t="s">
        <v>283</v>
      </c>
      <c r="B138" s="679" t="s">
        <v>420</v>
      </c>
      <c r="C138" s="680" t="s">
        <v>421</v>
      </c>
      <c r="D138" s="681" t="s">
        <v>419</v>
      </c>
      <c r="E138" s="682" t="s">
        <v>367</v>
      </c>
      <c r="F138" s="572">
        <v>1</v>
      </c>
      <c r="G138" s="707">
        <v>115857.4</v>
      </c>
      <c r="H138" s="683">
        <v>1</v>
      </c>
      <c r="I138" s="574">
        <f>G138*F138</f>
        <v>115857.4</v>
      </c>
      <c r="J138" s="575">
        <v>1</v>
      </c>
      <c r="K138" s="575">
        <f>G138</f>
        <v>115857.4</v>
      </c>
      <c r="L138" s="684">
        <v>1</v>
      </c>
      <c r="M138" s="574">
        <f>K138*J138</f>
        <v>115857.4</v>
      </c>
      <c r="N138" s="685">
        <f>I138+M138</f>
        <v>231714.8</v>
      </c>
      <c r="O138" s="536">
        <f t="shared" si="84"/>
        <v>89121.07692307692</v>
      </c>
      <c r="P138" s="536">
        <f t="shared" si="85"/>
        <v>89121.07692307692</v>
      </c>
      <c r="Q138" s="536">
        <f t="shared" si="86"/>
        <v>178242.15384615384</v>
      </c>
      <c r="R138" s="525">
        <f>BG138+BK138+BO138+BS138</f>
        <v>98785.06</v>
      </c>
      <c r="S138" s="525">
        <f>M138-R138</f>
        <v>17072.339999999997</v>
      </c>
      <c r="T138" s="475">
        <f>R138/M138</f>
        <v>0.8526435083128052</v>
      </c>
      <c r="U138" s="476"/>
      <c r="V138" s="476"/>
      <c r="W138" s="476"/>
      <c r="X138" s="476"/>
      <c r="Y138" s="476"/>
      <c r="Z138" s="476"/>
      <c r="AA138" s="476"/>
      <c r="AB138" s="476"/>
      <c r="AC138" s="476"/>
      <c r="AD138" s="476"/>
      <c r="AE138" s="476"/>
      <c r="AF138" s="476"/>
      <c r="AG138" s="535">
        <f>AO138+AS138+AW138+BA138+BG138+BK138+BO138+BS138</f>
        <v>178440.74</v>
      </c>
      <c r="AH138" s="535">
        <f t="shared" si="94"/>
        <v>53274.06</v>
      </c>
      <c r="AI138" s="477">
        <f t="shared" si="87"/>
        <v>0.7700877975856527</v>
      </c>
      <c r="AJ138" s="461"/>
      <c r="AK138" s="511">
        <v>0</v>
      </c>
      <c r="AL138" s="511">
        <v>0</v>
      </c>
      <c r="AM138" s="511">
        <v>0</v>
      </c>
      <c r="AN138" s="511">
        <v>0</v>
      </c>
      <c r="AO138" s="512">
        <f t="shared" si="88"/>
        <v>0</v>
      </c>
      <c r="AP138" s="511">
        <v>0</v>
      </c>
      <c r="AQ138" s="511">
        <v>0</v>
      </c>
      <c r="AR138" s="511">
        <v>0</v>
      </c>
      <c r="AS138" s="512">
        <f t="shared" si="89"/>
        <v>0</v>
      </c>
      <c r="AT138" s="511">
        <v>0</v>
      </c>
      <c r="AU138" s="511">
        <v>33715.3</v>
      </c>
      <c r="AV138" s="511">
        <v>0</v>
      </c>
      <c r="AW138" s="512">
        <f t="shared" si="90"/>
        <v>33715.3</v>
      </c>
      <c r="AX138" s="511">
        <v>0</v>
      </c>
      <c r="AY138" s="511">
        <v>0</v>
      </c>
      <c r="AZ138" s="511">
        <v>45940.38</v>
      </c>
      <c r="BA138" s="512">
        <f t="shared" si="91"/>
        <v>45940.38</v>
      </c>
      <c r="BB138" s="513"/>
      <c r="BC138" s="511">
        <v>32295.2</v>
      </c>
      <c r="BD138" s="511">
        <v>0</v>
      </c>
      <c r="BE138" s="511">
        <v>0</v>
      </c>
      <c r="BF138" s="511">
        <v>0</v>
      </c>
      <c r="BG138" s="512">
        <f>SUM(BC138:BF138)</f>
        <v>32295.2</v>
      </c>
      <c r="BH138" s="511">
        <v>37545.75</v>
      </c>
      <c r="BI138" s="511">
        <v>0</v>
      </c>
      <c r="BJ138" s="511">
        <v>0</v>
      </c>
      <c r="BK138" s="512">
        <f>SUM(BH138:BJ138)</f>
        <v>37545.75</v>
      </c>
      <c r="BL138" s="511">
        <v>0</v>
      </c>
      <c r="BM138" s="511">
        <v>28944.11</v>
      </c>
      <c r="BN138" s="511">
        <v>0</v>
      </c>
      <c r="BO138" s="512">
        <f>SUM(BL138:BN138)</f>
        <v>28944.11</v>
      </c>
      <c r="BP138" s="511">
        <v>0</v>
      </c>
      <c r="BQ138" s="511">
        <v>0</v>
      </c>
      <c r="BR138" s="511">
        <v>0</v>
      </c>
      <c r="BS138" s="512">
        <f>SUM(BP138:BR138)</f>
        <v>0</v>
      </c>
      <c r="BT138" s="513"/>
      <c r="BU138" s="748">
        <v>53274</v>
      </c>
      <c r="BV138" s="752">
        <v>33000</v>
      </c>
      <c r="BW138" s="752">
        <v>22000</v>
      </c>
      <c r="BX138" s="752">
        <v>0</v>
      </c>
      <c r="BY138" s="752">
        <v>0</v>
      </c>
      <c r="BZ138" s="752">
        <v>0</v>
      </c>
      <c r="CA138" s="753">
        <f t="shared" si="92"/>
        <v>55000</v>
      </c>
      <c r="CB138" s="754">
        <f t="shared" si="93"/>
        <v>1.0323985433795098</v>
      </c>
    </row>
    <row r="139" spans="1:80" s="460" customFormat="1" ht="34.5">
      <c r="A139" s="484" t="s">
        <v>284</v>
      </c>
      <c r="B139" s="679" t="s">
        <v>422</v>
      </c>
      <c r="C139" s="680" t="s">
        <v>423</v>
      </c>
      <c r="D139" s="681" t="s">
        <v>419</v>
      </c>
      <c r="E139" s="682" t="s">
        <v>368</v>
      </c>
      <c r="F139" s="572">
        <v>2</v>
      </c>
      <c r="G139" s="707">
        <v>10000</v>
      </c>
      <c r="H139" s="683">
        <v>1</v>
      </c>
      <c r="I139" s="574">
        <f>F139*G139</f>
        <v>20000</v>
      </c>
      <c r="J139" s="575">
        <v>2</v>
      </c>
      <c r="K139" s="575">
        <v>23000</v>
      </c>
      <c r="L139" s="684">
        <v>1</v>
      </c>
      <c r="M139" s="574">
        <f>J139*K139</f>
        <v>46000</v>
      </c>
      <c r="N139" s="685">
        <f>I139+M139</f>
        <v>66000</v>
      </c>
      <c r="O139" s="536">
        <f t="shared" si="84"/>
        <v>15384.615384615385</v>
      </c>
      <c r="P139" s="536">
        <f t="shared" si="85"/>
        <v>35384.61538461538</v>
      </c>
      <c r="Q139" s="536">
        <f t="shared" si="86"/>
        <v>50769.230769230766</v>
      </c>
      <c r="R139" s="525">
        <f>BG139+BK139+BO139+BS139</f>
        <v>52269.97</v>
      </c>
      <c r="S139" s="525">
        <f>M139-R139</f>
        <v>-6269.970000000001</v>
      </c>
      <c r="T139" s="475">
        <f>R139/M139</f>
        <v>1.136303695652174</v>
      </c>
      <c r="U139" s="476"/>
      <c r="V139" s="476"/>
      <c r="W139" s="476"/>
      <c r="X139" s="476"/>
      <c r="Y139" s="476"/>
      <c r="Z139" s="476"/>
      <c r="AA139" s="476"/>
      <c r="AB139" s="476"/>
      <c r="AC139" s="476"/>
      <c r="AD139" s="476"/>
      <c r="AE139" s="476"/>
      <c r="AF139" s="476"/>
      <c r="AG139" s="535">
        <f>AO139+AS139+AW139+BA139+BG139+BK139+BO139+BS139</f>
        <v>58253.65</v>
      </c>
      <c r="AH139" s="535">
        <f t="shared" si="94"/>
        <v>7746.3499999999985</v>
      </c>
      <c r="AI139" s="477">
        <f t="shared" si="87"/>
        <v>0.8826310606060607</v>
      </c>
      <c r="AJ139" s="461"/>
      <c r="AK139" s="511">
        <v>0</v>
      </c>
      <c r="AL139" s="511">
        <v>0</v>
      </c>
      <c r="AM139" s="511">
        <v>0</v>
      </c>
      <c r="AN139" s="511">
        <v>0</v>
      </c>
      <c r="AO139" s="512">
        <f t="shared" si="88"/>
        <v>0</v>
      </c>
      <c r="AP139" s="511">
        <v>0</v>
      </c>
      <c r="AQ139" s="511">
        <v>0</v>
      </c>
      <c r="AR139" s="511">
        <v>0</v>
      </c>
      <c r="AS139" s="512">
        <f t="shared" si="89"/>
        <v>0</v>
      </c>
      <c r="AT139" s="511">
        <v>0</v>
      </c>
      <c r="AU139" s="511">
        <v>0</v>
      </c>
      <c r="AV139" s="511">
        <v>0</v>
      </c>
      <c r="AW139" s="512">
        <f t="shared" si="90"/>
        <v>0</v>
      </c>
      <c r="AX139" s="511">
        <v>0</v>
      </c>
      <c r="AY139" s="511">
        <v>0</v>
      </c>
      <c r="AZ139" s="511">
        <v>5983.68</v>
      </c>
      <c r="BA139" s="512">
        <f t="shared" si="91"/>
        <v>5983.68</v>
      </c>
      <c r="BB139" s="513"/>
      <c r="BC139" s="511">
        <v>0</v>
      </c>
      <c r="BD139" s="511">
        <v>0</v>
      </c>
      <c r="BE139" s="511">
        <v>17794.96</v>
      </c>
      <c r="BF139" s="511">
        <v>0</v>
      </c>
      <c r="BG139" s="512">
        <f>SUM(BC139:BF139)</f>
        <v>17794.96</v>
      </c>
      <c r="BH139" s="511">
        <v>0</v>
      </c>
      <c r="BI139" s="511">
        <v>0</v>
      </c>
      <c r="BJ139" s="511">
        <v>0</v>
      </c>
      <c r="BK139" s="512">
        <f>SUM(BH139:BJ139)</f>
        <v>0</v>
      </c>
      <c r="BL139" s="511">
        <v>16828.9</v>
      </c>
      <c r="BM139" s="511">
        <v>0</v>
      </c>
      <c r="BN139" s="511">
        <v>0</v>
      </c>
      <c r="BO139" s="512">
        <f>SUM(BL139:BN139)</f>
        <v>16828.9</v>
      </c>
      <c r="BP139" s="511">
        <v>17646.11</v>
      </c>
      <c r="BQ139" s="511">
        <v>0</v>
      </c>
      <c r="BR139" s="511">
        <v>0</v>
      </c>
      <c r="BS139" s="512">
        <f>SUM(BP139:BR139)</f>
        <v>17646.11</v>
      </c>
      <c r="BT139" s="513"/>
      <c r="BU139" s="748">
        <v>7746</v>
      </c>
      <c r="BV139" s="752">
        <v>7800</v>
      </c>
      <c r="BW139" s="752">
        <v>0</v>
      </c>
      <c r="BX139" s="752">
        <v>0</v>
      </c>
      <c r="BY139" s="752">
        <v>0</v>
      </c>
      <c r="BZ139" s="752">
        <v>0</v>
      </c>
      <c r="CA139" s="753">
        <f t="shared" si="92"/>
        <v>7800</v>
      </c>
      <c r="CB139" s="754">
        <f t="shared" si="93"/>
        <v>1.0069713400464757</v>
      </c>
    </row>
    <row r="140" spans="1:80" s="460" customFormat="1" ht="15.75">
      <c r="A140" s="485"/>
      <c r="B140" s="478" t="s">
        <v>424</v>
      </c>
      <c r="C140" s="700" t="s">
        <v>424</v>
      </c>
      <c r="D140" s="701"/>
      <c r="E140" s="701"/>
      <c r="F140" s="478"/>
      <c r="G140" s="806"/>
      <c r="H140" s="806"/>
      <c r="I140" s="702">
        <f>I138+I139</f>
        <v>135857.4</v>
      </c>
      <c r="J140" s="702"/>
      <c r="K140" s="702"/>
      <c r="L140" s="702"/>
      <c r="M140" s="702">
        <f>M138+M139</f>
        <v>161857.4</v>
      </c>
      <c r="N140" s="702">
        <f>N138+N139</f>
        <v>297714.8</v>
      </c>
      <c r="O140" s="702">
        <f aca="true" t="shared" si="128" ref="O140:BA140">O138+O139</f>
        <v>104505.69230769231</v>
      </c>
      <c r="P140" s="702">
        <f t="shared" si="128"/>
        <v>124505.69230769231</v>
      </c>
      <c r="Q140" s="702">
        <f t="shared" si="128"/>
        <v>229011.38461538462</v>
      </c>
      <c r="R140" s="702">
        <f t="shared" si="128"/>
        <v>151055.03</v>
      </c>
      <c r="S140" s="702">
        <f t="shared" si="128"/>
        <v>10802.369999999995</v>
      </c>
      <c r="T140" s="537">
        <f>R140/I140</f>
        <v>1.1118645727063818</v>
      </c>
      <c r="U140" s="702">
        <f t="shared" si="128"/>
        <v>0</v>
      </c>
      <c r="V140" s="702">
        <f t="shared" si="128"/>
        <v>0</v>
      </c>
      <c r="W140" s="702">
        <f t="shared" si="128"/>
        <v>0</v>
      </c>
      <c r="X140" s="702">
        <f t="shared" si="128"/>
        <v>0</v>
      </c>
      <c r="Y140" s="702">
        <f t="shared" si="128"/>
        <v>0</v>
      </c>
      <c r="Z140" s="702">
        <f t="shared" si="128"/>
        <v>0</v>
      </c>
      <c r="AA140" s="702">
        <f t="shared" si="128"/>
        <v>0</v>
      </c>
      <c r="AB140" s="702">
        <f t="shared" si="128"/>
        <v>0</v>
      </c>
      <c r="AC140" s="702">
        <f t="shared" si="128"/>
        <v>0</v>
      </c>
      <c r="AD140" s="702">
        <f t="shared" si="128"/>
        <v>0</v>
      </c>
      <c r="AE140" s="702">
        <f t="shared" si="128"/>
        <v>0</v>
      </c>
      <c r="AF140" s="702">
        <f t="shared" si="128"/>
        <v>0</v>
      </c>
      <c r="AG140" s="702">
        <f t="shared" si="128"/>
        <v>236694.38999999998</v>
      </c>
      <c r="AH140" s="702">
        <f t="shared" si="128"/>
        <v>61020.409999999996</v>
      </c>
      <c r="AI140" s="537">
        <f t="shared" si="87"/>
        <v>0.795037364618756</v>
      </c>
      <c r="AJ140" s="702">
        <f t="shared" si="128"/>
        <v>0</v>
      </c>
      <c r="AK140" s="702">
        <f>AK138+AK139</f>
        <v>0</v>
      </c>
      <c r="AL140" s="702">
        <f t="shared" si="128"/>
        <v>0</v>
      </c>
      <c r="AM140" s="702">
        <f t="shared" si="128"/>
        <v>0</v>
      </c>
      <c r="AN140" s="702">
        <f t="shared" si="128"/>
        <v>0</v>
      </c>
      <c r="AO140" s="702">
        <f t="shared" si="128"/>
        <v>0</v>
      </c>
      <c r="AP140" s="702">
        <f t="shared" si="128"/>
        <v>0</v>
      </c>
      <c r="AQ140" s="702">
        <f t="shared" si="128"/>
        <v>0</v>
      </c>
      <c r="AR140" s="702">
        <f t="shared" si="128"/>
        <v>0</v>
      </c>
      <c r="AS140" s="702">
        <f t="shared" si="128"/>
        <v>0</v>
      </c>
      <c r="AT140" s="702">
        <f t="shared" si="128"/>
        <v>0</v>
      </c>
      <c r="AU140" s="702">
        <f t="shared" si="128"/>
        <v>33715.3</v>
      </c>
      <c r="AV140" s="702">
        <f t="shared" si="128"/>
        <v>0</v>
      </c>
      <c r="AW140" s="702">
        <f t="shared" si="128"/>
        <v>33715.3</v>
      </c>
      <c r="AX140" s="702">
        <f t="shared" si="128"/>
        <v>0</v>
      </c>
      <c r="AY140" s="702">
        <f t="shared" si="128"/>
        <v>0</v>
      </c>
      <c r="AZ140" s="702">
        <f t="shared" si="128"/>
        <v>51924.06</v>
      </c>
      <c r="BA140" s="702">
        <f t="shared" si="128"/>
        <v>51924.06</v>
      </c>
      <c r="BB140" s="513"/>
      <c r="BC140" s="702">
        <f>BC138+BC139</f>
        <v>32295.2</v>
      </c>
      <c r="BD140" s="702">
        <f aca="true" t="shared" si="129" ref="BD140:BS140">BD138+BD139</f>
        <v>0</v>
      </c>
      <c r="BE140" s="702">
        <f t="shared" si="129"/>
        <v>17794.96</v>
      </c>
      <c r="BF140" s="702">
        <f t="shared" si="129"/>
        <v>0</v>
      </c>
      <c r="BG140" s="702">
        <f t="shared" si="129"/>
        <v>50090.16</v>
      </c>
      <c r="BH140" s="702">
        <f t="shared" si="129"/>
        <v>37545.75</v>
      </c>
      <c r="BI140" s="702">
        <f t="shared" si="129"/>
        <v>0</v>
      </c>
      <c r="BJ140" s="702">
        <f t="shared" si="129"/>
        <v>0</v>
      </c>
      <c r="BK140" s="702">
        <f t="shared" si="129"/>
        <v>37545.75</v>
      </c>
      <c r="BL140" s="702">
        <f t="shared" si="129"/>
        <v>16828.9</v>
      </c>
      <c r="BM140" s="702">
        <f t="shared" si="129"/>
        <v>28944.11</v>
      </c>
      <c r="BN140" s="702">
        <f t="shared" si="129"/>
        <v>0</v>
      </c>
      <c r="BO140" s="702">
        <f t="shared" si="129"/>
        <v>45773.01</v>
      </c>
      <c r="BP140" s="702">
        <f t="shared" si="129"/>
        <v>17646.11</v>
      </c>
      <c r="BQ140" s="702">
        <f t="shared" si="129"/>
        <v>0</v>
      </c>
      <c r="BR140" s="702">
        <f t="shared" si="129"/>
        <v>0</v>
      </c>
      <c r="BS140" s="702">
        <f t="shared" si="129"/>
        <v>17646.11</v>
      </c>
      <c r="BT140" s="513"/>
      <c r="BU140" s="783">
        <f aca="true" t="shared" si="130" ref="BU140:BZ140">BU138+BU139</f>
        <v>61020</v>
      </c>
      <c r="BV140" s="702">
        <f t="shared" si="130"/>
        <v>40800</v>
      </c>
      <c r="BW140" s="702">
        <f t="shared" si="130"/>
        <v>22000</v>
      </c>
      <c r="BX140" s="702">
        <f t="shared" si="130"/>
        <v>0</v>
      </c>
      <c r="BY140" s="702">
        <f t="shared" si="130"/>
        <v>0</v>
      </c>
      <c r="BZ140" s="702">
        <f t="shared" si="130"/>
        <v>0</v>
      </c>
      <c r="CA140" s="743">
        <f t="shared" si="92"/>
        <v>62800</v>
      </c>
      <c r="CB140" s="744">
        <f t="shared" si="93"/>
        <v>1.029170763684038</v>
      </c>
    </row>
    <row r="141" spans="1:80" s="460" customFormat="1" ht="15.75">
      <c r="A141" s="485"/>
      <c r="B141" s="692" t="s">
        <v>28</v>
      </c>
      <c r="C141" s="693" t="s">
        <v>425</v>
      </c>
      <c r="D141" s="694"/>
      <c r="E141" s="694"/>
      <c r="F141" s="692"/>
      <c r="G141" s="708"/>
      <c r="H141" s="692"/>
      <c r="I141" s="703"/>
      <c r="J141" s="695"/>
      <c r="K141" s="695"/>
      <c r="L141" s="695"/>
      <c r="M141" s="704"/>
      <c r="N141" s="704"/>
      <c r="O141" s="704"/>
      <c r="P141" s="704"/>
      <c r="Q141" s="704"/>
      <c r="R141" s="704"/>
      <c r="S141" s="704"/>
      <c r="T141" s="734"/>
      <c r="U141" s="704"/>
      <c r="V141" s="704"/>
      <c r="W141" s="704"/>
      <c r="X141" s="704"/>
      <c r="Y141" s="704"/>
      <c r="Z141" s="704"/>
      <c r="AA141" s="704"/>
      <c r="AB141" s="704"/>
      <c r="AC141" s="704"/>
      <c r="AD141" s="704"/>
      <c r="AE141" s="704"/>
      <c r="AF141" s="704"/>
      <c r="AG141" s="704"/>
      <c r="AH141" s="704"/>
      <c r="AI141" s="734"/>
      <c r="AJ141" s="704"/>
      <c r="AK141" s="704"/>
      <c r="AL141" s="704"/>
      <c r="AM141" s="704"/>
      <c r="AN141" s="704"/>
      <c r="AO141" s="704"/>
      <c r="AP141" s="704"/>
      <c r="AQ141" s="704"/>
      <c r="AR141" s="704"/>
      <c r="AS141" s="704"/>
      <c r="AT141" s="704"/>
      <c r="AU141" s="704"/>
      <c r="AV141" s="704"/>
      <c r="AW141" s="704"/>
      <c r="AX141" s="704"/>
      <c r="AY141" s="704"/>
      <c r="AZ141" s="704"/>
      <c r="BA141" s="704"/>
      <c r="BB141" s="513"/>
      <c r="BC141" s="704"/>
      <c r="BD141" s="704"/>
      <c r="BE141" s="704"/>
      <c r="BF141" s="704"/>
      <c r="BG141" s="704"/>
      <c r="BH141" s="704"/>
      <c r="BI141" s="704"/>
      <c r="BJ141" s="704"/>
      <c r="BK141" s="704"/>
      <c r="BL141" s="704"/>
      <c r="BM141" s="704"/>
      <c r="BN141" s="704"/>
      <c r="BO141" s="704"/>
      <c r="BP141" s="704"/>
      <c r="BQ141" s="704"/>
      <c r="BR141" s="704"/>
      <c r="BS141" s="704"/>
      <c r="BT141" s="513"/>
      <c r="BU141" s="784"/>
      <c r="BV141" s="739"/>
      <c r="BW141" s="739"/>
      <c r="BX141" s="739"/>
      <c r="BY141" s="739"/>
      <c r="BZ141" s="739"/>
      <c r="CA141" s="739"/>
      <c r="CB141" s="739"/>
    </row>
    <row r="142" spans="1:80" s="460" customFormat="1" ht="23.25">
      <c r="A142" s="484" t="s">
        <v>285</v>
      </c>
      <c r="B142" s="679" t="s">
        <v>426</v>
      </c>
      <c r="C142" s="680" t="s">
        <v>427</v>
      </c>
      <c r="D142" s="681" t="s">
        <v>425</v>
      </c>
      <c r="E142" s="682" t="s">
        <v>44</v>
      </c>
      <c r="F142" s="572">
        <v>12</v>
      </c>
      <c r="G142" s="572">
        <v>790</v>
      </c>
      <c r="H142" s="683">
        <v>1</v>
      </c>
      <c r="I142" s="574">
        <f>(F142*G142*H142)</f>
        <v>9480</v>
      </c>
      <c r="J142" s="575">
        <v>12</v>
      </c>
      <c r="K142" s="575">
        <v>618</v>
      </c>
      <c r="L142" s="684">
        <v>1</v>
      </c>
      <c r="M142" s="574">
        <f>(J142*K142*L142)</f>
        <v>7416</v>
      </c>
      <c r="N142" s="685">
        <f aca="true" t="shared" si="131" ref="N142:N157">I142+M142</f>
        <v>16896</v>
      </c>
      <c r="O142" s="536">
        <f t="shared" si="84"/>
        <v>7292.307692307692</v>
      </c>
      <c r="P142" s="536">
        <f t="shared" si="85"/>
        <v>5704.615384615385</v>
      </c>
      <c r="Q142" s="536">
        <f t="shared" si="86"/>
        <v>12996.923076923078</v>
      </c>
      <c r="R142" s="525">
        <f aca="true" t="shared" si="132" ref="R142:R157">BG142+BK142+BO142+BS142</f>
        <v>6694.22</v>
      </c>
      <c r="S142" s="525">
        <f aca="true" t="shared" si="133" ref="S142:S157">M142-R142</f>
        <v>721.7799999999997</v>
      </c>
      <c r="T142" s="475">
        <f aca="true" t="shared" si="134" ref="T142:T157">R142/M142</f>
        <v>0.9026725997842503</v>
      </c>
      <c r="U142" s="476"/>
      <c r="V142" s="476"/>
      <c r="W142" s="476"/>
      <c r="X142" s="476"/>
      <c r="Y142" s="476"/>
      <c r="Z142" s="476"/>
      <c r="AA142" s="476"/>
      <c r="AB142" s="476"/>
      <c r="AC142" s="476"/>
      <c r="AD142" s="476"/>
      <c r="AE142" s="476"/>
      <c r="AF142" s="476"/>
      <c r="AG142" s="535">
        <f aca="true" t="shared" si="135" ref="AG142:AG157">AO142+AS142+AW142+BA142+BG142+BK142+BO142+BS142</f>
        <v>11037.240000000002</v>
      </c>
      <c r="AH142" s="535">
        <f t="shared" si="94"/>
        <v>5858.759999999998</v>
      </c>
      <c r="AI142" s="477">
        <f t="shared" si="87"/>
        <v>0.6532457386363637</v>
      </c>
      <c r="AJ142" s="461"/>
      <c r="AK142" s="511">
        <v>0</v>
      </c>
      <c r="AL142" s="511">
        <v>168.92</v>
      </c>
      <c r="AM142" s="511">
        <v>75.86</v>
      </c>
      <c r="AN142" s="511">
        <v>0</v>
      </c>
      <c r="AO142" s="512">
        <f t="shared" si="88"/>
        <v>244.77999999999997</v>
      </c>
      <c r="AP142" s="511">
        <v>679.14</v>
      </c>
      <c r="AQ142" s="511">
        <v>341.63</v>
      </c>
      <c r="AR142" s="511">
        <v>342.24</v>
      </c>
      <c r="AS142" s="512">
        <f t="shared" si="89"/>
        <v>1363.01</v>
      </c>
      <c r="AT142" s="511">
        <v>209.58</v>
      </c>
      <c r="AU142" s="511">
        <v>483.45</v>
      </c>
      <c r="AV142" s="511">
        <v>687.48</v>
      </c>
      <c r="AW142" s="512">
        <f t="shared" si="90"/>
        <v>1380.51</v>
      </c>
      <c r="AX142" s="511">
        <v>432.51</v>
      </c>
      <c r="AY142" s="511">
        <v>484.5</v>
      </c>
      <c r="AZ142" s="511">
        <v>437.71</v>
      </c>
      <c r="BA142" s="512">
        <f t="shared" si="91"/>
        <v>1354.72</v>
      </c>
      <c r="BB142" s="513"/>
      <c r="BC142" s="511">
        <v>567.57</v>
      </c>
      <c r="BD142" s="511">
        <v>1221.88</v>
      </c>
      <c r="BE142" s="511">
        <v>785.75</v>
      </c>
      <c r="BF142" s="511">
        <v>0</v>
      </c>
      <c r="BG142" s="512">
        <f aca="true" t="shared" si="136" ref="BG142:BG157">SUM(BC142:BF142)</f>
        <v>2575.2000000000003</v>
      </c>
      <c r="BH142" s="511">
        <v>454.99</v>
      </c>
      <c r="BI142" s="511">
        <v>333.31</v>
      </c>
      <c r="BJ142" s="511">
        <v>473.6</v>
      </c>
      <c r="BK142" s="512">
        <f aca="true" t="shared" si="137" ref="BK142:BK157">SUM(BH142:BJ142)</f>
        <v>1261.9</v>
      </c>
      <c r="BL142" s="511">
        <v>526.13</v>
      </c>
      <c r="BM142" s="511">
        <v>1564.56</v>
      </c>
      <c r="BN142" s="511">
        <v>464.74</v>
      </c>
      <c r="BO142" s="512">
        <f aca="true" t="shared" si="138" ref="BO142:BO157">SUM(BL142:BN142)</f>
        <v>2555.4300000000003</v>
      </c>
      <c r="BP142" s="511">
        <v>301.69</v>
      </c>
      <c r="BQ142" s="511">
        <v>0</v>
      </c>
      <c r="BR142" s="511">
        <v>0</v>
      </c>
      <c r="BS142" s="512">
        <f aca="true" t="shared" si="139" ref="BS142:BS157">SUM(BP142:BR142)</f>
        <v>301.69</v>
      </c>
      <c r="BT142" s="513"/>
      <c r="BU142" s="748">
        <v>5858</v>
      </c>
      <c r="BV142" s="752">
        <v>700</v>
      </c>
      <c r="BW142" s="752">
        <v>700</v>
      </c>
      <c r="BX142" s="752">
        <v>700</v>
      </c>
      <c r="BY142" s="752">
        <v>700</v>
      </c>
      <c r="BZ142" s="752">
        <v>700</v>
      </c>
      <c r="CA142" s="753">
        <f t="shared" si="92"/>
        <v>3500</v>
      </c>
      <c r="CB142" s="754">
        <f t="shared" si="93"/>
        <v>0.597473540457494</v>
      </c>
    </row>
    <row r="143" spans="1:80" s="460" customFormat="1" ht="23.25">
      <c r="A143" s="484" t="s">
        <v>286</v>
      </c>
      <c r="B143" s="679" t="s">
        <v>428</v>
      </c>
      <c r="C143" s="680" t="s">
        <v>429</v>
      </c>
      <c r="D143" s="681" t="s">
        <v>425</v>
      </c>
      <c r="E143" s="682" t="s">
        <v>44</v>
      </c>
      <c r="F143" s="572">
        <v>1</v>
      </c>
      <c r="G143" s="572">
        <v>500</v>
      </c>
      <c r="H143" s="683">
        <v>1</v>
      </c>
      <c r="I143" s="574">
        <f>(F143*G143*H143)*12</f>
        <v>6000</v>
      </c>
      <c r="J143" s="575">
        <v>1</v>
      </c>
      <c r="K143" s="575">
        <v>500</v>
      </c>
      <c r="L143" s="684">
        <v>1</v>
      </c>
      <c r="M143" s="574">
        <f>(J143*K143*L143)*12</f>
        <v>6000</v>
      </c>
      <c r="N143" s="685">
        <f t="shared" si="131"/>
        <v>12000</v>
      </c>
      <c r="O143" s="536">
        <f t="shared" si="84"/>
        <v>4615.384615384615</v>
      </c>
      <c r="P143" s="536">
        <f t="shared" si="85"/>
        <v>4615.384615384615</v>
      </c>
      <c r="Q143" s="536">
        <f t="shared" si="86"/>
        <v>9230.76923076923</v>
      </c>
      <c r="R143" s="525">
        <f t="shared" si="132"/>
        <v>2557.13</v>
      </c>
      <c r="S143" s="525">
        <f t="shared" si="133"/>
        <v>3442.87</v>
      </c>
      <c r="T143" s="475">
        <f t="shared" si="134"/>
        <v>0.42618833333333334</v>
      </c>
      <c r="U143" s="476"/>
      <c r="V143" s="476"/>
      <c r="W143" s="476"/>
      <c r="X143" s="476"/>
      <c r="Y143" s="476"/>
      <c r="Z143" s="476"/>
      <c r="AA143" s="476"/>
      <c r="AB143" s="476"/>
      <c r="AC143" s="476"/>
      <c r="AD143" s="476"/>
      <c r="AE143" s="476"/>
      <c r="AF143" s="476"/>
      <c r="AG143" s="535">
        <f t="shared" si="135"/>
        <v>5058.89</v>
      </c>
      <c r="AH143" s="535">
        <f t="shared" si="94"/>
        <v>6941.11</v>
      </c>
      <c r="AI143" s="477">
        <f t="shared" si="87"/>
        <v>0.4215741666666667</v>
      </c>
      <c r="AJ143" s="461"/>
      <c r="AK143" s="511">
        <v>0</v>
      </c>
      <c r="AL143" s="511">
        <v>446.32</v>
      </c>
      <c r="AM143" s="511">
        <v>0</v>
      </c>
      <c r="AN143" s="511">
        <v>0</v>
      </c>
      <c r="AO143" s="512">
        <f t="shared" si="88"/>
        <v>446.32</v>
      </c>
      <c r="AP143" s="511">
        <v>330.58</v>
      </c>
      <c r="AQ143" s="511">
        <v>0</v>
      </c>
      <c r="AR143" s="511">
        <v>360.15</v>
      </c>
      <c r="AS143" s="512">
        <f t="shared" si="89"/>
        <v>690.73</v>
      </c>
      <c r="AT143" s="511">
        <v>235.8</v>
      </c>
      <c r="AU143" s="511">
        <v>283.15</v>
      </c>
      <c r="AV143" s="511">
        <v>225.94</v>
      </c>
      <c r="AW143" s="512">
        <f t="shared" si="90"/>
        <v>744.8900000000001</v>
      </c>
      <c r="AX143" s="511">
        <v>289.42</v>
      </c>
      <c r="AY143" s="511">
        <v>0</v>
      </c>
      <c r="AZ143" s="511">
        <v>330.4</v>
      </c>
      <c r="BA143" s="512">
        <f t="shared" si="91"/>
        <v>619.8199999999999</v>
      </c>
      <c r="BB143" s="513"/>
      <c r="BC143" s="511">
        <v>283.49</v>
      </c>
      <c r="BD143" s="511">
        <v>201.6</v>
      </c>
      <c r="BE143" s="511">
        <v>431.58</v>
      </c>
      <c r="BF143" s="511">
        <v>0</v>
      </c>
      <c r="BG143" s="512">
        <f t="shared" si="136"/>
        <v>916.6700000000001</v>
      </c>
      <c r="BH143" s="511">
        <v>244.07</v>
      </c>
      <c r="BI143" s="511">
        <v>258.77</v>
      </c>
      <c r="BJ143" s="511">
        <v>311.95</v>
      </c>
      <c r="BK143" s="512">
        <f t="shared" si="137"/>
        <v>814.79</v>
      </c>
      <c r="BL143" s="511">
        <v>173.95</v>
      </c>
      <c r="BM143" s="511">
        <v>295.17</v>
      </c>
      <c r="BN143" s="511">
        <v>356.55</v>
      </c>
      <c r="BO143" s="512">
        <f t="shared" si="138"/>
        <v>825.6700000000001</v>
      </c>
      <c r="BP143" s="511">
        <v>0</v>
      </c>
      <c r="BQ143" s="511">
        <v>0</v>
      </c>
      <c r="BR143" s="511">
        <v>0</v>
      </c>
      <c r="BS143" s="512">
        <f t="shared" si="139"/>
        <v>0</v>
      </c>
      <c r="BT143" s="513"/>
      <c r="BU143" s="748">
        <v>6941</v>
      </c>
      <c r="BV143" s="752">
        <v>300</v>
      </c>
      <c r="BW143" s="752">
        <v>300</v>
      </c>
      <c r="BX143" s="752">
        <v>300</v>
      </c>
      <c r="BY143" s="752">
        <v>300</v>
      </c>
      <c r="BZ143" s="752">
        <v>300</v>
      </c>
      <c r="CA143" s="753">
        <f t="shared" si="92"/>
        <v>1500</v>
      </c>
      <c r="CB143" s="754">
        <f t="shared" si="93"/>
        <v>0.21610718916582625</v>
      </c>
    </row>
    <row r="144" spans="1:80" s="460" customFormat="1" ht="23.25">
      <c r="A144" s="484" t="s">
        <v>287</v>
      </c>
      <c r="B144" s="679" t="s">
        <v>430</v>
      </c>
      <c r="C144" s="680" t="s">
        <v>431</v>
      </c>
      <c r="D144" s="681" t="s">
        <v>425</v>
      </c>
      <c r="E144" s="682" t="s">
        <v>44</v>
      </c>
      <c r="F144" s="572">
        <v>1</v>
      </c>
      <c r="G144" s="573">
        <v>285</v>
      </c>
      <c r="H144" s="683">
        <v>1</v>
      </c>
      <c r="I144" s="574">
        <f>(F144*G144*H144)*12</f>
        <v>3420</v>
      </c>
      <c r="J144" s="575">
        <v>1</v>
      </c>
      <c r="K144" s="575">
        <v>285</v>
      </c>
      <c r="L144" s="684">
        <v>1</v>
      </c>
      <c r="M144" s="574">
        <f>(J144*K144*L144)*12</f>
        <v>3420</v>
      </c>
      <c r="N144" s="685">
        <f t="shared" si="131"/>
        <v>6840</v>
      </c>
      <c r="O144" s="536">
        <f t="shared" si="84"/>
        <v>2630.7692307692305</v>
      </c>
      <c r="P144" s="536">
        <f t="shared" si="85"/>
        <v>2630.7692307692305</v>
      </c>
      <c r="Q144" s="536">
        <f t="shared" si="86"/>
        <v>5261.538461538461</v>
      </c>
      <c r="R144" s="525">
        <f t="shared" si="132"/>
        <v>4722.45</v>
      </c>
      <c r="S144" s="525">
        <f t="shared" si="133"/>
        <v>-1302.4499999999998</v>
      </c>
      <c r="T144" s="475">
        <f t="shared" si="134"/>
        <v>1.3808333333333334</v>
      </c>
      <c r="U144" s="476"/>
      <c r="V144" s="476"/>
      <c r="W144" s="476"/>
      <c r="X144" s="476"/>
      <c r="Y144" s="476"/>
      <c r="Z144" s="476"/>
      <c r="AA144" s="476"/>
      <c r="AB144" s="476"/>
      <c r="AC144" s="476"/>
      <c r="AD144" s="476"/>
      <c r="AE144" s="476"/>
      <c r="AF144" s="476"/>
      <c r="AG144" s="535">
        <f t="shared" si="135"/>
        <v>8459.470000000001</v>
      </c>
      <c r="AH144" s="535">
        <f t="shared" si="94"/>
        <v>-1619.4700000000012</v>
      </c>
      <c r="AI144" s="477">
        <f t="shared" si="87"/>
        <v>1.236764619883041</v>
      </c>
      <c r="AJ144" s="461"/>
      <c r="AK144" s="511">
        <v>0</v>
      </c>
      <c r="AL144" s="511">
        <v>204.01</v>
      </c>
      <c r="AM144" s="511">
        <v>11.99</v>
      </c>
      <c r="AN144" s="511">
        <v>0</v>
      </c>
      <c r="AO144" s="512">
        <f t="shared" si="88"/>
        <v>216</v>
      </c>
      <c r="AP144" s="511">
        <v>0</v>
      </c>
      <c r="AQ144" s="511">
        <v>10</v>
      </c>
      <c r="AR144" s="511">
        <v>447.01</v>
      </c>
      <c r="AS144" s="512">
        <f t="shared" si="89"/>
        <v>457.01</v>
      </c>
      <c r="AT144" s="511">
        <v>10</v>
      </c>
      <c r="AU144" s="511">
        <v>434.51</v>
      </c>
      <c r="AV144" s="511">
        <v>1849.49</v>
      </c>
      <c r="AW144" s="512">
        <f t="shared" si="90"/>
        <v>2294</v>
      </c>
      <c r="AX144" s="511">
        <v>39.01</v>
      </c>
      <c r="AY144" s="511">
        <v>49</v>
      </c>
      <c r="AZ144" s="511">
        <v>682</v>
      </c>
      <c r="BA144" s="512">
        <f t="shared" si="91"/>
        <v>770.01</v>
      </c>
      <c r="BB144" s="513"/>
      <c r="BC144" s="511">
        <v>1243.33</v>
      </c>
      <c r="BD144" s="511">
        <v>17.01</v>
      </c>
      <c r="BE144" s="511">
        <v>397.95</v>
      </c>
      <c r="BF144" s="511">
        <v>-912.84</v>
      </c>
      <c r="BG144" s="512">
        <f t="shared" si="136"/>
        <v>745.4499999999999</v>
      </c>
      <c r="BH144" s="511">
        <v>2596.83</v>
      </c>
      <c r="BI144" s="511">
        <v>53</v>
      </c>
      <c r="BJ144" s="511">
        <v>320</v>
      </c>
      <c r="BK144" s="512">
        <f t="shared" si="137"/>
        <v>2969.83</v>
      </c>
      <c r="BL144" s="511">
        <v>7.98</v>
      </c>
      <c r="BM144" s="511">
        <v>95</v>
      </c>
      <c r="BN144" s="511">
        <v>569.2</v>
      </c>
      <c r="BO144" s="512">
        <f t="shared" si="138"/>
        <v>672.1800000000001</v>
      </c>
      <c r="BP144" s="511">
        <v>334.99</v>
      </c>
      <c r="BQ144" s="511">
        <v>0</v>
      </c>
      <c r="BR144" s="511">
        <v>0</v>
      </c>
      <c r="BS144" s="512">
        <f t="shared" si="139"/>
        <v>334.99</v>
      </c>
      <c r="BT144" s="513"/>
      <c r="BU144" s="748">
        <f>0-1619</f>
        <v>-1619</v>
      </c>
      <c r="BV144" s="752">
        <v>1000</v>
      </c>
      <c r="BW144" s="752">
        <v>0</v>
      </c>
      <c r="BX144" s="752">
        <v>1500</v>
      </c>
      <c r="BY144" s="752">
        <v>0</v>
      </c>
      <c r="BZ144" s="752">
        <v>2000</v>
      </c>
      <c r="CA144" s="753">
        <f t="shared" si="92"/>
        <v>4500</v>
      </c>
      <c r="CB144" s="754">
        <f t="shared" si="93"/>
        <v>-2.7794935145151327</v>
      </c>
    </row>
    <row r="145" spans="1:80" s="460" customFormat="1" ht="23.25">
      <c r="A145" s="484" t="s">
        <v>288</v>
      </c>
      <c r="B145" s="679" t="s">
        <v>432</v>
      </c>
      <c r="C145" s="680" t="s">
        <v>433</v>
      </c>
      <c r="D145" s="681" t="s">
        <v>425</v>
      </c>
      <c r="E145" s="682" t="s">
        <v>44</v>
      </c>
      <c r="F145" s="572">
        <v>1</v>
      </c>
      <c r="G145" s="573">
        <v>100</v>
      </c>
      <c r="H145" s="683">
        <v>1</v>
      </c>
      <c r="I145" s="574">
        <f>(F145*G145*H145)*12</f>
        <v>1200</v>
      </c>
      <c r="J145" s="575">
        <v>1</v>
      </c>
      <c r="K145" s="575">
        <v>130</v>
      </c>
      <c r="L145" s="684">
        <v>1</v>
      </c>
      <c r="M145" s="574">
        <f>(J145*K145*L145)*12</f>
        <v>1560</v>
      </c>
      <c r="N145" s="685">
        <f t="shared" si="131"/>
        <v>2760</v>
      </c>
      <c r="O145" s="536">
        <f t="shared" si="84"/>
        <v>923.0769230769231</v>
      </c>
      <c r="P145" s="536">
        <f t="shared" si="85"/>
        <v>1200</v>
      </c>
      <c r="Q145" s="536">
        <f t="shared" si="86"/>
        <v>2123.076923076923</v>
      </c>
      <c r="R145" s="525">
        <f t="shared" si="132"/>
        <v>180</v>
      </c>
      <c r="S145" s="525">
        <f t="shared" si="133"/>
        <v>1380</v>
      </c>
      <c r="T145" s="475">
        <f t="shared" si="134"/>
        <v>0.11538461538461539</v>
      </c>
      <c r="U145" s="476"/>
      <c r="V145" s="476"/>
      <c r="W145" s="476"/>
      <c r="X145" s="476"/>
      <c r="Y145" s="476"/>
      <c r="Z145" s="476"/>
      <c r="AA145" s="476"/>
      <c r="AB145" s="476"/>
      <c r="AC145" s="476"/>
      <c r="AD145" s="476"/>
      <c r="AE145" s="476"/>
      <c r="AF145" s="476"/>
      <c r="AG145" s="535">
        <f t="shared" si="135"/>
        <v>1500.5100000000004</v>
      </c>
      <c r="AH145" s="535">
        <f t="shared" si="94"/>
        <v>1259.4899999999996</v>
      </c>
      <c r="AI145" s="477">
        <f t="shared" si="87"/>
        <v>0.543663043478261</v>
      </c>
      <c r="AJ145" s="461"/>
      <c r="AK145" s="511">
        <v>0</v>
      </c>
      <c r="AL145" s="511">
        <v>318</v>
      </c>
      <c r="AM145" s="511">
        <v>1884.23</v>
      </c>
      <c r="AN145" s="511">
        <v>-1446.8</v>
      </c>
      <c r="AO145" s="512">
        <f t="shared" si="88"/>
        <v>755.4300000000001</v>
      </c>
      <c r="AP145" s="511">
        <v>1479.8</v>
      </c>
      <c r="AQ145" s="511">
        <v>421.95</v>
      </c>
      <c r="AR145" s="511">
        <v>0</v>
      </c>
      <c r="AS145" s="512">
        <f t="shared" si="89"/>
        <v>1901.75</v>
      </c>
      <c r="AT145" s="511">
        <v>-2126.68</v>
      </c>
      <c r="AU145" s="511">
        <v>180</v>
      </c>
      <c r="AV145" s="511">
        <v>460.01</v>
      </c>
      <c r="AW145" s="512">
        <f t="shared" si="90"/>
        <v>-1486.6699999999998</v>
      </c>
      <c r="AX145" s="511">
        <v>0</v>
      </c>
      <c r="AY145" s="511">
        <v>0</v>
      </c>
      <c r="AZ145" s="511">
        <v>150</v>
      </c>
      <c r="BA145" s="512">
        <f t="shared" si="91"/>
        <v>150</v>
      </c>
      <c r="BB145" s="513"/>
      <c r="BC145" s="511">
        <v>0</v>
      </c>
      <c r="BD145" s="511">
        <v>0</v>
      </c>
      <c r="BE145" s="511">
        <v>0</v>
      </c>
      <c r="BF145" s="511">
        <v>0</v>
      </c>
      <c r="BG145" s="512">
        <f t="shared" si="136"/>
        <v>0</v>
      </c>
      <c r="BH145" s="511">
        <v>0</v>
      </c>
      <c r="BI145" s="511">
        <v>0</v>
      </c>
      <c r="BJ145" s="511">
        <v>0</v>
      </c>
      <c r="BK145" s="512">
        <f t="shared" si="137"/>
        <v>0</v>
      </c>
      <c r="BL145" s="511">
        <v>0</v>
      </c>
      <c r="BM145" s="511">
        <v>0</v>
      </c>
      <c r="BN145" s="511">
        <v>180</v>
      </c>
      <c r="BO145" s="512">
        <f t="shared" si="138"/>
        <v>180</v>
      </c>
      <c r="BP145" s="511">
        <v>0</v>
      </c>
      <c r="BQ145" s="511">
        <v>0</v>
      </c>
      <c r="BR145" s="511">
        <v>0</v>
      </c>
      <c r="BS145" s="512">
        <f t="shared" si="139"/>
        <v>0</v>
      </c>
      <c r="BT145" s="513"/>
      <c r="BU145" s="748">
        <v>1259</v>
      </c>
      <c r="BV145" s="752">
        <v>0</v>
      </c>
      <c r="BW145" s="752">
        <v>0</v>
      </c>
      <c r="BX145" s="752">
        <v>0</v>
      </c>
      <c r="BY145" s="752">
        <v>0</v>
      </c>
      <c r="BZ145" s="752">
        <v>0</v>
      </c>
      <c r="CA145" s="753">
        <f t="shared" si="92"/>
        <v>0</v>
      </c>
      <c r="CB145" s="754">
        <f t="shared" si="93"/>
        <v>0</v>
      </c>
    </row>
    <row r="146" spans="1:80" s="460" customFormat="1" ht="23.25">
      <c r="A146" s="484" t="s">
        <v>289</v>
      </c>
      <c r="B146" s="679" t="s">
        <v>434</v>
      </c>
      <c r="C146" s="680" t="s">
        <v>435</v>
      </c>
      <c r="D146" s="681" t="s">
        <v>425</v>
      </c>
      <c r="E146" s="467" t="s">
        <v>44</v>
      </c>
      <c r="F146" s="572">
        <v>12</v>
      </c>
      <c r="G146" s="572">
        <v>56</v>
      </c>
      <c r="H146" s="683">
        <v>0.15</v>
      </c>
      <c r="I146" s="574">
        <f>F146*G146*H146*12</f>
        <v>1209.6</v>
      </c>
      <c r="J146" s="575">
        <v>12</v>
      </c>
      <c r="K146" s="575">
        <v>56</v>
      </c>
      <c r="L146" s="684">
        <v>0.15</v>
      </c>
      <c r="M146" s="574">
        <f>J146*K146*L146*12</f>
        <v>1209.6</v>
      </c>
      <c r="N146" s="685">
        <f t="shared" si="131"/>
        <v>2419.2</v>
      </c>
      <c r="O146" s="536">
        <f t="shared" si="84"/>
        <v>930.4615384615383</v>
      </c>
      <c r="P146" s="536">
        <f t="shared" si="85"/>
        <v>930.4615384615383</v>
      </c>
      <c r="Q146" s="536">
        <f t="shared" si="86"/>
        <v>1860.9230769230767</v>
      </c>
      <c r="R146" s="525">
        <f t="shared" si="132"/>
        <v>4812.88</v>
      </c>
      <c r="S146" s="525">
        <f t="shared" si="133"/>
        <v>-3603.28</v>
      </c>
      <c r="T146" s="475">
        <f t="shared" si="134"/>
        <v>3.978902116402117</v>
      </c>
      <c r="U146" s="476"/>
      <c r="V146" s="476"/>
      <c r="W146" s="476"/>
      <c r="X146" s="476"/>
      <c r="Y146" s="476"/>
      <c r="Z146" s="476"/>
      <c r="AA146" s="476"/>
      <c r="AB146" s="476"/>
      <c r="AC146" s="476"/>
      <c r="AD146" s="476"/>
      <c r="AE146" s="476"/>
      <c r="AF146" s="476"/>
      <c r="AG146" s="535">
        <f t="shared" si="135"/>
        <v>9066.91</v>
      </c>
      <c r="AH146" s="535">
        <f t="shared" si="94"/>
        <v>-6647.71</v>
      </c>
      <c r="AI146" s="477">
        <f t="shared" si="87"/>
        <v>3.747895998677249</v>
      </c>
      <c r="AJ146" s="461"/>
      <c r="AK146" s="511">
        <v>0</v>
      </c>
      <c r="AL146" s="511">
        <v>0</v>
      </c>
      <c r="AM146" s="511">
        <v>78.88</v>
      </c>
      <c r="AN146" s="511">
        <v>0</v>
      </c>
      <c r="AO146" s="512">
        <f t="shared" si="88"/>
        <v>78.88</v>
      </c>
      <c r="AP146" s="511">
        <v>271.71</v>
      </c>
      <c r="AQ146" s="511">
        <v>95.07</v>
      </c>
      <c r="AR146" s="511">
        <v>460.2</v>
      </c>
      <c r="AS146" s="512">
        <f t="shared" si="89"/>
        <v>826.98</v>
      </c>
      <c r="AT146" s="511">
        <v>437.29</v>
      </c>
      <c r="AU146" s="511">
        <v>604.93</v>
      </c>
      <c r="AV146" s="511">
        <v>559.71</v>
      </c>
      <c r="AW146" s="512">
        <f t="shared" si="90"/>
        <v>1601.93</v>
      </c>
      <c r="AX146" s="511">
        <v>1587.57</v>
      </c>
      <c r="AY146" s="511">
        <v>6.1</v>
      </c>
      <c r="AZ146" s="511">
        <v>152.57</v>
      </c>
      <c r="BA146" s="512">
        <f t="shared" si="91"/>
        <v>1746.2399999999998</v>
      </c>
      <c r="BB146" s="513"/>
      <c r="BC146" s="511">
        <v>7.01</v>
      </c>
      <c r="BD146" s="511">
        <v>689.37</v>
      </c>
      <c r="BE146" s="511">
        <v>1020.59</v>
      </c>
      <c r="BF146" s="511">
        <v>0</v>
      </c>
      <c r="BG146" s="512">
        <f t="shared" si="136"/>
        <v>1716.97</v>
      </c>
      <c r="BH146" s="511">
        <v>387.7</v>
      </c>
      <c r="BI146" s="511">
        <v>709.62</v>
      </c>
      <c r="BJ146" s="511">
        <v>441.59</v>
      </c>
      <c r="BK146" s="512">
        <f t="shared" si="137"/>
        <v>1538.9099999999999</v>
      </c>
      <c r="BL146" s="511">
        <v>13.13</v>
      </c>
      <c r="BM146" s="511">
        <v>682.12</v>
      </c>
      <c r="BN146" s="511">
        <v>422.55</v>
      </c>
      <c r="BO146" s="512">
        <f t="shared" si="138"/>
        <v>1117.8</v>
      </c>
      <c r="BP146" s="511">
        <v>439.2</v>
      </c>
      <c r="BQ146" s="511">
        <v>0</v>
      </c>
      <c r="BR146" s="511">
        <v>0</v>
      </c>
      <c r="BS146" s="512">
        <f t="shared" si="139"/>
        <v>439.2</v>
      </c>
      <c r="BT146" s="513"/>
      <c r="BU146" s="748">
        <f>0-6647</f>
        <v>-6647</v>
      </c>
      <c r="BV146" s="752">
        <v>650</v>
      </c>
      <c r="BW146" s="752">
        <v>650</v>
      </c>
      <c r="BX146" s="752">
        <v>650</v>
      </c>
      <c r="BY146" s="752">
        <v>650</v>
      </c>
      <c r="BZ146" s="752">
        <v>650</v>
      </c>
      <c r="CA146" s="753">
        <f t="shared" si="92"/>
        <v>3250</v>
      </c>
      <c r="CB146" s="754">
        <f t="shared" si="93"/>
        <v>-0.4889423800210621</v>
      </c>
    </row>
    <row r="147" spans="1:80" s="460" customFormat="1" ht="23.25">
      <c r="A147" s="484" t="s">
        <v>290</v>
      </c>
      <c r="B147" s="679" t="s">
        <v>436</v>
      </c>
      <c r="C147" s="680" t="s">
        <v>437</v>
      </c>
      <c r="D147" s="681" t="s">
        <v>425</v>
      </c>
      <c r="E147" s="467" t="s">
        <v>44</v>
      </c>
      <c r="F147" s="572">
        <v>12</v>
      </c>
      <c r="G147" s="572">
        <v>83</v>
      </c>
      <c r="H147" s="683">
        <v>0.15</v>
      </c>
      <c r="I147" s="574">
        <f>(F147*G147*H147)*12</f>
        <v>1792.8000000000002</v>
      </c>
      <c r="J147" s="575">
        <v>12</v>
      </c>
      <c r="K147" s="575">
        <v>83</v>
      </c>
      <c r="L147" s="684">
        <v>0.15</v>
      </c>
      <c r="M147" s="574">
        <f>(J147*K147*L147)*12</f>
        <v>1792.8000000000002</v>
      </c>
      <c r="N147" s="685">
        <f t="shared" si="131"/>
        <v>3585.6000000000004</v>
      </c>
      <c r="O147" s="536">
        <f t="shared" si="84"/>
        <v>1379.076923076923</v>
      </c>
      <c r="P147" s="536">
        <f t="shared" si="85"/>
        <v>1379.076923076923</v>
      </c>
      <c r="Q147" s="536">
        <f t="shared" si="86"/>
        <v>2758.153846153846</v>
      </c>
      <c r="R147" s="525">
        <f t="shared" si="132"/>
        <v>1612.4</v>
      </c>
      <c r="S147" s="525">
        <f t="shared" si="133"/>
        <v>180.4000000000001</v>
      </c>
      <c r="T147" s="475">
        <f t="shared" si="134"/>
        <v>0.8993752788933511</v>
      </c>
      <c r="U147" s="476"/>
      <c r="V147" s="476"/>
      <c r="W147" s="476"/>
      <c r="X147" s="476"/>
      <c r="Y147" s="476"/>
      <c r="Z147" s="476"/>
      <c r="AA147" s="476"/>
      <c r="AB147" s="476"/>
      <c r="AC147" s="476"/>
      <c r="AD147" s="476"/>
      <c r="AE147" s="476"/>
      <c r="AF147" s="476"/>
      <c r="AG147" s="535">
        <f t="shared" si="135"/>
        <v>3654.9399999999996</v>
      </c>
      <c r="AH147" s="535">
        <f t="shared" si="94"/>
        <v>-69.33999999999924</v>
      </c>
      <c r="AI147" s="477">
        <f t="shared" si="87"/>
        <v>1.019338464970995</v>
      </c>
      <c r="AJ147" s="461"/>
      <c r="AK147" s="511">
        <v>0</v>
      </c>
      <c r="AL147" s="511">
        <v>452.6</v>
      </c>
      <c r="AM147" s="511">
        <v>180</v>
      </c>
      <c r="AN147" s="511">
        <v>0</v>
      </c>
      <c r="AO147" s="512">
        <f t="shared" si="88"/>
        <v>632.6</v>
      </c>
      <c r="AP147" s="511">
        <v>93</v>
      </c>
      <c r="AQ147" s="511">
        <v>188.51</v>
      </c>
      <c r="AR147" s="511">
        <v>0</v>
      </c>
      <c r="AS147" s="512">
        <f t="shared" si="89"/>
        <v>281.51</v>
      </c>
      <c r="AT147" s="511">
        <v>0</v>
      </c>
      <c r="AU147" s="511">
        <v>0</v>
      </c>
      <c r="AV147" s="511">
        <v>285.46</v>
      </c>
      <c r="AW147" s="512">
        <f t="shared" si="90"/>
        <v>285.46</v>
      </c>
      <c r="AX147" s="511">
        <v>0</v>
      </c>
      <c r="AY147" s="511">
        <v>842.97</v>
      </c>
      <c r="AZ147" s="511">
        <v>0</v>
      </c>
      <c r="BA147" s="512">
        <f t="shared" si="91"/>
        <v>842.97</v>
      </c>
      <c r="BB147" s="513"/>
      <c r="BC147" s="511">
        <v>0</v>
      </c>
      <c r="BD147" s="511">
        <v>0</v>
      </c>
      <c r="BE147" s="511">
        <v>0</v>
      </c>
      <c r="BF147" s="511">
        <v>0</v>
      </c>
      <c r="BG147" s="512">
        <f t="shared" si="136"/>
        <v>0</v>
      </c>
      <c r="BH147" s="511">
        <v>0</v>
      </c>
      <c r="BI147" s="511">
        <v>83.71</v>
      </c>
      <c r="BJ147" s="511">
        <v>0</v>
      </c>
      <c r="BK147" s="512">
        <f t="shared" si="137"/>
        <v>83.71</v>
      </c>
      <c r="BL147" s="511">
        <v>0</v>
      </c>
      <c r="BM147" s="511">
        <v>0</v>
      </c>
      <c r="BN147" s="511">
        <v>902.41</v>
      </c>
      <c r="BO147" s="512">
        <f t="shared" si="138"/>
        <v>902.41</v>
      </c>
      <c r="BP147" s="511">
        <v>626.28</v>
      </c>
      <c r="BQ147" s="511">
        <v>0</v>
      </c>
      <c r="BR147" s="511">
        <v>0</v>
      </c>
      <c r="BS147" s="512">
        <f t="shared" si="139"/>
        <v>626.28</v>
      </c>
      <c r="BT147" s="513"/>
      <c r="BU147" s="748">
        <f>0-69</f>
        <v>-69</v>
      </c>
      <c r="BV147" s="752">
        <v>0</v>
      </c>
      <c r="BW147" s="752">
        <v>0</v>
      </c>
      <c r="BX147" s="752">
        <v>0</v>
      </c>
      <c r="BY147" s="752">
        <v>0</v>
      </c>
      <c r="BZ147" s="752">
        <v>0</v>
      </c>
      <c r="CA147" s="753">
        <f t="shared" si="92"/>
        <v>0</v>
      </c>
      <c r="CB147" s="754">
        <f t="shared" si="93"/>
        <v>0</v>
      </c>
    </row>
    <row r="148" spans="1:80" s="460" customFormat="1" ht="23.25">
      <c r="A148" s="484" t="s">
        <v>291</v>
      </c>
      <c r="B148" s="679" t="s">
        <v>438</v>
      </c>
      <c r="C148" s="680" t="s">
        <v>439</v>
      </c>
      <c r="D148" s="681" t="s">
        <v>425</v>
      </c>
      <c r="E148" s="467" t="s">
        <v>44</v>
      </c>
      <c r="F148" s="572">
        <v>1</v>
      </c>
      <c r="G148" s="572">
        <v>1500</v>
      </c>
      <c r="H148" s="683">
        <v>0.15</v>
      </c>
      <c r="I148" s="574">
        <f>(F148*G148*H148)</f>
        <v>225</v>
      </c>
      <c r="J148" s="575">
        <v>1</v>
      </c>
      <c r="K148" s="575">
        <v>1500</v>
      </c>
      <c r="L148" s="684">
        <v>0.15</v>
      </c>
      <c r="M148" s="574">
        <f>(J148*K148*L148)</f>
        <v>225</v>
      </c>
      <c r="N148" s="685">
        <f t="shared" si="131"/>
        <v>450</v>
      </c>
      <c r="O148" s="536">
        <f t="shared" si="84"/>
        <v>173.07692307692307</v>
      </c>
      <c r="P148" s="536">
        <f t="shared" si="85"/>
        <v>173.07692307692307</v>
      </c>
      <c r="Q148" s="536">
        <f t="shared" si="86"/>
        <v>346.15384615384613</v>
      </c>
      <c r="R148" s="525">
        <f t="shared" si="132"/>
        <v>137.62</v>
      </c>
      <c r="S148" s="525">
        <f t="shared" si="133"/>
        <v>87.38</v>
      </c>
      <c r="T148" s="475">
        <f t="shared" si="134"/>
        <v>0.6116444444444444</v>
      </c>
      <c r="U148" s="476"/>
      <c r="V148" s="476"/>
      <c r="W148" s="476"/>
      <c r="X148" s="476"/>
      <c r="Y148" s="476"/>
      <c r="Z148" s="476"/>
      <c r="AA148" s="476"/>
      <c r="AB148" s="476"/>
      <c r="AC148" s="476"/>
      <c r="AD148" s="476"/>
      <c r="AE148" s="476"/>
      <c r="AF148" s="476"/>
      <c r="AG148" s="535">
        <f t="shared" si="135"/>
        <v>287.63</v>
      </c>
      <c r="AH148" s="535">
        <f t="shared" si="94"/>
        <v>162.37</v>
      </c>
      <c r="AI148" s="477">
        <f t="shared" si="87"/>
        <v>0.6391777777777777</v>
      </c>
      <c r="AJ148" s="461"/>
      <c r="AK148" s="511">
        <v>0</v>
      </c>
      <c r="AL148" s="511">
        <v>0</v>
      </c>
      <c r="AM148" s="511">
        <v>0</v>
      </c>
      <c r="AN148" s="511">
        <v>0</v>
      </c>
      <c r="AO148" s="512">
        <f t="shared" si="88"/>
        <v>0</v>
      </c>
      <c r="AP148" s="511">
        <v>50</v>
      </c>
      <c r="AQ148" s="511">
        <v>50.01</v>
      </c>
      <c r="AR148" s="511">
        <v>50</v>
      </c>
      <c r="AS148" s="512">
        <f t="shared" si="89"/>
        <v>150.01</v>
      </c>
      <c r="AT148" s="511">
        <v>0</v>
      </c>
      <c r="AU148" s="511">
        <v>0</v>
      </c>
      <c r="AV148" s="511">
        <v>0</v>
      </c>
      <c r="AW148" s="512">
        <f t="shared" si="90"/>
        <v>0</v>
      </c>
      <c r="AX148" s="511">
        <v>0</v>
      </c>
      <c r="AY148" s="511">
        <v>0</v>
      </c>
      <c r="AZ148" s="511">
        <v>0</v>
      </c>
      <c r="BA148" s="512">
        <f t="shared" si="91"/>
        <v>0</v>
      </c>
      <c r="BB148" s="513"/>
      <c r="BC148" s="511">
        <v>18.63</v>
      </c>
      <c r="BD148" s="511">
        <v>0</v>
      </c>
      <c r="BE148" s="511">
        <v>0</v>
      </c>
      <c r="BF148" s="511">
        <v>0</v>
      </c>
      <c r="BG148" s="512">
        <f t="shared" si="136"/>
        <v>18.63</v>
      </c>
      <c r="BH148" s="511">
        <v>0</v>
      </c>
      <c r="BI148" s="511">
        <v>118.99</v>
      </c>
      <c r="BJ148" s="511">
        <v>0</v>
      </c>
      <c r="BK148" s="512">
        <f t="shared" si="137"/>
        <v>118.99</v>
      </c>
      <c r="BL148" s="511">
        <v>0</v>
      </c>
      <c r="BM148" s="511">
        <v>0</v>
      </c>
      <c r="BN148" s="511">
        <v>0</v>
      </c>
      <c r="BO148" s="512">
        <f t="shared" si="138"/>
        <v>0</v>
      </c>
      <c r="BP148" s="511">
        <v>0</v>
      </c>
      <c r="BQ148" s="511">
        <v>0</v>
      </c>
      <c r="BR148" s="511">
        <v>0</v>
      </c>
      <c r="BS148" s="512">
        <f t="shared" si="139"/>
        <v>0</v>
      </c>
      <c r="BT148" s="513"/>
      <c r="BU148" s="748">
        <v>162</v>
      </c>
      <c r="BV148" s="752">
        <v>0</v>
      </c>
      <c r="BW148" s="752">
        <v>0</v>
      </c>
      <c r="BX148" s="752">
        <v>0</v>
      </c>
      <c r="BY148" s="752">
        <v>0</v>
      </c>
      <c r="BZ148" s="752">
        <v>0</v>
      </c>
      <c r="CA148" s="753">
        <f t="shared" si="92"/>
        <v>0</v>
      </c>
      <c r="CB148" s="754">
        <f t="shared" si="93"/>
        <v>0</v>
      </c>
    </row>
    <row r="149" spans="1:80" s="460" customFormat="1" ht="23.25">
      <c r="A149" s="484" t="s">
        <v>292</v>
      </c>
      <c r="B149" s="679" t="s">
        <v>440</v>
      </c>
      <c r="C149" s="680" t="s">
        <v>441</v>
      </c>
      <c r="D149" s="681" t="s">
        <v>425</v>
      </c>
      <c r="E149" s="467" t="s">
        <v>44</v>
      </c>
      <c r="F149" s="572">
        <v>3</v>
      </c>
      <c r="G149" s="572">
        <v>1675</v>
      </c>
      <c r="H149" s="683">
        <v>0.13</v>
      </c>
      <c r="I149" s="574">
        <f>(F149*G149*H149)*12</f>
        <v>7839</v>
      </c>
      <c r="J149" s="575">
        <v>3</v>
      </c>
      <c r="K149" s="575">
        <v>1675</v>
      </c>
      <c r="L149" s="684">
        <v>0.13</v>
      </c>
      <c r="M149" s="574">
        <f>(J149*K149*L149)*12</f>
        <v>7839</v>
      </c>
      <c r="N149" s="685">
        <f t="shared" si="131"/>
        <v>15678</v>
      </c>
      <c r="O149" s="536">
        <f t="shared" si="84"/>
        <v>6030</v>
      </c>
      <c r="P149" s="536">
        <f t="shared" si="85"/>
        <v>6030</v>
      </c>
      <c r="Q149" s="536">
        <f t="shared" si="86"/>
        <v>12060</v>
      </c>
      <c r="R149" s="525">
        <f t="shared" si="132"/>
        <v>3042.7900000000004</v>
      </c>
      <c r="S149" s="525">
        <f t="shared" si="133"/>
        <v>4796.209999999999</v>
      </c>
      <c r="T149" s="475">
        <f t="shared" si="134"/>
        <v>0.38816047965301703</v>
      </c>
      <c r="U149" s="476"/>
      <c r="V149" s="476"/>
      <c r="W149" s="476"/>
      <c r="X149" s="476"/>
      <c r="Y149" s="476"/>
      <c r="Z149" s="476"/>
      <c r="AA149" s="476"/>
      <c r="AB149" s="476"/>
      <c r="AC149" s="476"/>
      <c r="AD149" s="476"/>
      <c r="AE149" s="476"/>
      <c r="AF149" s="476"/>
      <c r="AG149" s="535">
        <f t="shared" si="135"/>
        <v>9229.050000000001</v>
      </c>
      <c r="AH149" s="535">
        <f t="shared" si="94"/>
        <v>6448.949999999999</v>
      </c>
      <c r="AI149" s="477">
        <f t="shared" si="87"/>
        <v>0.5886624569460391</v>
      </c>
      <c r="AJ149" s="461"/>
      <c r="AK149" s="511">
        <v>0</v>
      </c>
      <c r="AL149" s="511">
        <v>452.54</v>
      </c>
      <c r="AM149" s="511">
        <v>344.8</v>
      </c>
      <c r="AN149" s="511">
        <v>0</v>
      </c>
      <c r="AO149" s="512">
        <f t="shared" si="88"/>
        <v>797.34</v>
      </c>
      <c r="AP149" s="511">
        <v>371.25</v>
      </c>
      <c r="AQ149" s="511">
        <v>7.7</v>
      </c>
      <c r="AR149" s="511">
        <v>628.75</v>
      </c>
      <c r="AS149" s="512">
        <f t="shared" si="89"/>
        <v>1007.7</v>
      </c>
      <c r="AT149" s="511">
        <v>2874.73</v>
      </c>
      <c r="AU149" s="511">
        <v>208.88</v>
      </c>
      <c r="AV149" s="511">
        <v>716.85</v>
      </c>
      <c r="AW149" s="512">
        <f t="shared" si="90"/>
        <v>3800.46</v>
      </c>
      <c r="AX149" s="511">
        <v>350.57</v>
      </c>
      <c r="AY149" s="511">
        <v>6</v>
      </c>
      <c r="AZ149" s="511">
        <v>224.19</v>
      </c>
      <c r="BA149" s="512">
        <f t="shared" si="91"/>
        <v>580.76</v>
      </c>
      <c r="BB149" s="513"/>
      <c r="BC149" s="511">
        <v>122.97</v>
      </c>
      <c r="BD149" s="511">
        <v>1290.8</v>
      </c>
      <c r="BE149" s="511">
        <v>-137.1</v>
      </c>
      <c r="BF149" s="511">
        <v>-442.28</v>
      </c>
      <c r="BG149" s="512">
        <f t="shared" si="136"/>
        <v>834.3900000000001</v>
      </c>
      <c r="BH149" s="511">
        <v>1371.7</v>
      </c>
      <c r="BI149" s="511">
        <v>212.81</v>
      </c>
      <c r="BJ149" s="511">
        <v>284.99</v>
      </c>
      <c r="BK149" s="512">
        <f t="shared" si="137"/>
        <v>1869.5</v>
      </c>
      <c r="BL149" s="511">
        <v>-110.94</v>
      </c>
      <c r="BM149" s="511">
        <v>494.18</v>
      </c>
      <c r="BN149" s="511">
        <v>-90.32</v>
      </c>
      <c r="BO149" s="512">
        <f t="shared" si="138"/>
        <v>292.92</v>
      </c>
      <c r="BP149" s="511">
        <v>45.98</v>
      </c>
      <c r="BQ149" s="511">
        <v>0</v>
      </c>
      <c r="BR149" s="511">
        <v>0</v>
      </c>
      <c r="BS149" s="512">
        <f t="shared" si="139"/>
        <v>45.98</v>
      </c>
      <c r="BT149" s="513"/>
      <c r="BU149" s="748">
        <v>6449</v>
      </c>
      <c r="BV149" s="752">
        <v>500</v>
      </c>
      <c r="BW149" s="752">
        <v>500</v>
      </c>
      <c r="BX149" s="752">
        <v>500</v>
      </c>
      <c r="BY149" s="752">
        <v>500</v>
      </c>
      <c r="BZ149" s="752">
        <v>500</v>
      </c>
      <c r="CA149" s="753">
        <f t="shared" si="92"/>
        <v>2500</v>
      </c>
      <c r="CB149" s="754">
        <f t="shared" si="93"/>
        <v>0.3876570010854396</v>
      </c>
    </row>
    <row r="150" spans="1:80" s="460" customFormat="1" ht="24">
      <c r="A150" s="484" t="s">
        <v>293</v>
      </c>
      <c r="B150" s="679" t="s">
        <v>442</v>
      </c>
      <c r="C150" s="680" t="s">
        <v>443</v>
      </c>
      <c r="D150" s="681" t="s">
        <v>425</v>
      </c>
      <c r="E150" s="467" t="s">
        <v>44</v>
      </c>
      <c r="F150" s="572">
        <v>3</v>
      </c>
      <c r="G150" s="572">
        <v>6100</v>
      </c>
      <c r="H150" s="683">
        <v>0.11</v>
      </c>
      <c r="I150" s="574">
        <f>(F150*G150*H150)*1</f>
        <v>2013</v>
      </c>
      <c r="J150" s="575">
        <v>3</v>
      </c>
      <c r="K150" s="575">
        <v>6100</v>
      </c>
      <c r="L150" s="684">
        <v>0.11</v>
      </c>
      <c r="M150" s="574">
        <f>(J150*K150*L150)*1</f>
        <v>2013</v>
      </c>
      <c r="N150" s="685">
        <f t="shared" si="131"/>
        <v>4026</v>
      </c>
      <c r="O150" s="536">
        <f t="shared" si="84"/>
        <v>1548.4615384615383</v>
      </c>
      <c r="P150" s="536">
        <f t="shared" si="85"/>
        <v>1548.4615384615383</v>
      </c>
      <c r="Q150" s="536">
        <f t="shared" si="86"/>
        <v>3096.9230769230767</v>
      </c>
      <c r="R150" s="525">
        <f t="shared" si="132"/>
        <v>812.55</v>
      </c>
      <c r="S150" s="525">
        <f t="shared" si="133"/>
        <v>1200.45</v>
      </c>
      <c r="T150" s="475">
        <f t="shared" si="134"/>
        <v>0.40365126676602087</v>
      </c>
      <c r="U150" s="476"/>
      <c r="V150" s="476"/>
      <c r="W150" s="476"/>
      <c r="X150" s="476"/>
      <c r="Y150" s="476"/>
      <c r="Z150" s="476"/>
      <c r="AA150" s="476"/>
      <c r="AB150" s="476"/>
      <c r="AC150" s="476"/>
      <c r="AD150" s="476"/>
      <c r="AE150" s="476"/>
      <c r="AF150" s="476"/>
      <c r="AG150" s="535">
        <f t="shared" si="135"/>
        <v>3895.16</v>
      </c>
      <c r="AH150" s="535">
        <f t="shared" si="94"/>
        <v>130.84000000000015</v>
      </c>
      <c r="AI150" s="477">
        <f t="shared" si="87"/>
        <v>0.9675012419274714</v>
      </c>
      <c r="AJ150" s="461"/>
      <c r="AK150" s="511">
        <v>0</v>
      </c>
      <c r="AL150" s="511">
        <v>186</v>
      </c>
      <c r="AM150" s="511">
        <v>0</v>
      </c>
      <c r="AN150" s="511">
        <v>0</v>
      </c>
      <c r="AO150" s="512">
        <f t="shared" si="88"/>
        <v>186</v>
      </c>
      <c r="AP150" s="511">
        <v>1011.99</v>
      </c>
      <c r="AQ150" s="511">
        <v>0</v>
      </c>
      <c r="AR150" s="511">
        <v>94.34</v>
      </c>
      <c r="AS150" s="512">
        <f t="shared" si="89"/>
        <v>1106.33</v>
      </c>
      <c r="AT150" s="511">
        <v>440.89</v>
      </c>
      <c r="AU150" s="511">
        <v>-46.86</v>
      </c>
      <c r="AV150" s="511">
        <v>475.01</v>
      </c>
      <c r="AW150" s="512">
        <f t="shared" si="90"/>
        <v>869.04</v>
      </c>
      <c r="AX150" s="511">
        <v>921.24</v>
      </c>
      <c r="AY150" s="511">
        <v>0</v>
      </c>
      <c r="AZ150" s="511">
        <v>0</v>
      </c>
      <c r="BA150" s="512">
        <f t="shared" si="91"/>
        <v>921.24</v>
      </c>
      <c r="BB150" s="513"/>
      <c r="BC150" s="511">
        <v>0</v>
      </c>
      <c r="BD150" s="511">
        <v>0</v>
      </c>
      <c r="BE150" s="511">
        <v>0</v>
      </c>
      <c r="BF150" s="511">
        <v>0</v>
      </c>
      <c r="BG150" s="512">
        <f t="shared" si="136"/>
        <v>0</v>
      </c>
      <c r="BH150" s="511">
        <v>0</v>
      </c>
      <c r="BI150" s="511">
        <v>292.24</v>
      </c>
      <c r="BJ150" s="511">
        <v>193.73</v>
      </c>
      <c r="BK150" s="512">
        <f t="shared" si="137"/>
        <v>485.97</v>
      </c>
      <c r="BL150" s="511">
        <v>26.98</v>
      </c>
      <c r="BM150" s="511">
        <v>153.78</v>
      </c>
      <c r="BN150" s="511">
        <v>85.82</v>
      </c>
      <c r="BO150" s="512">
        <f t="shared" si="138"/>
        <v>266.58</v>
      </c>
      <c r="BP150" s="511">
        <v>60</v>
      </c>
      <c r="BQ150" s="511">
        <v>0</v>
      </c>
      <c r="BR150" s="511">
        <v>0</v>
      </c>
      <c r="BS150" s="512">
        <f t="shared" si="139"/>
        <v>60</v>
      </c>
      <c r="BT150" s="513"/>
      <c r="BU150" s="748">
        <v>130</v>
      </c>
      <c r="BV150" s="752">
        <v>0</v>
      </c>
      <c r="BW150" s="752">
        <v>100</v>
      </c>
      <c r="BX150" s="752">
        <v>0</v>
      </c>
      <c r="BY150" s="752">
        <v>0</v>
      </c>
      <c r="BZ150" s="752">
        <v>0</v>
      </c>
      <c r="CA150" s="753">
        <f t="shared" si="92"/>
        <v>100</v>
      </c>
      <c r="CB150" s="754">
        <f t="shared" si="93"/>
        <v>0.7692307692307693</v>
      </c>
    </row>
    <row r="151" spans="1:80" s="460" customFormat="1" ht="23.25">
      <c r="A151" s="484" t="s">
        <v>294</v>
      </c>
      <c r="B151" s="679" t="s">
        <v>444</v>
      </c>
      <c r="C151" s="680" t="s">
        <v>445</v>
      </c>
      <c r="D151" s="681" t="s">
        <v>425</v>
      </c>
      <c r="E151" s="706" t="s">
        <v>44</v>
      </c>
      <c r="F151" s="572">
        <v>1</v>
      </c>
      <c r="G151" s="572">
        <v>856</v>
      </c>
      <c r="H151" s="683">
        <v>1</v>
      </c>
      <c r="I151" s="574">
        <f>(F151*G151*H151)*1</f>
        <v>856</v>
      </c>
      <c r="J151" s="575">
        <v>1</v>
      </c>
      <c r="K151" s="575">
        <v>1000</v>
      </c>
      <c r="L151" s="684">
        <v>1</v>
      </c>
      <c r="M151" s="574">
        <v>1000</v>
      </c>
      <c r="N151" s="685">
        <f t="shared" si="131"/>
        <v>1856</v>
      </c>
      <c r="O151" s="536">
        <f t="shared" si="84"/>
        <v>658.4615384615385</v>
      </c>
      <c r="P151" s="536">
        <f t="shared" si="85"/>
        <v>769.2307692307692</v>
      </c>
      <c r="Q151" s="536">
        <f t="shared" si="86"/>
        <v>1427.6923076923076</v>
      </c>
      <c r="R151" s="525">
        <f t="shared" si="132"/>
        <v>1177.73</v>
      </c>
      <c r="S151" s="525">
        <f t="shared" si="133"/>
        <v>-177.73000000000002</v>
      </c>
      <c r="T151" s="475">
        <f t="shared" si="134"/>
        <v>1.17773</v>
      </c>
      <c r="U151" s="476"/>
      <c r="V151" s="476"/>
      <c r="W151" s="476"/>
      <c r="X151" s="476"/>
      <c r="Y151" s="476"/>
      <c r="Z151" s="476"/>
      <c r="AA151" s="476"/>
      <c r="AB151" s="476"/>
      <c r="AC151" s="476"/>
      <c r="AD151" s="476"/>
      <c r="AE151" s="476"/>
      <c r="AF151" s="476"/>
      <c r="AG151" s="535">
        <f t="shared" si="135"/>
        <v>1946.8899999999999</v>
      </c>
      <c r="AH151" s="535">
        <f t="shared" si="94"/>
        <v>-90.88999999999987</v>
      </c>
      <c r="AI151" s="477">
        <f t="shared" si="87"/>
        <v>1.0489709051724136</v>
      </c>
      <c r="AJ151" s="461"/>
      <c r="AK151" s="511">
        <v>0</v>
      </c>
      <c r="AL151" s="511">
        <v>14.99</v>
      </c>
      <c r="AM151" s="511">
        <v>207.49</v>
      </c>
      <c r="AN151" s="511">
        <v>0</v>
      </c>
      <c r="AO151" s="512">
        <f t="shared" si="88"/>
        <v>222.48000000000002</v>
      </c>
      <c r="AP151" s="511">
        <v>138.5</v>
      </c>
      <c r="AQ151" s="511">
        <v>0</v>
      </c>
      <c r="AR151" s="511">
        <v>50</v>
      </c>
      <c r="AS151" s="512">
        <f t="shared" si="89"/>
        <v>188.5</v>
      </c>
      <c r="AT151" s="511">
        <v>94.5</v>
      </c>
      <c r="AU151" s="511">
        <v>0</v>
      </c>
      <c r="AV151" s="511">
        <v>87.3</v>
      </c>
      <c r="AW151" s="512">
        <f t="shared" si="90"/>
        <v>181.8</v>
      </c>
      <c r="AX151" s="511">
        <v>106.8</v>
      </c>
      <c r="AY151" s="511">
        <v>22.56</v>
      </c>
      <c r="AZ151" s="511">
        <v>47.02</v>
      </c>
      <c r="BA151" s="512">
        <f t="shared" si="91"/>
        <v>176.38</v>
      </c>
      <c r="BB151" s="513"/>
      <c r="BC151" s="511">
        <v>96.25</v>
      </c>
      <c r="BD151" s="511">
        <v>31.88</v>
      </c>
      <c r="BE151" s="511">
        <v>40.82</v>
      </c>
      <c r="BF151" s="511">
        <v>0</v>
      </c>
      <c r="BG151" s="512">
        <f t="shared" si="136"/>
        <v>168.95</v>
      </c>
      <c r="BH151" s="511">
        <v>112.7</v>
      </c>
      <c r="BI151" s="511">
        <v>147.69</v>
      </c>
      <c r="BJ151" s="511">
        <v>59.28</v>
      </c>
      <c r="BK151" s="512">
        <f t="shared" si="137"/>
        <v>319.66999999999996</v>
      </c>
      <c r="BL151" s="511">
        <v>423.37</v>
      </c>
      <c r="BM151" s="511">
        <v>43.05</v>
      </c>
      <c r="BN151" s="511">
        <v>97.75</v>
      </c>
      <c r="BO151" s="512">
        <f t="shared" si="138"/>
        <v>564.1700000000001</v>
      </c>
      <c r="BP151" s="511">
        <v>124.94</v>
      </c>
      <c r="BQ151" s="511">
        <v>0</v>
      </c>
      <c r="BR151" s="511">
        <v>0</v>
      </c>
      <c r="BS151" s="512">
        <f t="shared" si="139"/>
        <v>124.94</v>
      </c>
      <c r="BT151" s="513"/>
      <c r="BU151" s="748">
        <f>0-90</f>
        <v>-90</v>
      </c>
      <c r="BV151" s="752">
        <v>0</v>
      </c>
      <c r="BW151" s="752">
        <v>0</v>
      </c>
      <c r="BX151" s="752">
        <v>0</v>
      </c>
      <c r="BY151" s="752">
        <v>0</v>
      </c>
      <c r="BZ151" s="752">
        <v>0</v>
      </c>
      <c r="CA151" s="753">
        <f t="shared" si="92"/>
        <v>0</v>
      </c>
      <c r="CB151" s="754">
        <f t="shared" si="93"/>
        <v>0</v>
      </c>
    </row>
    <row r="152" spans="1:80" s="460" customFormat="1" ht="23.25">
      <c r="A152" s="484" t="s">
        <v>295</v>
      </c>
      <c r="B152" s="679" t="s">
        <v>446</v>
      </c>
      <c r="C152" s="680" t="s">
        <v>447</v>
      </c>
      <c r="D152" s="681" t="s">
        <v>425</v>
      </c>
      <c r="E152" s="706" t="s">
        <v>44</v>
      </c>
      <c r="F152" s="572">
        <v>1</v>
      </c>
      <c r="G152" s="572">
        <v>1149</v>
      </c>
      <c r="H152" s="683">
        <v>0.3</v>
      </c>
      <c r="I152" s="574">
        <f>G152*H152*12</f>
        <v>4136.4</v>
      </c>
      <c r="J152" s="575">
        <v>1</v>
      </c>
      <c r="K152" s="575">
        <v>1149</v>
      </c>
      <c r="L152" s="684">
        <v>0.3</v>
      </c>
      <c r="M152" s="574">
        <f>K152*L152*12</f>
        <v>4136.4</v>
      </c>
      <c r="N152" s="685">
        <f t="shared" si="131"/>
        <v>8272.8</v>
      </c>
      <c r="O152" s="536">
        <f t="shared" si="84"/>
        <v>3181.8461538461534</v>
      </c>
      <c r="P152" s="536">
        <f t="shared" si="85"/>
        <v>3181.8461538461534</v>
      </c>
      <c r="Q152" s="536">
        <f t="shared" si="86"/>
        <v>6363.692307692307</v>
      </c>
      <c r="R152" s="525">
        <f t="shared" si="132"/>
        <v>91.99</v>
      </c>
      <c r="S152" s="525">
        <f t="shared" si="133"/>
        <v>4044.41</v>
      </c>
      <c r="T152" s="475">
        <f t="shared" si="134"/>
        <v>0.022239145150372307</v>
      </c>
      <c r="U152" s="476"/>
      <c r="V152" s="476"/>
      <c r="W152" s="476"/>
      <c r="X152" s="476"/>
      <c r="Y152" s="476"/>
      <c r="Z152" s="476"/>
      <c r="AA152" s="476"/>
      <c r="AB152" s="476"/>
      <c r="AC152" s="476"/>
      <c r="AD152" s="476"/>
      <c r="AE152" s="476"/>
      <c r="AF152" s="476"/>
      <c r="AG152" s="535">
        <f t="shared" si="135"/>
        <v>2275.22</v>
      </c>
      <c r="AH152" s="535">
        <f t="shared" si="94"/>
        <v>5997.58</v>
      </c>
      <c r="AI152" s="477">
        <f t="shared" si="87"/>
        <v>0.275024175611643</v>
      </c>
      <c r="AJ152" s="461"/>
      <c r="AK152" s="511">
        <v>0</v>
      </c>
      <c r="AL152" s="511">
        <v>542.21</v>
      </c>
      <c r="AM152" s="511">
        <v>0</v>
      </c>
      <c r="AN152" s="511">
        <v>0</v>
      </c>
      <c r="AO152" s="512">
        <f t="shared" si="88"/>
        <v>542.21</v>
      </c>
      <c r="AP152" s="511">
        <v>115.18</v>
      </c>
      <c r="AQ152" s="511">
        <v>102.28</v>
      </c>
      <c r="AR152" s="511">
        <v>184.41</v>
      </c>
      <c r="AS152" s="512">
        <f t="shared" si="89"/>
        <v>401.87</v>
      </c>
      <c r="AT152" s="511">
        <v>104.5</v>
      </c>
      <c r="AU152" s="511">
        <v>141.15</v>
      </c>
      <c r="AV152" s="511">
        <v>746</v>
      </c>
      <c r="AW152" s="512">
        <f t="shared" si="90"/>
        <v>991.65</v>
      </c>
      <c r="AX152" s="511">
        <v>71.24</v>
      </c>
      <c r="AY152" s="511">
        <v>176.26</v>
      </c>
      <c r="AZ152" s="511">
        <v>0</v>
      </c>
      <c r="BA152" s="512">
        <f t="shared" si="91"/>
        <v>247.5</v>
      </c>
      <c r="BB152" s="513"/>
      <c r="BC152" s="511">
        <v>0</v>
      </c>
      <c r="BD152" s="511">
        <v>0</v>
      </c>
      <c r="BE152" s="511">
        <v>0</v>
      </c>
      <c r="BF152" s="511">
        <v>0</v>
      </c>
      <c r="BG152" s="512">
        <f t="shared" si="136"/>
        <v>0</v>
      </c>
      <c r="BH152" s="511">
        <v>0</v>
      </c>
      <c r="BI152" s="511">
        <v>0</v>
      </c>
      <c r="BJ152" s="511">
        <v>8</v>
      </c>
      <c r="BK152" s="512">
        <f t="shared" si="137"/>
        <v>8</v>
      </c>
      <c r="BL152" s="511">
        <v>83.99</v>
      </c>
      <c r="BM152" s="511">
        <v>0</v>
      </c>
      <c r="BN152" s="511">
        <v>0</v>
      </c>
      <c r="BO152" s="512">
        <f t="shared" si="138"/>
        <v>83.99</v>
      </c>
      <c r="BP152" s="511">
        <v>0</v>
      </c>
      <c r="BQ152" s="511">
        <v>0</v>
      </c>
      <c r="BR152" s="511">
        <v>0</v>
      </c>
      <c r="BS152" s="512">
        <f t="shared" si="139"/>
        <v>0</v>
      </c>
      <c r="BT152" s="513"/>
      <c r="BU152" s="748">
        <v>5997</v>
      </c>
      <c r="BV152" s="752">
        <v>200</v>
      </c>
      <c r="BW152" s="752">
        <v>300</v>
      </c>
      <c r="BX152" s="752">
        <v>100</v>
      </c>
      <c r="BY152" s="752">
        <v>0</v>
      </c>
      <c r="BZ152" s="752">
        <v>100</v>
      </c>
      <c r="CA152" s="753">
        <f t="shared" si="92"/>
        <v>700</v>
      </c>
      <c r="CB152" s="754">
        <f t="shared" si="93"/>
        <v>0.1167250291812573</v>
      </c>
    </row>
    <row r="153" spans="1:80" ht="23.25">
      <c r="A153" s="484" t="s">
        <v>296</v>
      </c>
      <c r="B153" s="679" t="s">
        <v>448</v>
      </c>
      <c r="C153" s="680" t="s">
        <v>449</v>
      </c>
      <c r="D153" s="681" t="s">
        <v>425</v>
      </c>
      <c r="E153" s="706" t="s">
        <v>44</v>
      </c>
      <c r="F153" s="572">
        <v>1</v>
      </c>
      <c r="G153" s="572">
        <v>3125</v>
      </c>
      <c r="H153" s="683">
        <v>0.15</v>
      </c>
      <c r="I153" s="574">
        <f>F153*G153*H153*12</f>
        <v>5625</v>
      </c>
      <c r="J153" s="575">
        <v>1</v>
      </c>
      <c r="K153" s="575">
        <v>3125</v>
      </c>
      <c r="L153" s="684">
        <v>0.15</v>
      </c>
      <c r="M153" s="574">
        <f>J153*K153*L153*12</f>
        <v>5625</v>
      </c>
      <c r="N153" s="685">
        <f t="shared" si="131"/>
        <v>11250</v>
      </c>
      <c r="O153" s="536">
        <f t="shared" si="84"/>
        <v>4326.923076923077</v>
      </c>
      <c r="P153" s="536">
        <f t="shared" si="85"/>
        <v>4326.923076923077</v>
      </c>
      <c r="Q153" s="536">
        <f t="shared" si="86"/>
        <v>8653.846153846154</v>
      </c>
      <c r="R153" s="525">
        <f t="shared" si="132"/>
        <v>6325.71</v>
      </c>
      <c r="S153" s="525">
        <f t="shared" si="133"/>
        <v>-700.71</v>
      </c>
      <c r="T153" s="475">
        <f t="shared" si="134"/>
        <v>1.1245706666666666</v>
      </c>
      <c r="U153" s="476"/>
      <c r="V153" s="476"/>
      <c r="W153" s="476"/>
      <c r="X153" s="476"/>
      <c r="Y153" s="476"/>
      <c r="Z153" s="476"/>
      <c r="AA153" s="476"/>
      <c r="AB153" s="476"/>
      <c r="AC153" s="476"/>
      <c r="AD153" s="476"/>
      <c r="AE153" s="476"/>
      <c r="AF153" s="476"/>
      <c r="AG153" s="535">
        <f t="shared" si="135"/>
        <v>11863.29</v>
      </c>
      <c r="AH153" s="535">
        <f t="shared" si="94"/>
        <v>-613.2900000000009</v>
      </c>
      <c r="AI153" s="477">
        <f t="shared" si="87"/>
        <v>1.0545146666666667</v>
      </c>
      <c r="AJ153" s="461"/>
      <c r="AK153" s="511">
        <v>0</v>
      </c>
      <c r="AL153" s="511">
        <v>0</v>
      </c>
      <c r="AM153" s="511">
        <v>0</v>
      </c>
      <c r="AN153" s="511">
        <v>0</v>
      </c>
      <c r="AO153" s="512">
        <f t="shared" si="88"/>
        <v>0</v>
      </c>
      <c r="AP153" s="511">
        <v>0</v>
      </c>
      <c r="AQ153" s="511">
        <v>0</v>
      </c>
      <c r="AR153" s="511">
        <v>0</v>
      </c>
      <c r="AS153" s="512">
        <f t="shared" si="89"/>
        <v>0</v>
      </c>
      <c r="AT153" s="511">
        <v>2156.18</v>
      </c>
      <c r="AU153" s="511">
        <v>2812.5</v>
      </c>
      <c r="AV153" s="511">
        <v>0</v>
      </c>
      <c r="AW153" s="512">
        <f t="shared" si="90"/>
        <v>4968.68</v>
      </c>
      <c r="AX153" s="511">
        <v>0</v>
      </c>
      <c r="AY153" s="511">
        <v>0</v>
      </c>
      <c r="AZ153" s="511">
        <v>568.9</v>
      </c>
      <c r="BA153" s="512">
        <f t="shared" si="91"/>
        <v>568.9</v>
      </c>
      <c r="BB153" s="513"/>
      <c r="BC153" s="511">
        <v>0</v>
      </c>
      <c r="BD153" s="511">
        <v>0</v>
      </c>
      <c r="BE153" s="511">
        <v>5472</v>
      </c>
      <c r="BF153" s="511">
        <v>0</v>
      </c>
      <c r="BG153" s="512">
        <f t="shared" si="136"/>
        <v>5472</v>
      </c>
      <c r="BH153" s="511">
        <v>843.59</v>
      </c>
      <c r="BI153" s="511">
        <v>0</v>
      </c>
      <c r="BJ153" s="511">
        <v>0</v>
      </c>
      <c r="BK153" s="512">
        <f t="shared" si="137"/>
        <v>843.59</v>
      </c>
      <c r="BL153" s="511">
        <v>10.12</v>
      </c>
      <c r="BM153" s="511">
        <v>0</v>
      </c>
      <c r="BN153" s="511">
        <v>0</v>
      </c>
      <c r="BO153" s="512">
        <f t="shared" si="138"/>
        <v>10.12</v>
      </c>
      <c r="BP153" s="511">
        <v>0</v>
      </c>
      <c r="BQ153" s="511">
        <v>0</v>
      </c>
      <c r="BR153" s="511">
        <v>0</v>
      </c>
      <c r="BS153" s="512">
        <f t="shared" si="139"/>
        <v>0</v>
      </c>
      <c r="BT153" s="513"/>
      <c r="BU153" s="746">
        <f>0-613</f>
        <v>-613</v>
      </c>
      <c r="BV153" s="750">
        <v>2000</v>
      </c>
      <c r="BW153" s="750">
        <v>2000</v>
      </c>
      <c r="BX153" s="750">
        <v>2000</v>
      </c>
      <c r="BY153" s="750">
        <v>0</v>
      </c>
      <c r="BZ153" s="750">
        <v>0</v>
      </c>
      <c r="CA153" s="753">
        <f t="shared" si="92"/>
        <v>6000</v>
      </c>
      <c r="CB153" s="754">
        <f t="shared" si="93"/>
        <v>-9.787928221859707</v>
      </c>
    </row>
    <row r="154" spans="1:80" ht="23.25">
      <c r="A154" s="484" t="s">
        <v>328</v>
      </c>
      <c r="B154" s="679" t="s">
        <v>450</v>
      </c>
      <c r="C154" s="680" t="s">
        <v>451</v>
      </c>
      <c r="D154" s="681" t="s">
        <v>425</v>
      </c>
      <c r="E154" s="706" t="s">
        <v>44</v>
      </c>
      <c r="F154" s="572">
        <v>1</v>
      </c>
      <c r="G154" s="572">
        <v>750</v>
      </c>
      <c r="H154" s="683">
        <v>0.15</v>
      </c>
      <c r="I154" s="574">
        <f>(F154*G154*H154)*12</f>
        <v>1350</v>
      </c>
      <c r="J154" s="575">
        <v>1</v>
      </c>
      <c r="K154" s="575">
        <v>750</v>
      </c>
      <c r="L154" s="684">
        <v>0.15</v>
      </c>
      <c r="M154" s="574">
        <f>(J154*K154*L154)*12</f>
        <v>1350</v>
      </c>
      <c r="N154" s="685">
        <f t="shared" si="131"/>
        <v>2700</v>
      </c>
      <c r="O154" s="536">
        <f t="shared" si="84"/>
        <v>1038.4615384615383</v>
      </c>
      <c r="P154" s="536">
        <f t="shared" si="85"/>
        <v>1038.4615384615383</v>
      </c>
      <c r="Q154" s="536">
        <f t="shared" si="86"/>
        <v>2076.9230769230767</v>
      </c>
      <c r="R154" s="525">
        <f t="shared" si="132"/>
        <v>42</v>
      </c>
      <c r="S154" s="525">
        <f t="shared" si="133"/>
        <v>1308</v>
      </c>
      <c r="T154" s="475">
        <f t="shared" si="134"/>
        <v>0.03111111111111111</v>
      </c>
      <c r="U154" s="476"/>
      <c r="V154" s="476"/>
      <c r="W154" s="476"/>
      <c r="X154" s="476"/>
      <c r="Y154" s="476"/>
      <c r="Z154" s="476"/>
      <c r="AA154" s="476"/>
      <c r="AB154" s="476"/>
      <c r="AC154" s="476"/>
      <c r="AD154" s="476"/>
      <c r="AE154" s="476"/>
      <c r="AF154" s="476"/>
      <c r="AG154" s="535">
        <f t="shared" si="135"/>
        <v>487.16999999999996</v>
      </c>
      <c r="AH154" s="535">
        <f t="shared" si="94"/>
        <v>2212.83</v>
      </c>
      <c r="AI154" s="477">
        <f t="shared" si="87"/>
        <v>0.1804333333333333</v>
      </c>
      <c r="AJ154" s="461"/>
      <c r="AK154" s="511">
        <v>0</v>
      </c>
      <c r="AL154" s="511">
        <v>37</v>
      </c>
      <c r="AM154" s="511">
        <v>26.69</v>
      </c>
      <c r="AN154" s="511">
        <v>0</v>
      </c>
      <c r="AO154" s="512">
        <f t="shared" si="88"/>
        <v>63.69</v>
      </c>
      <c r="AP154" s="511">
        <v>100</v>
      </c>
      <c r="AQ154" s="511">
        <v>91.5</v>
      </c>
      <c r="AR154" s="511">
        <v>8</v>
      </c>
      <c r="AS154" s="512">
        <f t="shared" si="89"/>
        <v>199.5</v>
      </c>
      <c r="AT154" s="511">
        <v>19.2</v>
      </c>
      <c r="AU154" s="511">
        <v>0</v>
      </c>
      <c r="AV154" s="511">
        <v>0</v>
      </c>
      <c r="AW154" s="512">
        <f t="shared" si="90"/>
        <v>19.2</v>
      </c>
      <c r="AX154" s="511">
        <v>0</v>
      </c>
      <c r="AY154" s="511">
        <v>63.6</v>
      </c>
      <c r="AZ154" s="511">
        <v>99.18</v>
      </c>
      <c r="BA154" s="512">
        <f t="shared" si="91"/>
        <v>162.78</v>
      </c>
      <c r="BB154" s="513"/>
      <c r="BC154" s="511">
        <v>0</v>
      </c>
      <c r="BD154" s="511">
        <v>0</v>
      </c>
      <c r="BE154" s="511">
        <v>0</v>
      </c>
      <c r="BF154" s="511">
        <v>0</v>
      </c>
      <c r="BG154" s="512">
        <f t="shared" si="136"/>
        <v>0</v>
      </c>
      <c r="BH154" s="511">
        <v>0</v>
      </c>
      <c r="BI154" s="511">
        <v>0</v>
      </c>
      <c r="BJ154" s="511">
        <v>42</v>
      </c>
      <c r="BK154" s="512">
        <f t="shared" si="137"/>
        <v>42</v>
      </c>
      <c r="BL154" s="511">
        <v>0</v>
      </c>
      <c r="BM154" s="511">
        <v>0</v>
      </c>
      <c r="BN154" s="511">
        <v>0</v>
      </c>
      <c r="BO154" s="512">
        <f t="shared" si="138"/>
        <v>0</v>
      </c>
      <c r="BP154" s="511">
        <v>0</v>
      </c>
      <c r="BQ154" s="511">
        <v>0</v>
      </c>
      <c r="BR154" s="511">
        <v>0</v>
      </c>
      <c r="BS154" s="512">
        <f t="shared" si="139"/>
        <v>0</v>
      </c>
      <c r="BT154" s="513"/>
      <c r="BU154" s="746">
        <v>2213</v>
      </c>
      <c r="BV154" s="750">
        <v>100</v>
      </c>
      <c r="BW154" s="750">
        <v>100</v>
      </c>
      <c r="BX154" s="750">
        <v>100</v>
      </c>
      <c r="BY154" s="750">
        <v>100</v>
      </c>
      <c r="BZ154" s="750">
        <v>100</v>
      </c>
      <c r="CA154" s="753">
        <f t="shared" si="92"/>
        <v>500</v>
      </c>
      <c r="CB154" s="754">
        <f t="shared" si="93"/>
        <v>0.22593764121102575</v>
      </c>
    </row>
    <row r="155" spans="1:80" s="460" customFormat="1" ht="23.25">
      <c r="A155" s="484" t="s">
        <v>329</v>
      </c>
      <c r="B155" s="679" t="s">
        <v>452</v>
      </c>
      <c r="C155" s="680" t="s">
        <v>453</v>
      </c>
      <c r="D155" s="681" t="s">
        <v>425</v>
      </c>
      <c r="E155" s="706" t="s">
        <v>44</v>
      </c>
      <c r="F155" s="572">
        <v>1</v>
      </c>
      <c r="G155" s="572">
        <v>518</v>
      </c>
      <c r="H155" s="683">
        <v>0.3</v>
      </c>
      <c r="I155" s="574">
        <f>(F155*G155*H155)*12</f>
        <v>1864.8000000000002</v>
      </c>
      <c r="J155" s="575">
        <v>1</v>
      </c>
      <c r="K155" s="575">
        <v>518</v>
      </c>
      <c r="L155" s="684">
        <v>0.3</v>
      </c>
      <c r="M155" s="574">
        <f>(J155*K155*L155)*12</f>
        <v>1864.8000000000002</v>
      </c>
      <c r="N155" s="685">
        <f t="shared" si="131"/>
        <v>3729.6000000000004</v>
      </c>
      <c r="O155" s="536">
        <f t="shared" si="84"/>
        <v>1434.4615384615386</v>
      </c>
      <c r="P155" s="536">
        <f t="shared" si="85"/>
        <v>1434.4615384615386</v>
      </c>
      <c r="Q155" s="536">
        <f t="shared" si="86"/>
        <v>2868.923076923077</v>
      </c>
      <c r="R155" s="525">
        <f t="shared" si="132"/>
        <v>1525.59</v>
      </c>
      <c r="S155" s="525">
        <f t="shared" si="133"/>
        <v>339.21000000000026</v>
      </c>
      <c r="T155" s="475">
        <f t="shared" si="134"/>
        <v>0.8180984555984555</v>
      </c>
      <c r="U155" s="476"/>
      <c r="V155" s="476"/>
      <c r="W155" s="476"/>
      <c r="X155" s="476"/>
      <c r="Y155" s="476"/>
      <c r="Z155" s="476"/>
      <c r="AA155" s="476"/>
      <c r="AB155" s="476"/>
      <c r="AC155" s="476"/>
      <c r="AD155" s="476"/>
      <c r="AE155" s="476"/>
      <c r="AF155" s="476"/>
      <c r="AG155" s="535">
        <f t="shared" si="135"/>
        <v>5833.99</v>
      </c>
      <c r="AH155" s="535">
        <f t="shared" si="94"/>
        <v>-2104.3899999999994</v>
      </c>
      <c r="AI155" s="477">
        <f t="shared" si="87"/>
        <v>1.5642401329901328</v>
      </c>
      <c r="AJ155" s="461"/>
      <c r="AK155" s="511">
        <v>0</v>
      </c>
      <c r="AL155" s="511">
        <v>261.01</v>
      </c>
      <c r="AM155" s="511">
        <v>0</v>
      </c>
      <c r="AN155" s="511">
        <v>0</v>
      </c>
      <c r="AO155" s="512">
        <f t="shared" si="88"/>
        <v>261.01</v>
      </c>
      <c r="AP155" s="511">
        <v>1072.91</v>
      </c>
      <c r="AQ155" s="511">
        <v>46.61</v>
      </c>
      <c r="AR155" s="511">
        <v>959.06</v>
      </c>
      <c r="AS155" s="512">
        <f t="shared" si="89"/>
        <v>2078.58</v>
      </c>
      <c r="AT155" s="511">
        <v>32.4</v>
      </c>
      <c r="AU155" s="511">
        <v>814.31</v>
      </c>
      <c r="AV155" s="511">
        <v>0</v>
      </c>
      <c r="AW155" s="512">
        <f t="shared" si="90"/>
        <v>846.7099999999999</v>
      </c>
      <c r="AX155" s="511">
        <v>742.14</v>
      </c>
      <c r="AY155" s="511">
        <v>209.96</v>
      </c>
      <c r="AZ155" s="511">
        <v>170</v>
      </c>
      <c r="BA155" s="512">
        <f t="shared" si="91"/>
        <v>1122.1</v>
      </c>
      <c r="BB155" s="513"/>
      <c r="BC155" s="511">
        <v>170</v>
      </c>
      <c r="BD155" s="511">
        <v>89.99</v>
      </c>
      <c r="BE155" s="511">
        <v>420.57</v>
      </c>
      <c r="BF155" s="511">
        <v>0</v>
      </c>
      <c r="BG155" s="512">
        <f t="shared" si="136"/>
        <v>680.56</v>
      </c>
      <c r="BH155" s="511">
        <v>177.49</v>
      </c>
      <c r="BI155" s="511">
        <v>219.06</v>
      </c>
      <c r="BJ155" s="511">
        <v>181.22</v>
      </c>
      <c r="BK155" s="512">
        <f t="shared" si="137"/>
        <v>577.77</v>
      </c>
      <c r="BL155" s="511">
        <v>0</v>
      </c>
      <c r="BM155" s="511">
        <v>177.26</v>
      </c>
      <c r="BN155" s="511">
        <v>90</v>
      </c>
      <c r="BO155" s="512">
        <f t="shared" si="138"/>
        <v>267.26</v>
      </c>
      <c r="BP155" s="511">
        <v>0</v>
      </c>
      <c r="BQ155" s="511">
        <v>0</v>
      </c>
      <c r="BR155" s="511">
        <v>0</v>
      </c>
      <c r="BS155" s="512">
        <f t="shared" si="139"/>
        <v>0</v>
      </c>
      <c r="BT155" s="513"/>
      <c r="BU155" s="748">
        <f>0-2104</f>
        <v>-2104</v>
      </c>
      <c r="BV155" s="752">
        <v>500</v>
      </c>
      <c r="BW155" s="752">
        <v>500</v>
      </c>
      <c r="BX155" s="752">
        <v>500</v>
      </c>
      <c r="BY155" s="752">
        <v>500</v>
      </c>
      <c r="BZ155" s="752">
        <v>500</v>
      </c>
      <c r="CA155" s="753">
        <f t="shared" si="92"/>
        <v>2500</v>
      </c>
      <c r="CB155" s="754">
        <f t="shared" si="93"/>
        <v>-1.188212927756654</v>
      </c>
    </row>
    <row r="156" spans="1:80" ht="23.25">
      <c r="A156" s="484" t="s">
        <v>297</v>
      </c>
      <c r="B156" s="679" t="s">
        <v>454</v>
      </c>
      <c r="C156" s="680" t="s">
        <v>455</v>
      </c>
      <c r="D156" s="681" t="s">
        <v>425</v>
      </c>
      <c r="E156" s="706" t="s">
        <v>44</v>
      </c>
      <c r="F156" s="572">
        <v>1</v>
      </c>
      <c r="G156" s="572">
        <v>6093</v>
      </c>
      <c r="H156" s="683">
        <v>0.14</v>
      </c>
      <c r="I156" s="574">
        <f>(F156*G156*H156)*12</f>
        <v>10236.240000000002</v>
      </c>
      <c r="J156" s="575">
        <v>1</v>
      </c>
      <c r="K156" s="575">
        <v>6093</v>
      </c>
      <c r="L156" s="684">
        <v>0.14</v>
      </c>
      <c r="M156" s="574">
        <f>(J156*K156*L156)*12</f>
        <v>10236.240000000002</v>
      </c>
      <c r="N156" s="685">
        <f t="shared" si="131"/>
        <v>20472.480000000003</v>
      </c>
      <c r="O156" s="536">
        <f t="shared" si="84"/>
        <v>7874.030769230771</v>
      </c>
      <c r="P156" s="536">
        <f t="shared" si="85"/>
        <v>7874.030769230771</v>
      </c>
      <c r="Q156" s="536">
        <f t="shared" si="86"/>
        <v>15748.061538461541</v>
      </c>
      <c r="R156" s="525">
        <f t="shared" si="132"/>
        <v>3353.5099999999998</v>
      </c>
      <c r="S156" s="525">
        <f t="shared" si="133"/>
        <v>6882.730000000001</v>
      </c>
      <c r="T156" s="475">
        <f t="shared" si="134"/>
        <v>0.3276115057872812</v>
      </c>
      <c r="U156" s="476"/>
      <c r="V156" s="476"/>
      <c r="W156" s="476"/>
      <c r="X156" s="476"/>
      <c r="Y156" s="476"/>
      <c r="Z156" s="476"/>
      <c r="AA156" s="476"/>
      <c r="AB156" s="476"/>
      <c r="AC156" s="476"/>
      <c r="AD156" s="476"/>
      <c r="AE156" s="476"/>
      <c r="AF156" s="476"/>
      <c r="AG156" s="535">
        <f t="shared" si="135"/>
        <v>12784.309999999998</v>
      </c>
      <c r="AH156" s="535">
        <f t="shared" si="94"/>
        <v>7688.1700000000055</v>
      </c>
      <c r="AI156" s="477">
        <f t="shared" si="87"/>
        <v>0.6244631817933145</v>
      </c>
      <c r="AJ156" s="461"/>
      <c r="AK156" s="511">
        <v>1060</v>
      </c>
      <c r="AL156" s="511">
        <v>204</v>
      </c>
      <c r="AM156" s="511">
        <v>631.18</v>
      </c>
      <c r="AN156" s="511">
        <v>0</v>
      </c>
      <c r="AO156" s="512">
        <f t="shared" si="88"/>
        <v>1895.1799999999998</v>
      </c>
      <c r="AP156" s="511">
        <v>494.39</v>
      </c>
      <c r="AQ156" s="511">
        <v>204</v>
      </c>
      <c r="AR156" s="511">
        <v>496.8</v>
      </c>
      <c r="AS156" s="512">
        <f t="shared" si="89"/>
        <v>1195.19</v>
      </c>
      <c r="AT156" s="511">
        <v>911.6</v>
      </c>
      <c r="AU156" s="511">
        <v>491.99</v>
      </c>
      <c r="AV156" s="511">
        <v>726.03</v>
      </c>
      <c r="AW156" s="512">
        <f t="shared" si="90"/>
        <v>2129.62</v>
      </c>
      <c r="AX156" s="511">
        <v>2700.62</v>
      </c>
      <c r="AY156" s="511">
        <v>407.71</v>
      </c>
      <c r="AZ156" s="511">
        <v>1102.48</v>
      </c>
      <c r="BA156" s="512">
        <f t="shared" si="91"/>
        <v>4210.8099999999995</v>
      </c>
      <c r="BB156" s="513"/>
      <c r="BC156" s="511">
        <v>0</v>
      </c>
      <c r="BD156" s="511">
        <v>854.65</v>
      </c>
      <c r="BE156" s="511">
        <v>307.01</v>
      </c>
      <c r="BF156" s="511">
        <v>0</v>
      </c>
      <c r="BG156" s="512">
        <f t="shared" si="136"/>
        <v>1161.6599999999999</v>
      </c>
      <c r="BH156" s="511">
        <v>182.87</v>
      </c>
      <c r="BI156" s="511">
        <v>786.73</v>
      </c>
      <c r="BJ156" s="511">
        <v>516.88</v>
      </c>
      <c r="BK156" s="512">
        <f t="shared" si="137"/>
        <v>1486.48</v>
      </c>
      <c r="BL156" s="511">
        <v>470</v>
      </c>
      <c r="BM156" s="511">
        <v>190.38</v>
      </c>
      <c r="BN156" s="511">
        <v>0</v>
      </c>
      <c r="BO156" s="512">
        <f t="shared" si="138"/>
        <v>660.38</v>
      </c>
      <c r="BP156" s="511">
        <v>44.99</v>
      </c>
      <c r="BQ156" s="511">
        <v>0</v>
      </c>
      <c r="BR156" s="511">
        <v>0</v>
      </c>
      <c r="BS156" s="512">
        <f t="shared" si="139"/>
        <v>44.99</v>
      </c>
      <c r="BT156" s="513"/>
      <c r="BU156" s="746">
        <v>7688</v>
      </c>
      <c r="BV156" s="750">
        <v>800</v>
      </c>
      <c r="BW156" s="750">
        <v>800</v>
      </c>
      <c r="BX156" s="750">
        <v>800</v>
      </c>
      <c r="BY156" s="750">
        <v>800</v>
      </c>
      <c r="BZ156" s="750">
        <v>800</v>
      </c>
      <c r="CA156" s="753">
        <f t="shared" si="92"/>
        <v>4000</v>
      </c>
      <c r="CB156" s="754">
        <f t="shared" si="93"/>
        <v>0.5202913631633714</v>
      </c>
    </row>
    <row r="157" spans="1:80" ht="23.25">
      <c r="A157" s="484" t="s">
        <v>330</v>
      </c>
      <c r="B157" s="679" t="s">
        <v>456</v>
      </c>
      <c r="C157" s="680" t="s">
        <v>457</v>
      </c>
      <c r="D157" s="681" t="s">
        <v>425</v>
      </c>
      <c r="E157" s="706" t="s">
        <v>44</v>
      </c>
      <c r="F157" s="572">
        <v>1</v>
      </c>
      <c r="G157" s="572">
        <v>750</v>
      </c>
      <c r="H157" s="683">
        <v>0.3</v>
      </c>
      <c r="I157" s="574">
        <f>(F157*G157*H157)*12</f>
        <v>2700</v>
      </c>
      <c r="J157" s="575">
        <v>1</v>
      </c>
      <c r="K157" s="575">
        <v>750</v>
      </c>
      <c r="L157" s="684">
        <v>0.3</v>
      </c>
      <c r="M157" s="574">
        <f>(J157*K157*L157)*12</f>
        <v>2700</v>
      </c>
      <c r="N157" s="685">
        <f t="shared" si="131"/>
        <v>5400</v>
      </c>
      <c r="O157" s="536">
        <f>I157/$C$4</f>
        <v>2076.9230769230767</v>
      </c>
      <c r="P157" s="536">
        <f>M157/$C$4</f>
        <v>2076.9230769230767</v>
      </c>
      <c r="Q157" s="536">
        <f>O157+P157</f>
        <v>4153.846153846153</v>
      </c>
      <c r="R157" s="525">
        <f t="shared" si="132"/>
        <v>2223.86</v>
      </c>
      <c r="S157" s="525">
        <f t="shared" si="133"/>
        <v>476.1399999999999</v>
      </c>
      <c r="T157" s="475">
        <f t="shared" si="134"/>
        <v>0.8236518518518519</v>
      </c>
      <c r="U157" s="476"/>
      <c r="V157" s="476"/>
      <c r="W157" s="476"/>
      <c r="X157" s="476"/>
      <c r="Y157" s="476"/>
      <c r="Z157" s="476"/>
      <c r="AA157" s="476"/>
      <c r="AB157" s="476"/>
      <c r="AC157" s="476"/>
      <c r="AD157" s="476"/>
      <c r="AE157" s="476"/>
      <c r="AF157" s="476"/>
      <c r="AG157" s="535">
        <f t="shared" si="135"/>
        <v>4817.010000000001</v>
      </c>
      <c r="AH157" s="535">
        <f>N157-AG157</f>
        <v>582.9899999999989</v>
      </c>
      <c r="AI157" s="477">
        <f aca="true" t="shared" si="140" ref="AI157:AI164">AG157/N157</f>
        <v>0.892038888888889</v>
      </c>
      <c r="AJ157" s="461"/>
      <c r="AK157" s="511">
        <v>0</v>
      </c>
      <c r="AL157" s="511">
        <v>124.99</v>
      </c>
      <c r="AM157" s="511">
        <v>50</v>
      </c>
      <c r="AN157" s="511">
        <v>0</v>
      </c>
      <c r="AO157" s="512">
        <f>SUM(AK157:AN157)</f>
        <v>174.99</v>
      </c>
      <c r="AP157" s="511">
        <v>100</v>
      </c>
      <c r="AQ157" s="511">
        <v>500</v>
      </c>
      <c r="AR157" s="511">
        <v>70</v>
      </c>
      <c r="AS157" s="512">
        <f>SUM(AP157:AR157)</f>
        <v>670</v>
      </c>
      <c r="AT157" s="511">
        <v>500</v>
      </c>
      <c r="AU157" s="511">
        <v>202.51</v>
      </c>
      <c r="AV157" s="511">
        <v>128</v>
      </c>
      <c r="AW157" s="512">
        <f>SUM(AT157:AV157)</f>
        <v>830.51</v>
      </c>
      <c r="AX157" s="511">
        <v>125</v>
      </c>
      <c r="AY157" s="511">
        <v>582.65</v>
      </c>
      <c r="AZ157" s="511">
        <v>210</v>
      </c>
      <c r="BA157" s="512">
        <f>SUM(AX157:AZ157)</f>
        <v>917.65</v>
      </c>
      <c r="BB157" s="513"/>
      <c r="BC157" s="511">
        <v>132.02</v>
      </c>
      <c r="BD157" s="511">
        <v>0</v>
      </c>
      <c r="BE157" s="511">
        <v>125</v>
      </c>
      <c r="BF157" s="511">
        <v>0</v>
      </c>
      <c r="BG157" s="512">
        <f t="shared" si="136"/>
        <v>257.02</v>
      </c>
      <c r="BH157" s="511">
        <v>0</v>
      </c>
      <c r="BI157" s="511">
        <v>300</v>
      </c>
      <c r="BJ157" s="511">
        <v>400.01</v>
      </c>
      <c r="BK157" s="512">
        <f t="shared" si="137"/>
        <v>700.01</v>
      </c>
      <c r="BL157" s="511">
        <v>248.61</v>
      </c>
      <c r="BM157" s="511">
        <v>200</v>
      </c>
      <c r="BN157" s="511">
        <v>761.08</v>
      </c>
      <c r="BO157" s="512">
        <f t="shared" si="138"/>
        <v>1209.69</v>
      </c>
      <c r="BP157" s="511">
        <v>57.14</v>
      </c>
      <c r="BQ157" s="511">
        <v>0</v>
      </c>
      <c r="BR157" s="511">
        <v>0</v>
      </c>
      <c r="BS157" s="512">
        <f t="shared" si="139"/>
        <v>57.14</v>
      </c>
      <c r="BT157" s="513"/>
      <c r="BU157" s="746">
        <v>583</v>
      </c>
      <c r="BV157" s="750">
        <v>200</v>
      </c>
      <c r="BW157" s="750">
        <v>0</v>
      </c>
      <c r="BX157" s="750">
        <v>0</v>
      </c>
      <c r="BY157" s="750">
        <v>300</v>
      </c>
      <c r="BZ157" s="750">
        <v>0</v>
      </c>
      <c r="CA157" s="753">
        <f aca="true" t="shared" si="141" ref="CA157:CA164">BV157+BW157+BX157+BY157+BZ157</f>
        <v>500</v>
      </c>
      <c r="CB157" s="754">
        <f aca="true" t="shared" si="142" ref="CB157:CB164">CA157/BU157</f>
        <v>0.8576329331046312</v>
      </c>
    </row>
    <row r="158" spans="1:80" ht="15.75">
      <c r="A158" s="485"/>
      <c r="B158" s="679"/>
      <c r="C158" s="680"/>
      <c r="D158" s="681"/>
      <c r="E158" s="467"/>
      <c r="F158" s="572"/>
      <c r="G158" s="572"/>
      <c r="H158" s="683"/>
      <c r="I158" s="574"/>
      <c r="J158" s="575"/>
      <c r="K158" s="575"/>
      <c r="L158" s="684"/>
      <c r="M158" s="574"/>
      <c r="N158" s="685"/>
      <c r="O158" s="685"/>
      <c r="P158" s="685"/>
      <c r="Q158" s="685"/>
      <c r="R158" s="685"/>
      <c r="S158" s="685"/>
      <c r="T158" s="685"/>
      <c r="U158" s="685"/>
      <c r="V158" s="685"/>
      <c r="W158" s="685"/>
      <c r="X158" s="685"/>
      <c r="Y158" s="685"/>
      <c r="Z158" s="685"/>
      <c r="AA158" s="685"/>
      <c r="AB158" s="685"/>
      <c r="AC158" s="685"/>
      <c r="AD158" s="685"/>
      <c r="AE158" s="685"/>
      <c r="AF158" s="685"/>
      <c r="AG158" s="685"/>
      <c r="AH158" s="685"/>
      <c r="AI158" s="685"/>
      <c r="AJ158" s="685"/>
      <c r="AK158" s="685"/>
      <c r="AL158" s="685"/>
      <c r="AM158" s="685"/>
      <c r="AN158" s="685"/>
      <c r="AO158" s="685"/>
      <c r="AP158" s="685"/>
      <c r="AQ158" s="685"/>
      <c r="AR158" s="685"/>
      <c r="AS158" s="685"/>
      <c r="AT158" s="685"/>
      <c r="AU158" s="685"/>
      <c r="AV158" s="685"/>
      <c r="AW158" s="685"/>
      <c r="AX158" s="685"/>
      <c r="AY158" s="685"/>
      <c r="AZ158" s="685"/>
      <c r="BA158" s="685"/>
      <c r="BB158" s="513"/>
      <c r="BC158" s="685"/>
      <c r="BD158" s="685"/>
      <c r="BE158" s="685"/>
      <c r="BF158" s="685"/>
      <c r="BG158" s="685"/>
      <c r="BH158" s="685"/>
      <c r="BI158" s="685"/>
      <c r="BJ158" s="685"/>
      <c r="BK158" s="685"/>
      <c r="BL158" s="685"/>
      <c r="BM158" s="685"/>
      <c r="BN158" s="685"/>
      <c r="BO158" s="685"/>
      <c r="BP158" s="685"/>
      <c r="BQ158" s="685"/>
      <c r="BR158" s="685"/>
      <c r="BS158" s="685"/>
      <c r="BT158" s="513"/>
      <c r="BU158" s="746"/>
      <c r="BV158" s="735">
        <v>0</v>
      </c>
      <c r="BW158" s="735">
        <v>0</v>
      </c>
      <c r="BX158" s="735">
        <v>0</v>
      </c>
      <c r="BY158" s="735">
        <v>0</v>
      </c>
      <c r="BZ158" s="735">
        <v>0</v>
      </c>
      <c r="CA158" s="741">
        <v>0</v>
      </c>
      <c r="CB158" s="742">
        <v>0</v>
      </c>
    </row>
    <row r="159" spans="1:80" ht="15.75">
      <c r="A159" s="485"/>
      <c r="B159" s="478" t="s">
        <v>458</v>
      </c>
      <c r="C159" s="700" t="s">
        <v>458</v>
      </c>
      <c r="D159" s="701"/>
      <c r="E159" s="701"/>
      <c r="F159" s="478"/>
      <c r="G159" s="806"/>
      <c r="H159" s="806"/>
      <c r="I159" s="702">
        <f>SUM(I142:I158)</f>
        <v>59947.84</v>
      </c>
      <c r="J159" s="702"/>
      <c r="K159" s="702"/>
      <c r="L159" s="702"/>
      <c r="M159" s="702">
        <f>SUM(M142:M158)</f>
        <v>58387.84</v>
      </c>
      <c r="N159" s="702">
        <f>SUM(N142:N158)</f>
        <v>118335.68</v>
      </c>
      <c r="O159" s="702">
        <f aca="true" t="shared" si="143" ref="O159:BA159">SUM(O142:O158)</f>
        <v>46113.723076923074</v>
      </c>
      <c r="P159" s="702">
        <f t="shared" si="143"/>
        <v>44913.723076923074</v>
      </c>
      <c r="Q159" s="702">
        <f t="shared" si="143"/>
        <v>91027.44615384615</v>
      </c>
      <c r="R159" s="702">
        <f t="shared" si="143"/>
        <v>39312.43</v>
      </c>
      <c r="S159" s="702">
        <f t="shared" si="143"/>
        <v>19075.41</v>
      </c>
      <c r="T159" s="537">
        <f>R159/I159</f>
        <v>0.6557772556942836</v>
      </c>
      <c r="U159" s="702">
        <f t="shared" si="143"/>
        <v>0</v>
      </c>
      <c r="V159" s="702">
        <f t="shared" si="143"/>
        <v>0</v>
      </c>
      <c r="W159" s="702">
        <f t="shared" si="143"/>
        <v>0</v>
      </c>
      <c r="X159" s="702">
        <f t="shared" si="143"/>
        <v>0</v>
      </c>
      <c r="Y159" s="702">
        <f t="shared" si="143"/>
        <v>0</v>
      </c>
      <c r="Z159" s="702">
        <f t="shared" si="143"/>
        <v>0</v>
      </c>
      <c r="AA159" s="702">
        <f t="shared" si="143"/>
        <v>0</v>
      </c>
      <c r="AB159" s="702">
        <f t="shared" si="143"/>
        <v>0</v>
      </c>
      <c r="AC159" s="702">
        <f t="shared" si="143"/>
        <v>0</v>
      </c>
      <c r="AD159" s="702">
        <f t="shared" si="143"/>
        <v>0</v>
      </c>
      <c r="AE159" s="702">
        <f t="shared" si="143"/>
        <v>0</v>
      </c>
      <c r="AF159" s="702">
        <f t="shared" si="143"/>
        <v>0</v>
      </c>
      <c r="AG159" s="702">
        <f t="shared" si="143"/>
        <v>92197.68000000001</v>
      </c>
      <c r="AH159" s="702">
        <f t="shared" si="143"/>
        <v>26138</v>
      </c>
      <c r="AI159" s="537">
        <f t="shared" si="140"/>
        <v>0.7791198732284296</v>
      </c>
      <c r="AJ159" s="702"/>
      <c r="AK159" s="702">
        <f>SUM(AK142:AK158)</f>
        <v>1060</v>
      </c>
      <c r="AL159" s="702">
        <f t="shared" si="143"/>
        <v>3412.5899999999992</v>
      </c>
      <c r="AM159" s="702">
        <f t="shared" si="143"/>
        <v>3491.12</v>
      </c>
      <c r="AN159" s="702">
        <f t="shared" si="143"/>
        <v>-1446.8</v>
      </c>
      <c r="AO159" s="702">
        <f t="shared" si="143"/>
        <v>6516.91</v>
      </c>
      <c r="AP159" s="702">
        <f t="shared" si="143"/>
        <v>6308.450000000001</v>
      </c>
      <c r="AQ159" s="702">
        <f t="shared" si="143"/>
        <v>2059.2599999999998</v>
      </c>
      <c r="AR159" s="702">
        <f t="shared" si="143"/>
        <v>4150.960000000001</v>
      </c>
      <c r="AS159" s="702">
        <f t="shared" si="143"/>
        <v>12518.67</v>
      </c>
      <c r="AT159" s="702">
        <f t="shared" si="143"/>
        <v>5899.99</v>
      </c>
      <c r="AU159" s="702">
        <f t="shared" si="143"/>
        <v>6610.52</v>
      </c>
      <c r="AV159" s="702">
        <f t="shared" si="143"/>
        <v>6947.280000000001</v>
      </c>
      <c r="AW159" s="702">
        <f t="shared" si="143"/>
        <v>19457.789999999997</v>
      </c>
      <c r="AX159" s="702">
        <f t="shared" si="143"/>
        <v>7366.120000000001</v>
      </c>
      <c r="AY159" s="702">
        <f t="shared" si="143"/>
        <v>2851.31</v>
      </c>
      <c r="AZ159" s="702">
        <f t="shared" si="143"/>
        <v>4174.45</v>
      </c>
      <c r="BA159" s="702">
        <f t="shared" si="143"/>
        <v>14391.88</v>
      </c>
      <c r="BB159" s="513"/>
      <c r="BC159" s="702">
        <f>SUM(BC142:BC158)</f>
        <v>2641.27</v>
      </c>
      <c r="BD159" s="702">
        <f aca="true" t="shared" si="144" ref="BD159:BS159">SUM(BD142:BD158)</f>
        <v>4397.179999999999</v>
      </c>
      <c r="BE159" s="702">
        <f t="shared" si="144"/>
        <v>8864.17</v>
      </c>
      <c r="BF159" s="702">
        <f t="shared" si="144"/>
        <v>-1355.12</v>
      </c>
      <c r="BG159" s="702">
        <f t="shared" si="144"/>
        <v>14547.500000000002</v>
      </c>
      <c r="BH159" s="702">
        <f t="shared" si="144"/>
        <v>6371.94</v>
      </c>
      <c r="BI159" s="702">
        <f t="shared" si="144"/>
        <v>3515.93</v>
      </c>
      <c r="BJ159" s="702">
        <f t="shared" si="144"/>
        <v>3233.25</v>
      </c>
      <c r="BK159" s="702">
        <f t="shared" si="144"/>
        <v>13121.12</v>
      </c>
      <c r="BL159" s="702">
        <f t="shared" si="144"/>
        <v>1873.3199999999997</v>
      </c>
      <c r="BM159" s="702">
        <f t="shared" si="144"/>
        <v>3895.5</v>
      </c>
      <c r="BN159" s="702">
        <f t="shared" si="144"/>
        <v>3839.7799999999997</v>
      </c>
      <c r="BO159" s="702">
        <f t="shared" si="144"/>
        <v>9608.6</v>
      </c>
      <c r="BP159" s="702">
        <f t="shared" si="144"/>
        <v>2035.2100000000003</v>
      </c>
      <c r="BQ159" s="702">
        <f t="shared" si="144"/>
        <v>0</v>
      </c>
      <c r="BR159" s="702">
        <f t="shared" si="144"/>
        <v>0</v>
      </c>
      <c r="BS159" s="702">
        <f t="shared" si="144"/>
        <v>2035.2100000000003</v>
      </c>
      <c r="BT159" s="513"/>
      <c r="BU159" s="783">
        <f aca="true" t="shared" si="145" ref="BU159:BZ159">SUM(BU142:BU158)</f>
        <v>26138</v>
      </c>
      <c r="BV159" s="702">
        <f t="shared" si="145"/>
        <v>6950</v>
      </c>
      <c r="BW159" s="702">
        <f t="shared" si="145"/>
        <v>5950</v>
      </c>
      <c r="BX159" s="702">
        <f t="shared" si="145"/>
        <v>7150</v>
      </c>
      <c r="BY159" s="702">
        <f t="shared" si="145"/>
        <v>3850</v>
      </c>
      <c r="BZ159" s="702">
        <f t="shared" si="145"/>
        <v>5650</v>
      </c>
      <c r="CA159" s="743">
        <f t="shared" si="141"/>
        <v>29550</v>
      </c>
      <c r="CB159" s="744">
        <f t="shared" si="142"/>
        <v>1.1305379141479839</v>
      </c>
    </row>
    <row r="160" spans="1:80" ht="15.75">
      <c r="A160" s="485"/>
      <c r="B160" s="481" t="s">
        <v>459</v>
      </c>
      <c r="C160" s="709" t="s">
        <v>459</v>
      </c>
      <c r="D160" s="689"/>
      <c r="E160" s="690"/>
      <c r="F160" s="479"/>
      <c r="G160" s="479"/>
      <c r="H160" s="479"/>
      <c r="I160" s="691">
        <f>I159+I140+I136+I132+I128+I125+I121</f>
        <v>311283.08</v>
      </c>
      <c r="J160" s="691"/>
      <c r="K160" s="691"/>
      <c r="L160" s="691"/>
      <c r="M160" s="691">
        <f>M159+M140+M136+M132+M128+M125+M121</f>
        <v>337910.14540000004</v>
      </c>
      <c r="N160" s="691">
        <f>N159+N140+N136+N132+N128+N125+N121</f>
        <v>649193.2254</v>
      </c>
      <c r="O160" s="691">
        <f aca="true" t="shared" si="146" ref="O160:BA160">O159+O140+O136+O132+O128+O125+O121</f>
        <v>240002.36923076923</v>
      </c>
      <c r="P160" s="691">
        <f t="shared" si="146"/>
        <v>262330.8810769231</v>
      </c>
      <c r="Q160" s="691">
        <f t="shared" si="146"/>
        <v>499933.25030769233</v>
      </c>
      <c r="R160" s="691">
        <f t="shared" si="146"/>
        <v>271114.91000000003</v>
      </c>
      <c r="S160" s="691">
        <f t="shared" si="146"/>
        <v>66795.2354</v>
      </c>
      <c r="T160" s="538">
        <f>R160/I160</f>
        <v>0.8709593531392712</v>
      </c>
      <c r="U160" s="691" t="e">
        <f t="shared" si="146"/>
        <v>#DIV/0!</v>
      </c>
      <c r="V160" s="691" t="e">
        <f t="shared" si="146"/>
        <v>#DIV/0!</v>
      </c>
      <c r="W160" s="691" t="e">
        <f t="shared" si="146"/>
        <v>#DIV/0!</v>
      </c>
      <c r="X160" s="691" t="e">
        <f t="shared" si="146"/>
        <v>#DIV/0!</v>
      </c>
      <c r="Y160" s="691" t="e">
        <f t="shared" si="146"/>
        <v>#DIV/0!</v>
      </c>
      <c r="Z160" s="691" t="e">
        <f t="shared" si="146"/>
        <v>#DIV/0!</v>
      </c>
      <c r="AA160" s="691" t="e">
        <f t="shared" si="146"/>
        <v>#DIV/0!</v>
      </c>
      <c r="AB160" s="691" t="e">
        <f t="shared" si="146"/>
        <v>#DIV/0!</v>
      </c>
      <c r="AC160" s="691" t="e">
        <f t="shared" si="146"/>
        <v>#DIV/0!</v>
      </c>
      <c r="AD160" s="691" t="e">
        <f t="shared" si="146"/>
        <v>#DIV/0!</v>
      </c>
      <c r="AE160" s="691" t="e">
        <f t="shared" si="146"/>
        <v>#DIV/0!</v>
      </c>
      <c r="AF160" s="691" t="e">
        <f t="shared" si="146"/>
        <v>#DIV/0!</v>
      </c>
      <c r="AG160" s="691">
        <f t="shared" si="146"/>
        <v>494533.54000000004</v>
      </c>
      <c r="AH160" s="691">
        <f t="shared" si="146"/>
        <v>154659.68540000002</v>
      </c>
      <c r="AI160" s="538">
        <f t="shared" si="140"/>
        <v>0.7617663288080271</v>
      </c>
      <c r="AJ160" s="691"/>
      <c r="AK160" s="691">
        <f t="shared" si="146"/>
        <v>2089.77</v>
      </c>
      <c r="AL160" s="691">
        <f t="shared" si="146"/>
        <v>5648.339999999999</v>
      </c>
      <c r="AM160" s="691">
        <f t="shared" si="146"/>
        <v>12335.399999999998</v>
      </c>
      <c r="AN160" s="691">
        <f t="shared" si="146"/>
        <v>-1446.8</v>
      </c>
      <c r="AO160" s="691">
        <f t="shared" si="146"/>
        <v>18626.710000000003</v>
      </c>
      <c r="AP160" s="691">
        <f t="shared" si="146"/>
        <v>12651.55</v>
      </c>
      <c r="AQ160" s="691">
        <f t="shared" si="146"/>
        <v>11347.61</v>
      </c>
      <c r="AR160" s="691">
        <f t="shared" si="146"/>
        <v>11710.95</v>
      </c>
      <c r="AS160" s="691">
        <f t="shared" si="146"/>
        <v>35710.11</v>
      </c>
      <c r="AT160" s="691">
        <f t="shared" si="146"/>
        <v>13463.900000000001</v>
      </c>
      <c r="AU160" s="691">
        <f t="shared" si="146"/>
        <v>46750.57000000001</v>
      </c>
      <c r="AV160" s="691">
        <f t="shared" si="146"/>
        <v>14447.580000000002</v>
      </c>
      <c r="AW160" s="691">
        <f t="shared" si="146"/>
        <v>74662.05</v>
      </c>
      <c r="AX160" s="691">
        <f t="shared" si="146"/>
        <v>20458.600000000002</v>
      </c>
      <c r="AY160" s="691">
        <f t="shared" si="146"/>
        <v>9851.869999999999</v>
      </c>
      <c r="AZ160" s="691">
        <f t="shared" si="146"/>
        <v>64109.28999999999</v>
      </c>
      <c r="BA160" s="691">
        <f t="shared" si="146"/>
        <v>94419.76000000001</v>
      </c>
      <c r="BB160" s="513"/>
      <c r="BC160" s="691">
        <f aca="true" t="shared" si="147" ref="BC160:BS160">BC159+BC140+BC136+BC132+BC128+BC125+BC121</f>
        <v>41515.54</v>
      </c>
      <c r="BD160" s="691">
        <f t="shared" si="147"/>
        <v>11250.689999999999</v>
      </c>
      <c r="BE160" s="691">
        <f t="shared" si="147"/>
        <v>37212.67999999999</v>
      </c>
      <c r="BF160" s="691">
        <f t="shared" si="147"/>
        <v>-1355.12</v>
      </c>
      <c r="BG160" s="691">
        <f t="shared" si="147"/>
        <v>88623.79000000001</v>
      </c>
      <c r="BH160" s="691">
        <f t="shared" si="147"/>
        <v>51381.79</v>
      </c>
      <c r="BI160" s="691">
        <f t="shared" si="147"/>
        <v>9904.57</v>
      </c>
      <c r="BJ160" s="691">
        <f t="shared" si="147"/>
        <v>11910.87</v>
      </c>
      <c r="BK160" s="691">
        <f t="shared" si="147"/>
        <v>73197.23000000001</v>
      </c>
      <c r="BL160" s="691">
        <f t="shared" si="147"/>
        <v>25296.53</v>
      </c>
      <c r="BM160" s="691">
        <f t="shared" si="147"/>
        <v>40175.87</v>
      </c>
      <c r="BN160" s="691">
        <f t="shared" si="147"/>
        <v>13507.3</v>
      </c>
      <c r="BO160" s="691">
        <f t="shared" si="147"/>
        <v>78979.7</v>
      </c>
      <c r="BP160" s="691">
        <f t="shared" si="147"/>
        <v>30314.190000000002</v>
      </c>
      <c r="BQ160" s="691">
        <f t="shared" si="147"/>
        <v>0</v>
      </c>
      <c r="BR160" s="691">
        <f t="shared" si="147"/>
        <v>0</v>
      </c>
      <c r="BS160" s="691">
        <f t="shared" si="147"/>
        <v>30314.190000000002</v>
      </c>
      <c r="BT160" s="513"/>
      <c r="BU160" s="783">
        <f aca="true" t="shared" si="148" ref="BU160:BZ160">BU159+BU140+BU136+BU132+BU128+BU125+BU121</f>
        <v>154657</v>
      </c>
      <c r="BV160" s="691">
        <f t="shared" si="148"/>
        <v>58500</v>
      </c>
      <c r="BW160" s="691">
        <f t="shared" si="148"/>
        <v>38700</v>
      </c>
      <c r="BX160" s="691">
        <f t="shared" si="148"/>
        <v>17900</v>
      </c>
      <c r="BY160" s="691">
        <f t="shared" si="148"/>
        <v>14600</v>
      </c>
      <c r="BZ160" s="691">
        <f t="shared" si="148"/>
        <v>26450</v>
      </c>
      <c r="CA160" s="759">
        <f t="shared" si="141"/>
        <v>156150</v>
      </c>
      <c r="CB160" s="760">
        <f t="shared" si="142"/>
        <v>1.0096536205926663</v>
      </c>
    </row>
    <row r="161" spans="1:80" s="456" customFormat="1" ht="15.75">
      <c r="A161" s="509">
        <v>300</v>
      </c>
      <c r="B161" s="679"/>
      <c r="C161" s="680" t="s">
        <v>464</v>
      </c>
      <c r="D161" s="681"/>
      <c r="E161" s="706" t="s">
        <v>44</v>
      </c>
      <c r="F161" s="572">
        <v>1</v>
      </c>
      <c r="G161" s="572"/>
      <c r="H161" s="683"/>
      <c r="I161" s="574"/>
      <c r="J161" s="575"/>
      <c r="K161" s="575"/>
      <c r="L161" s="684"/>
      <c r="M161" s="574"/>
      <c r="N161" s="685"/>
      <c r="O161" s="536">
        <f>I161/$C$4</f>
        <v>0</v>
      </c>
      <c r="P161" s="536">
        <f>M161/$C$4</f>
        <v>0</v>
      </c>
      <c r="Q161" s="536">
        <f>O161+P161</f>
        <v>0</v>
      </c>
      <c r="R161" s="525">
        <f>BG161+BK161+BO161+BS161</f>
        <v>101935.24</v>
      </c>
      <c r="S161" s="525">
        <f>M161-R161</f>
        <v>-101935.24</v>
      </c>
      <c r="T161" s="475" t="e">
        <f>R161/M161</f>
        <v>#DIV/0!</v>
      </c>
      <c r="U161" s="476"/>
      <c r="V161" s="476"/>
      <c r="W161" s="476"/>
      <c r="X161" s="476"/>
      <c r="Y161" s="476"/>
      <c r="Z161" s="476"/>
      <c r="AA161" s="476"/>
      <c r="AB161" s="476"/>
      <c r="AC161" s="476"/>
      <c r="AD161" s="476"/>
      <c r="AE161" s="476"/>
      <c r="AF161" s="476"/>
      <c r="AG161" s="535">
        <f>AO161+AS161+AW161+BA161+BG161+BK161+BO161+BS161</f>
        <v>180916.91999999998</v>
      </c>
      <c r="AH161" s="535">
        <f>N161-AG161</f>
        <v>-180916.91999999998</v>
      </c>
      <c r="AI161" s="477" t="e">
        <f t="shared" si="140"/>
        <v>#DIV/0!</v>
      </c>
      <c r="AJ161" s="461"/>
      <c r="AK161" s="511">
        <v>0</v>
      </c>
      <c r="AL161" s="511">
        <v>0</v>
      </c>
      <c r="AM161" s="511">
        <v>0</v>
      </c>
      <c r="AN161" s="511">
        <v>0</v>
      </c>
      <c r="AO161" s="512">
        <f>SUM(AK161:AN161)</f>
        <v>0</v>
      </c>
      <c r="AP161" s="511">
        <v>81604</v>
      </c>
      <c r="AQ161" s="511">
        <v>0</v>
      </c>
      <c r="AR161" s="511">
        <v>0</v>
      </c>
      <c r="AS161" s="512">
        <f>SUM(AP161:AR161)</f>
        <v>81604</v>
      </c>
      <c r="AT161" s="511">
        <v>0</v>
      </c>
      <c r="AU161" s="511">
        <v>-58478.44</v>
      </c>
      <c r="AV161" s="511">
        <v>49552.36</v>
      </c>
      <c r="AW161" s="512">
        <f>SUM(AT161:AV161)</f>
        <v>-8926.080000000002</v>
      </c>
      <c r="AX161" s="511">
        <v>0</v>
      </c>
      <c r="AY161" s="511">
        <v>0</v>
      </c>
      <c r="AZ161" s="511">
        <v>6303.76</v>
      </c>
      <c r="BA161" s="512">
        <f>SUM(AX161:AZ161)</f>
        <v>6303.76</v>
      </c>
      <c r="BB161" s="513"/>
      <c r="BC161" s="511">
        <v>-9875.57</v>
      </c>
      <c r="BD161" s="511">
        <v>88230.38</v>
      </c>
      <c r="BE161" s="511">
        <v>-37604.46</v>
      </c>
      <c r="BF161" s="511">
        <v>0</v>
      </c>
      <c r="BG161" s="512">
        <f>SUM(BC161:BF161)</f>
        <v>40750.35</v>
      </c>
      <c r="BH161" s="511">
        <v>-34834.48</v>
      </c>
      <c r="BI161" s="511">
        <v>51715.26</v>
      </c>
      <c r="BJ161" s="511">
        <v>0</v>
      </c>
      <c r="BK161" s="512">
        <f>SUM(BH161:BJ161)</f>
        <v>16880.78</v>
      </c>
      <c r="BL161" s="511">
        <v>-32938.16</v>
      </c>
      <c r="BM161" s="511">
        <v>113213.6</v>
      </c>
      <c r="BN161" s="511">
        <v>0</v>
      </c>
      <c r="BO161" s="512">
        <f>SUM(BL161:BN161)</f>
        <v>80275.44</v>
      </c>
      <c r="BP161" s="511">
        <v>-35971.33</v>
      </c>
      <c r="BQ161" s="511">
        <v>0</v>
      </c>
      <c r="BR161" s="511">
        <v>0</v>
      </c>
      <c r="BS161" s="512">
        <f>SUM(BP161:BR161)</f>
        <v>-35971.33</v>
      </c>
      <c r="BT161" s="513"/>
      <c r="BU161" s="747">
        <v>0</v>
      </c>
      <c r="BV161" s="535"/>
      <c r="BW161" s="535"/>
      <c r="BX161" s="535"/>
      <c r="BY161" s="535"/>
      <c r="BZ161" s="535"/>
      <c r="CA161" s="761">
        <f t="shared" si="141"/>
        <v>0</v>
      </c>
      <c r="CB161" s="762" t="e">
        <f t="shared" si="142"/>
        <v>#DIV/0!</v>
      </c>
    </row>
    <row r="162" spans="1:80" ht="15.75">
      <c r="A162" s="485"/>
      <c r="B162" s="482"/>
      <c r="C162" s="710" t="s">
        <v>463</v>
      </c>
      <c r="D162" s="711"/>
      <c r="E162" s="712"/>
      <c r="F162" s="472"/>
      <c r="G162" s="472"/>
      <c r="H162" s="472"/>
      <c r="I162" s="713">
        <f>I160+I106</f>
        <v>704884.6799999999</v>
      </c>
      <c r="J162" s="713"/>
      <c r="K162" s="713"/>
      <c r="L162" s="713"/>
      <c r="M162" s="714">
        <f>M160+M106</f>
        <v>1041993.0134</v>
      </c>
      <c r="N162" s="714">
        <f>N160+N161+N106</f>
        <v>1746877.6933999998</v>
      </c>
      <c r="O162" s="714">
        <f aca="true" t="shared" si="149" ref="O162:BA162">O160+O161+O106</f>
        <v>542772.8307692308</v>
      </c>
      <c r="P162" s="714">
        <f t="shared" si="149"/>
        <v>803933.0872307692</v>
      </c>
      <c r="Q162" s="714">
        <f t="shared" si="149"/>
        <v>1344305.918</v>
      </c>
      <c r="R162" s="714">
        <f t="shared" si="149"/>
        <v>718306.51</v>
      </c>
      <c r="S162" s="714">
        <f t="shared" si="149"/>
        <v>323686.50340000005</v>
      </c>
      <c r="T162" s="539">
        <f>R162/I162</f>
        <v>1.0190411713870702</v>
      </c>
      <c r="U162" s="714" t="e">
        <f t="shared" si="149"/>
        <v>#DIV/0!</v>
      </c>
      <c r="V162" s="714" t="e">
        <f t="shared" si="149"/>
        <v>#DIV/0!</v>
      </c>
      <c r="W162" s="714" t="e">
        <f t="shared" si="149"/>
        <v>#DIV/0!</v>
      </c>
      <c r="X162" s="714" t="e">
        <f t="shared" si="149"/>
        <v>#DIV/0!</v>
      </c>
      <c r="Y162" s="714" t="e">
        <f t="shared" si="149"/>
        <v>#DIV/0!</v>
      </c>
      <c r="Z162" s="714" t="e">
        <f t="shared" si="149"/>
        <v>#DIV/0!</v>
      </c>
      <c r="AA162" s="714" t="e">
        <f t="shared" si="149"/>
        <v>#DIV/0!</v>
      </c>
      <c r="AB162" s="714" t="e">
        <f t="shared" si="149"/>
        <v>#DIV/0!</v>
      </c>
      <c r="AC162" s="714" t="e">
        <f t="shared" si="149"/>
        <v>#DIV/0!</v>
      </c>
      <c r="AD162" s="714" t="e">
        <f t="shared" si="149"/>
        <v>#DIV/0!</v>
      </c>
      <c r="AE162" s="714" t="e">
        <f t="shared" si="149"/>
        <v>#DIV/0!</v>
      </c>
      <c r="AF162" s="714" t="e">
        <f t="shared" si="149"/>
        <v>#DIV/0!</v>
      </c>
      <c r="AG162" s="714">
        <f t="shared" si="149"/>
        <v>1225845.0699999998</v>
      </c>
      <c r="AH162" s="714">
        <f t="shared" si="149"/>
        <v>521032.62340000004</v>
      </c>
      <c r="AI162" s="539">
        <f t="shared" si="140"/>
        <v>0.7017349151754874</v>
      </c>
      <c r="AJ162" s="714"/>
      <c r="AK162" s="714">
        <f t="shared" si="149"/>
        <v>2089.77</v>
      </c>
      <c r="AL162" s="714">
        <f t="shared" si="149"/>
        <v>7328.49</v>
      </c>
      <c r="AM162" s="714">
        <f t="shared" si="149"/>
        <v>19637.5</v>
      </c>
      <c r="AN162" s="714">
        <f t="shared" si="149"/>
        <v>-1446.8</v>
      </c>
      <c r="AO162" s="714">
        <f t="shared" si="149"/>
        <v>27608.960000000003</v>
      </c>
      <c r="AP162" s="714">
        <f t="shared" si="149"/>
        <v>100898.66</v>
      </c>
      <c r="AQ162" s="714">
        <f t="shared" si="149"/>
        <v>21870.67</v>
      </c>
      <c r="AR162" s="714">
        <f t="shared" si="149"/>
        <v>21532.82</v>
      </c>
      <c r="AS162" s="714">
        <f t="shared" si="149"/>
        <v>144302.15</v>
      </c>
      <c r="AT162" s="714">
        <f t="shared" si="149"/>
        <v>24792.47</v>
      </c>
      <c r="AU162" s="714">
        <f t="shared" si="149"/>
        <v>25805.880000000005</v>
      </c>
      <c r="AV162" s="714">
        <f t="shared" si="149"/>
        <v>71171</v>
      </c>
      <c r="AW162" s="714">
        <f t="shared" si="149"/>
        <v>121769.35</v>
      </c>
      <c r="AX162" s="714">
        <f t="shared" si="149"/>
        <v>27059.160000000003</v>
      </c>
      <c r="AY162" s="714">
        <f t="shared" si="149"/>
        <v>23011.79</v>
      </c>
      <c r="AZ162" s="714">
        <f t="shared" si="149"/>
        <v>163787.15</v>
      </c>
      <c r="BA162" s="714">
        <f t="shared" si="149"/>
        <v>213858.1</v>
      </c>
      <c r="BB162" s="513"/>
      <c r="BC162" s="714">
        <f aca="true" t="shared" si="150" ref="BC162:BS162">BC160+BC161+BC106</f>
        <v>50084.36</v>
      </c>
      <c r="BD162" s="714">
        <f t="shared" si="150"/>
        <v>144828.68</v>
      </c>
      <c r="BE162" s="714">
        <f t="shared" si="150"/>
        <v>45903.049999999996</v>
      </c>
      <c r="BF162" s="714">
        <f t="shared" si="150"/>
        <v>-1355.12</v>
      </c>
      <c r="BG162" s="714">
        <f t="shared" si="150"/>
        <v>239460.97000000003</v>
      </c>
      <c r="BH162" s="714">
        <f t="shared" si="150"/>
        <v>91723.40999999999</v>
      </c>
      <c r="BI162" s="714">
        <f t="shared" si="150"/>
        <v>73005.64</v>
      </c>
      <c r="BJ162" s="714">
        <f t="shared" si="150"/>
        <v>20962.130000000005</v>
      </c>
      <c r="BK162" s="714">
        <f t="shared" si="150"/>
        <v>185691.18</v>
      </c>
      <c r="BL162" s="714">
        <f t="shared" si="150"/>
        <v>50458.05999999998</v>
      </c>
      <c r="BM162" s="714">
        <f t="shared" si="150"/>
        <v>176447.08000000002</v>
      </c>
      <c r="BN162" s="714">
        <f t="shared" si="150"/>
        <v>21158.559999999998</v>
      </c>
      <c r="BO162" s="714">
        <f t="shared" si="150"/>
        <v>248063.7</v>
      </c>
      <c r="BP162" s="714">
        <f t="shared" si="150"/>
        <v>45090.66</v>
      </c>
      <c r="BQ162" s="714">
        <f t="shared" si="150"/>
        <v>0</v>
      </c>
      <c r="BR162" s="714">
        <f t="shared" si="150"/>
        <v>0</v>
      </c>
      <c r="BS162" s="714">
        <f t="shared" si="150"/>
        <v>45090.66</v>
      </c>
      <c r="BT162" s="513"/>
      <c r="BU162" s="785">
        <f aca="true" t="shared" si="151" ref="BU162:BZ162">BU160+BU161+BU106</f>
        <v>701944</v>
      </c>
      <c r="BV162" s="714">
        <f t="shared" si="151"/>
        <v>263083</v>
      </c>
      <c r="BW162" s="714">
        <f t="shared" si="151"/>
        <v>189821</v>
      </c>
      <c r="BX162" s="714">
        <f t="shared" si="151"/>
        <v>116500</v>
      </c>
      <c r="BY162" s="714">
        <f t="shared" si="151"/>
        <v>73720</v>
      </c>
      <c r="BZ162" s="714">
        <f t="shared" si="151"/>
        <v>58790</v>
      </c>
      <c r="CA162" s="765">
        <f>BV162+BW162+BX162+BY162+BZ162</f>
        <v>701914</v>
      </c>
      <c r="CB162" s="766">
        <f t="shared" si="142"/>
        <v>0.9999572615479297</v>
      </c>
    </row>
    <row r="163" spans="1:80" ht="15.75">
      <c r="A163" s="484" t="s">
        <v>331</v>
      </c>
      <c r="B163" s="483" t="s">
        <v>460</v>
      </c>
      <c r="C163" s="715" t="s">
        <v>460</v>
      </c>
      <c r="D163" s="716" t="s">
        <v>460</v>
      </c>
      <c r="E163" s="717" t="s">
        <v>44</v>
      </c>
      <c r="F163" s="473"/>
      <c r="G163" s="473"/>
      <c r="H163" s="473"/>
      <c r="I163" s="718">
        <f>I162*0.07</f>
        <v>49341.9276</v>
      </c>
      <c r="J163" s="718"/>
      <c r="K163" s="718"/>
      <c r="L163" s="718"/>
      <c r="M163" s="719">
        <f>M162*0.07</f>
        <v>72939.510938</v>
      </c>
      <c r="N163" s="685">
        <f>I163+M163</f>
        <v>122281.43853800002</v>
      </c>
      <c r="O163" s="536">
        <f>I163/$C$4</f>
        <v>37955.32892307692</v>
      </c>
      <c r="P163" s="536">
        <f>M163/$C$4</f>
        <v>56107.31610615385</v>
      </c>
      <c r="Q163" s="536">
        <f>O163+P163</f>
        <v>94062.64502923077</v>
      </c>
      <c r="R163" s="525">
        <f>BG163+BK163+BO163+BS163</f>
        <v>52437.13</v>
      </c>
      <c r="S163" s="525">
        <f>M163-R163</f>
        <v>20502.38093800001</v>
      </c>
      <c r="T163" s="475">
        <f>R163/M163</f>
        <v>0.7189125526845467</v>
      </c>
      <c r="U163" s="476"/>
      <c r="V163" s="476"/>
      <c r="W163" s="476"/>
      <c r="X163" s="476"/>
      <c r="Y163" s="476"/>
      <c r="Z163" s="476"/>
      <c r="AA163" s="476"/>
      <c r="AB163" s="476"/>
      <c r="AC163" s="476"/>
      <c r="AD163" s="476"/>
      <c r="AE163" s="476"/>
      <c r="AF163" s="476"/>
      <c r="AG163" s="535">
        <f>AO163+AS163+AW163+BA163+BG163+BK163+BO163+BS163</f>
        <v>82442.77</v>
      </c>
      <c r="AH163" s="535">
        <f>N163-AG163</f>
        <v>39838.66853800001</v>
      </c>
      <c r="AI163" s="477">
        <f t="shared" si="140"/>
        <v>0.6742051041080956</v>
      </c>
      <c r="AJ163" s="461"/>
      <c r="AK163" s="511">
        <v>0</v>
      </c>
      <c r="AL163" s="511">
        <v>513</v>
      </c>
      <c r="AM163" s="511">
        <v>1374.63</v>
      </c>
      <c r="AN163" s="511">
        <v>0</v>
      </c>
      <c r="AO163" s="512">
        <f>SUM(AK163:AN163)</f>
        <v>1887.63</v>
      </c>
      <c r="AP163" s="511">
        <v>1249.36</v>
      </c>
      <c r="AQ163" s="511">
        <v>1531.04</v>
      </c>
      <c r="AR163" s="511">
        <v>1507.29</v>
      </c>
      <c r="AS163" s="512">
        <f>SUM(AP163:AR163)</f>
        <v>4287.69</v>
      </c>
      <c r="AT163" s="511">
        <v>1735.98</v>
      </c>
      <c r="AU163" s="511">
        <v>5899.9</v>
      </c>
      <c r="AV163" s="511">
        <v>1513.3</v>
      </c>
      <c r="AW163" s="512">
        <f>SUM(AT163:AV163)</f>
        <v>9149.179999999998</v>
      </c>
      <c r="AX163" s="511">
        <v>1897.44</v>
      </c>
      <c r="AY163" s="511">
        <v>1763.68</v>
      </c>
      <c r="AZ163" s="511">
        <v>11020.02</v>
      </c>
      <c r="BA163" s="512">
        <f>SUM(AX163:AZ163)</f>
        <v>14681.14</v>
      </c>
      <c r="BB163" s="513"/>
      <c r="BC163" s="511">
        <v>4197.2</v>
      </c>
      <c r="BD163" s="511">
        <v>3922.24</v>
      </c>
      <c r="BE163" s="511">
        <v>5845.52</v>
      </c>
      <c r="BF163" s="511">
        <v>0</v>
      </c>
      <c r="BG163" s="512">
        <f>SUM(BC163:BF163)</f>
        <v>13964.96</v>
      </c>
      <c r="BH163" s="511">
        <v>8764.2</v>
      </c>
      <c r="BI163" s="511">
        <v>5110.39</v>
      </c>
      <c r="BJ163" s="511">
        <v>1469.26</v>
      </c>
      <c r="BK163" s="512">
        <f>SUM(BH163:BJ163)</f>
        <v>15343.85</v>
      </c>
      <c r="BL163" s="511">
        <v>5831.73</v>
      </c>
      <c r="BM163" s="511">
        <v>20278.6</v>
      </c>
      <c r="BN163" s="511">
        <v>0</v>
      </c>
      <c r="BO163" s="512">
        <f>SUM(BL163:BN163)</f>
        <v>26110.329999999998</v>
      </c>
      <c r="BP163" s="511">
        <v>-2982.01</v>
      </c>
      <c r="BQ163" s="511">
        <v>0</v>
      </c>
      <c r="BR163" s="511">
        <v>0</v>
      </c>
      <c r="BS163" s="512">
        <f>SUM(BP163:BR163)</f>
        <v>-2982.01</v>
      </c>
      <c r="BT163" s="513"/>
      <c r="BU163" s="746">
        <v>39838</v>
      </c>
      <c r="BV163" s="535">
        <f>BU163/5</f>
        <v>7967.6</v>
      </c>
      <c r="BW163" s="535">
        <v>7967.6</v>
      </c>
      <c r="BX163" s="535">
        <v>7967.6</v>
      </c>
      <c r="BY163" s="535">
        <v>7967.6</v>
      </c>
      <c r="BZ163" s="535">
        <v>7967.6</v>
      </c>
      <c r="CA163" s="761">
        <f t="shared" si="141"/>
        <v>39838</v>
      </c>
      <c r="CB163" s="762">
        <f t="shared" si="142"/>
        <v>1</v>
      </c>
    </row>
    <row r="164" spans="1:80" ht="16.5" thickBot="1">
      <c r="A164" s="486"/>
      <c r="B164" s="487" t="s">
        <v>461</v>
      </c>
      <c r="C164" s="720" t="s">
        <v>461</v>
      </c>
      <c r="D164" s="721"/>
      <c r="E164" s="722"/>
      <c r="F164" s="488"/>
      <c r="G164" s="488"/>
      <c r="H164" s="488"/>
      <c r="I164" s="723">
        <f>I163+I162</f>
        <v>754226.6076</v>
      </c>
      <c r="J164" s="723"/>
      <c r="K164" s="723"/>
      <c r="L164" s="723"/>
      <c r="M164" s="724">
        <f>M163+M162</f>
        <v>1114932.524338</v>
      </c>
      <c r="N164" s="724">
        <f>N162+N163</f>
        <v>1869159.1319379997</v>
      </c>
      <c r="O164" s="724">
        <f aca="true" t="shared" si="152" ref="O164:BA164">O162+O163</f>
        <v>580728.1596923078</v>
      </c>
      <c r="P164" s="724">
        <f t="shared" si="152"/>
        <v>860040.4033369231</v>
      </c>
      <c r="Q164" s="724">
        <f t="shared" si="152"/>
        <v>1438368.5630292308</v>
      </c>
      <c r="R164" s="724">
        <f t="shared" si="152"/>
        <v>770743.64</v>
      </c>
      <c r="S164" s="724">
        <f t="shared" si="152"/>
        <v>344188.88433800003</v>
      </c>
      <c r="T164" s="510">
        <f>R164/I164</f>
        <v>1.021899296887123</v>
      </c>
      <c r="U164" s="724" t="e">
        <f t="shared" si="152"/>
        <v>#DIV/0!</v>
      </c>
      <c r="V164" s="724" t="e">
        <f t="shared" si="152"/>
        <v>#DIV/0!</v>
      </c>
      <c r="W164" s="724" t="e">
        <f t="shared" si="152"/>
        <v>#DIV/0!</v>
      </c>
      <c r="X164" s="724" t="e">
        <f t="shared" si="152"/>
        <v>#DIV/0!</v>
      </c>
      <c r="Y164" s="724" t="e">
        <f t="shared" si="152"/>
        <v>#DIV/0!</v>
      </c>
      <c r="Z164" s="724" t="e">
        <f t="shared" si="152"/>
        <v>#DIV/0!</v>
      </c>
      <c r="AA164" s="724" t="e">
        <f t="shared" si="152"/>
        <v>#DIV/0!</v>
      </c>
      <c r="AB164" s="724" t="e">
        <f t="shared" si="152"/>
        <v>#DIV/0!</v>
      </c>
      <c r="AC164" s="724" t="e">
        <f t="shared" si="152"/>
        <v>#DIV/0!</v>
      </c>
      <c r="AD164" s="724" t="e">
        <f t="shared" si="152"/>
        <v>#DIV/0!</v>
      </c>
      <c r="AE164" s="724" t="e">
        <f t="shared" si="152"/>
        <v>#DIV/0!</v>
      </c>
      <c r="AF164" s="724" t="e">
        <f t="shared" si="152"/>
        <v>#DIV/0!</v>
      </c>
      <c r="AG164" s="724">
        <f t="shared" si="152"/>
        <v>1308287.8399999999</v>
      </c>
      <c r="AH164" s="724">
        <f t="shared" si="152"/>
        <v>560871.291938</v>
      </c>
      <c r="AI164" s="778">
        <f t="shared" si="140"/>
        <v>0.6999338994981814</v>
      </c>
      <c r="AJ164" s="719"/>
      <c r="AK164" s="719">
        <f t="shared" si="152"/>
        <v>2089.77</v>
      </c>
      <c r="AL164" s="719">
        <f t="shared" si="152"/>
        <v>7841.49</v>
      </c>
      <c r="AM164" s="719">
        <f t="shared" si="152"/>
        <v>21012.13</v>
      </c>
      <c r="AN164" s="719">
        <f t="shared" si="152"/>
        <v>-1446.8</v>
      </c>
      <c r="AO164" s="719">
        <f t="shared" si="152"/>
        <v>29496.590000000004</v>
      </c>
      <c r="AP164" s="719">
        <f t="shared" si="152"/>
        <v>102148.02</v>
      </c>
      <c r="AQ164" s="719">
        <f t="shared" si="152"/>
        <v>23401.71</v>
      </c>
      <c r="AR164" s="719">
        <f t="shared" si="152"/>
        <v>23040.11</v>
      </c>
      <c r="AS164" s="719">
        <f t="shared" si="152"/>
        <v>148589.84</v>
      </c>
      <c r="AT164" s="719">
        <f t="shared" si="152"/>
        <v>26528.45</v>
      </c>
      <c r="AU164" s="719">
        <f t="shared" si="152"/>
        <v>31705.780000000006</v>
      </c>
      <c r="AV164" s="719">
        <f t="shared" si="152"/>
        <v>72684.3</v>
      </c>
      <c r="AW164" s="719">
        <f t="shared" si="152"/>
        <v>130918.53</v>
      </c>
      <c r="AX164" s="719">
        <f t="shared" si="152"/>
        <v>28956.600000000002</v>
      </c>
      <c r="AY164" s="719">
        <f t="shared" si="152"/>
        <v>24775.47</v>
      </c>
      <c r="AZ164" s="719">
        <f t="shared" si="152"/>
        <v>174807.16999999998</v>
      </c>
      <c r="BA164" s="719">
        <f t="shared" si="152"/>
        <v>228539.24</v>
      </c>
      <c r="BB164" s="513"/>
      <c r="BC164" s="719">
        <f aca="true" t="shared" si="153" ref="BC164:BS164">BC162+BC163</f>
        <v>54281.56</v>
      </c>
      <c r="BD164" s="719">
        <f t="shared" si="153"/>
        <v>148750.91999999998</v>
      </c>
      <c r="BE164" s="719">
        <f t="shared" si="153"/>
        <v>51748.56999999999</v>
      </c>
      <c r="BF164" s="719">
        <f t="shared" si="153"/>
        <v>-1355.12</v>
      </c>
      <c r="BG164" s="719">
        <f t="shared" si="153"/>
        <v>253425.93000000002</v>
      </c>
      <c r="BH164" s="719">
        <f t="shared" si="153"/>
        <v>100487.60999999999</v>
      </c>
      <c r="BI164" s="719">
        <f t="shared" si="153"/>
        <v>78116.03</v>
      </c>
      <c r="BJ164" s="719">
        <f t="shared" si="153"/>
        <v>22431.390000000003</v>
      </c>
      <c r="BK164" s="719">
        <f t="shared" si="153"/>
        <v>201035.03</v>
      </c>
      <c r="BL164" s="719">
        <f t="shared" si="153"/>
        <v>56289.78999999998</v>
      </c>
      <c r="BM164" s="719">
        <f t="shared" si="153"/>
        <v>196725.68000000002</v>
      </c>
      <c r="BN164" s="719">
        <f t="shared" si="153"/>
        <v>21158.559999999998</v>
      </c>
      <c r="BO164" s="719">
        <f t="shared" si="153"/>
        <v>274174.03</v>
      </c>
      <c r="BP164" s="719">
        <f t="shared" si="153"/>
        <v>42108.65</v>
      </c>
      <c r="BQ164" s="719">
        <f t="shared" si="153"/>
        <v>0</v>
      </c>
      <c r="BR164" s="719">
        <f t="shared" si="153"/>
        <v>0</v>
      </c>
      <c r="BS164" s="719">
        <f t="shared" si="153"/>
        <v>42108.65</v>
      </c>
      <c r="BT164" s="513"/>
      <c r="BU164" s="787">
        <f aca="true" t="shared" si="154" ref="BU164:BZ164">BU162+BU163</f>
        <v>741782</v>
      </c>
      <c r="BV164" s="719">
        <f t="shared" si="154"/>
        <v>271050.6</v>
      </c>
      <c r="BW164" s="719">
        <f t="shared" si="154"/>
        <v>197788.6</v>
      </c>
      <c r="BX164" s="724">
        <f t="shared" si="154"/>
        <v>124467.6</v>
      </c>
      <c r="BY164" s="724">
        <f t="shared" si="154"/>
        <v>81687.6</v>
      </c>
      <c r="BZ164" s="724">
        <f t="shared" si="154"/>
        <v>66757.6</v>
      </c>
      <c r="CA164" s="763">
        <f t="shared" si="141"/>
        <v>741751.9999999999</v>
      </c>
      <c r="CB164" s="764">
        <f t="shared" si="142"/>
        <v>0.9999595568509345</v>
      </c>
    </row>
  </sheetData>
  <sheetProtection/>
  <mergeCells count="20">
    <mergeCell ref="G140:H140"/>
    <mergeCell ref="G159:H159"/>
    <mergeCell ref="B47:B49"/>
    <mergeCell ref="B53:B58"/>
    <mergeCell ref="B60:B64"/>
    <mergeCell ref="B66:B67"/>
    <mergeCell ref="B71:B86"/>
    <mergeCell ref="G125:H125"/>
    <mergeCell ref="AK23:AX23"/>
    <mergeCell ref="AY23:BA23"/>
    <mergeCell ref="BC23:BP23"/>
    <mergeCell ref="BQ23:BS23"/>
    <mergeCell ref="B28:B39"/>
    <mergeCell ref="B41:B45"/>
    <mergeCell ref="C17:C19"/>
    <mergeCell ref="R22:T22"/>
    <mergeCell ref="U22:X22"/>
    <mergeCell ref="Y22:AB22"/>
    <mergeCell ref="AC22:AF22"/>
    <mergeCell ref="AG22:AI22"/>
  </mergeCells>
  <dataValidations count="724">
    <dataValidation errorStyle="information" type="textLength" allowBlank="1" showInputMessage="1" showErrorMessage="1" error="XLBVal:6=-2982.01&#13;&#10;" sqref="BP163">
      <formula1>0</formula1>
      <formula2>300</formula2>
    </dataValidation>
    <dataValidation errorStyle="information" type="textLength" allowBlank="1" showInputMessage="1" error="XLBVal:6=-35971.33&#13;&#10;" sqref="BP161">
      <formula1>0</formula1>
      <formula2>300</formula2>
    </dataValidation>
    <dataValidation errorStyle="information" type="textLength" allowBlank="1" showInputMessage="1" error="XLBVal:6=57.14&#13;&#10;" sqref="BP157">
      <formula1>0</formula1>
      <formula2>300</formula2>
    </dataValidation>
    <dataValidation errorStyle="information" type="textLength" allowBlank="1" showInputMessage="1" showErrorMessage="1" error="XLBVal:6=44.99&#13;&#10;" sqref="BP156">
      <formula1>0</formula1>
      <formula2>300</formula2>
    </dataValidation>
    <dataValidation errorStyle="information" type="textLength" allowBlank="1" showInputMessage="1" showErrorMessage="1" error="XLBVal:2=0&#13;&#10;" sqref="BP155 BP152 BP143 BN163 BN156 BM152:BN152 BM153 BL145:BM145 BL154:BL155 BJ148 BF161 BH157 BH154:BI154 BH152:BI152 BH150 BH147:BH148 BH145:BI145 BD157 BC156">
      <formula1>0</formula1>
      <formula2>300</formula2>
    </dataValidation>
    <dataValidation errorStyle="information" type="textLength" allowBlank="1" showInputMessage="1" showErrorMessage="1" error="XLBVal:6=124.94&#13;&#10;" sqref="BP151">
      <formula1>0</formula1>
      <formula2>300</formula2>
    </dataValidation>
    <dataValidation errorStyle="information" type="textLength" allowBlank="1" showInputMessage="1" showErrorMessage="1" error="XLBVal:6=60&#13;&#10;" sqref="BP150">
      <formula1>0</formula1>
      <formula2>300</formula2>
    </dataValidation>
    <dataValidation errorStyle="information" type="textLength" allowBlank="1" showInputMessage="1" showErrorMessage="1" error="XLBVal:6=45.98&#13;&#10;" sqref="BP149">
      <formula1>0</formula1>
      <formula2>300</formula2>
    </dataValidation>
    <dataValidation errorStyle="information" type="textLength" allowBlank="1" showInputMessage="1" error="XLBVal:6=626.28&#13;&#10;" sqref="BP147">
      <formula1>0</formula1>
      <formula2>300</formula2>
    </dataValidation>
    <dataValidation errorStyle="information" type="textLength" allowBlank="1" showInputMessage="1" showErrorMessage="1" error="XLBVal:6=439.2&#13;&#10;" sqref="BP146">
      <formula1>0</formula1>
      <formula2>300</formula2>
    </dataValidation>
    <dataValidation errorStyle="information" type="textLength" allowBlank="1" showInputMessage="1" showErrorMessage="1" error="XLBVal:6=334.99&#13;&#10;" sqref="BP144">
      <formula1>0</formula1>
      <formula2>300</formula2>
    </dataValidation>
    <dataValidation errorStyle="information" type="textLength" allowBlank="1" showInputMessage="1" showErrorMessage="1" error="XLBVal:6=301.69&#13;&#10;" sqref="BP142">
      <formula1>0</formula1>
      <formula2>300</formula2>
    </dataValidation>
    <dataValidation errorStyle="information" type="textLength" allowBlank="1" showInputMessage="1" error="XLBVal:6=17646.11&#13;&#10;" sqref="BP139">
      <formula1>0</formula1>
      <formula2>300</formula2>
    </dataValidation>
    <dataValidation errorStyle="information" type="textLength" allowBlank="1" showInputMessage="1" error="XLBVal:6=1399.7&#13;&#10;" sqref="BP134">
      <formula1>0</formula1>
      <formula2>300</formula2>
    </dataValidation>
    <dataValidation errorStyle="information" type="textLength" allowBlank="1" showInputMessage="1" error="XLBVal:6=1205.35&#13;&#10;" sqref="BP119">
      <formula1>0</formula1>
      <formula2>300</formula2>
    </dataValidation>
    <dataValidation errorStyle="information" type="textLength" allowBlank="1" showInputMessage="1" error="XLBVal:6=634.82&#13;&#10;" sqref="BP118">
      <formula1>0</formula1>
      <formula2>300</formula2>
    </dataValidation>
    <dataValidation errorStyle="information" type="textLength" allowBlank="1" showInputMessage="1" error="XLBVal:6=346.46&#13;&#10;" sqref="BP117">
      <formula1>0</formula1>
      <formula2>300</formula2>
    </dataValidation>
    <dataValidation errorStyle="information" type="textLength" allowBlank="1" showInputMessage="1" error="XLBVal:6=1512.21&#13;&#10;" sqref="BP116">
      <formula1>0</formula1>
      <formula2>300</formula2>
    </dataValidation>
    <dataValidation errorStyle="information" type="textLength" allowBlank="1" showInputMessage="1" error="XLBVal:6=269.21&#13;&#10;" sqref="BP115">
      <formula1>0</formula1>
      <formula2>300</formula2>
    </dataValidation>
    <dataValidation errorStyle="information" type="textLength" allowBlank="1" showInputMessage="1" error="XLBVal:6=1168.46&#13;&#10;" sqref="BP114">
      <formula1>0</formula1>
      <formula2>300</formula2>
    </dataValidation>
    <dataValidation errorStyle="information" type="textLength" allowBlank="1" showInputMessage="1" error="XLBVal:6=558.89&#13;&#10;" sqref="BP113">
      <formula1>0</formula1>
      <formula2>300</formula2>
    </dataValidation>
    <dataValidation errorStyle="information" type="textLength" allowBlank="1" showInputMessage="1" error="XLBVal:6=771.31&#13;&#10;" sqref="BP112">
      <formula1>0</formula1>
      <formula2>300</formula2>
    </dataValidation>
    <dataValidation errorStyle="information" type="textLength" allowBlank="1" showInputMessage="1" error="XLBVal:6=900.97&#13;&#10;" sqref="BP111">
      <formula1>0</formula1>
      <formula2>300</formula2>
    </dataValidation>
    <dataValidation errorStyle="information" type="textLength" allowBlank="1" showInputMessage="1" error="XLBVal:6=1865.49&#13;&#10;" sqref="BP102 BP109">
      <formula1>0</formula1>
      <formula2>300</formula2>
    </dataValidation>
    <dataValidation errorStyle="information" type="textLength" allowBlank="1" showInputMessage="1" error="XLBVal:6=172.47&#13;&#10;" sqref="BP100">
      <formula1>0</formula1>
      <formula2>300</formula2>
    </dataValidation>
    <dataValidation errorStyle="information" type="textLength" allowBlank="1" showInputMessage="1" error="XLBVal:6=496.53&#13;&#10;" sqref="BP99">
      <formula1>0</formula1>
      <formula2>300</formula2>
    </dataValidation>
    <dataValidation errorStyle="information" type="textLength" allowBlank="1" showInputMessage="1" error="XLBVal:6=2570.04&#13;&#10;" sqref="BP97">
      <formula1>0</formula1>
      <formula2>300</formula2>
    </dataValidation>
    <dataValidation errorStyle="information" type="textLength" allowBlank="1" showInputMessage="1" error="XLBVal:6=1007.02&#13;&#10;" sqref="BP94">
      <formula1>0</formula1>
      <formula2>300</formula2>
    </dataValidation>
    <dataValidation errorStyle="information" type="textLength" allowBlank="1" showInputMessage="1" error="XLBVal:6=439.8&#13;&#10;" sqref="BP75">
      <formula1>0</formula1>
      <formula2>300</formula2>
    </dataValidation>
    <dataValidation errorStyle="information" type="textLength" allowBlank="1" showInputMessage="1" error="XLBVal:6=15460.06&#13;&#10;" sqref="BP58">
      <formula1>0</formula1>
      <formula2>300</formula2>
    </dataValidation>
    <dataValidation errorStyle="information" type="textLength" allowBlank="1" showInputMessage="1" error="XLBVal:6=2877.86&#13;&#10;" sqref="BP57">
      <formula1>0</formula1>
      <formula2>300</formula2>
    </dataValidation>
    <dataValidation errorStyle="information" type="textLength" allowBlank="1" showInputMessage="1" error="XLBVal:6=5742.31&#13;&#10;" sqref="BP56">
      <formula1>0</formula1>
      <formula2>300</formula2>
    </dataValidation>
    <dataValidation errorStyle="information" type="textLength" allowBlank="1" showInputMessage="1" error="XLBVal:6=8907.11&#13;&#10;" sqref="BP42">
      <formula1>0</formula1>
      <formula2>300</formula2>
    </dataValidation>
    <dataValidation errorStyle="information" type="textLength" allowBlank="1" showInputMessage="1" error="XLBVal:6=8637&#13;&#10;" sqref="BP34">
      <formula1>0</formula1>
      <formula2>300</formula2>
    </dataValidation>
    <dataValidation errorStyle="information" type="textLength" allowBlank="1" showInputMessage="1" showErrorMessage="1" error="XLBVal:6=761.08&#13;&#10;" sqref="BN157">
      <formula1>0</formula1>
      <formula2>300</formula2>
    </dataValidation>
    <dataValidation errorStyle="information" type="textLength" allowBlank="1" showInputMessage="1" error="XLBVal:6=90&#13;&#10;" sqref="BN155">
      <formula1>0</formula1>
      <formula2>300</formula2>
    </dataValidation>
    <dataValidation errorStyle="information" type="textLength" allowBlank="1" showInputMessage="1" showErrorMessage="1" error="XLBVal:6=97.75&#13;&#10;" sqref="BN151">
      <formula1>0</formula1>
      <formula2>300</formula2>
    </dataValidation>
    <dataValidation errorStyle="information" type="textLength" allowBlank="1" showInputMessage="1" showErrorMessage="1" error="XLBVal:6=85.82&#13;&#10;" sqref="BN150">
      <formula1>0</formula1>
      <formula2>300</formula2>
    </dataValidation>
    <dataValidation errorStyle="information" type="textLength" allowBlank="1" showInputMessage="1" showErrorMessage="1" error="XLBVal:6=-90.32&#13;&#10;" sqref="BN149">
      <formula1>0</formula1>
      <formula2>300</formula2>
    </dataValidation>
    <dataValidation errorStyle="information" type="textLength" allowBlank="1" showInputMessage="1" showErrorMessage="1" error="XLBVal:6=902.41&#13;&#10;" sqref="BN147">
      <formula1>0</formula1>
      <formula2>300</formula2>
    </dataValidation>
    <dataValidation errorStyle="information" type="textLength" allowBlank="1" showInputMessage="1" showErrorMessage="1" error="XLBVal:6=422.55&#13;&#10;" sqref="BN146">
      <formula1>0</formula1>
      <formula2>300</formula2>
    </dataValidation>
    <dataValidation errorStyle="information" type="textLength" allowBlank="1" showInputMessage="1" showErrorMessage="1" error="XLBVal:6=180&#13;&#10;" sqref="BN145">
      <formula1>0</formula1>
      <formula2>300</formula2>
    </dataValidation>
    <dataValidation errorStyle="information" type="textLength" allowBlank="1" showInputMessage="1" showErrorMessage="1" error="XLBVal:6=569.2&#13;&#10;" sqref="BN144">
      <formula1>0</formula1>
      <formula2>300</formula2>
    </dataValidation>
    <dataValidation errorStyle="information" type="textLength" allowBlank="1" showInputMessage="1" showErrorMessage="1" error="XLBVal:6=356.55&#13;&#10;" sqref="BN143">
      <formula1>0</formula1>
      <formula2>300</formula2>
    </dataValidation>
    <dataValidation errorStyle="information" type="textLength" allowBlank="1" showInputMessage="1" showErrorMessage="1" error="XLBVal:6=464.74&#13;&#10;" sqref="BN142">
      <formula1>0</formula1>
      <formula2>300</formula2>
    </dataValidation>
    <dataValidation errorStyle="information" type="textLength" allowBlank="1" showInputMessage="1" error="XLBVal:6=3593.48&#13;&#10;" sqref="BN134">
      <formula1>0</formula1>
      <formula2>300</formula2>
    </dataValidation>
    <dataValidation errorStyle="information" type="textLength" allowBlank="1" showInputMessage="1" error="XLBVal:6=1192&#13;&#10;" sqref="BN119">
      <formula1>0</formula1>
      <formula2>300</formula2>
    </dataValidation>
    <dataValidation errorStyle="information" type="textLength" allowBlank="1" showInputMessage="1" error="XLBVal:6=138.68&#13;&#10;" sqref="BN118">
      <formula1>0</formula1>
      <formula2>300</formula2>
    </dataValidation>
    <dataValidation errorStyle="information" type="textLength" allowBlank="1" showInputMessage="1" error="XLBVal:6=487.41&#13;&#10;" sqref="BN117">
      <formula1>0</formula1>
      <formula2>300</formula2>
    </dataValidation>
    <dataValidation errorStyle="information" type="textLength" allowBlank="1" showInputMessage="1" error="XLBVal:6=63.1&#13;&#10;" sqref="BN116">
      <formula1>0</formula1>
      <formula2>300</formula2>
    </dataValidation>
    <dataValidation errorStyle="information" type="textLength" allowBlank="1" showInputMessage="1" error="XLBVal:6=63.7&#13;&#10;" sqref="BN115">
      <formula1>0</formula1>
      <formula2>300</formula2>
    </dataValidation>
    <dataValidation errorStyle="information" type="textLength" allowBlank="1" showInputMessage="1" error="XLBVal:6=1352.27&#13;&#10;" sqref="BN114">
      <formula1>0</formula1>
      <formula2>300</formula2>
    </dataValidation>
    <dataValidation errorStyle="information" type="textLength" allowBlank="1" showInputMessage="1" error="XLBVal:6=140.91&#13;&#10;" sqref="BN113">
      <formula1>0</formula1>
      <formula2>300</formula2>
    </dataValidation>
    <dataValidation errorStyle="information" type="textLength" allowBlank="1" showInputMessage="1" error="XLBVal:6=95.93&#13;&#10;" sqref="BN112">
      <formula1>0</formula1>
      <formula2>300</formula2>
    </dataValidation>
    <dataValidation errorStyle="information" type="textLength" allowBlank="1" showInputMessage="1" error="XLBVal:6=674.53&#13;&#10;" sqref="BN111">
      <formula1>0</formula1>
      <formula2>300</formula2>
    </dataValidation>
    <dataValidation errorStyle="information" type="textLength" allowBlank="1" showInputMessage="1" error="XLBVal:6=1865.51&#13;&#10;" sqref="BN102 BN109">
      <formula1>0</formula1>
      <formula2>300</formula2>
    </dataValidation>
    <dataValidation errorStyle="information" type="textLength" allowBlank="1" showInputMessage="1" error="XLBVal:6=2568.08&#13;&#10;" sqref="BN101">
      <formula1>0</formula1>
      <formula2>300</formula2>
    </dataValidation>
    <dataValidation errorStyle="information" type="textLength" allowBlank="1" showInputMessage="1" error="XLBVal:6=424.4&#13;&#10;" sqref="BN99">
      <formula1>0</formula1>
      <formula2>300</formula2>
    </dataValidation>
    <dataValidation errorStyle="information" type="textLength" allowBlank="1" showInputMessage="1" error="XLBVal:6=17.51&#13;&#10;" sqref="BN96">
      <formula1>0</formula1>
      <formula2>300</formula2>
    </dataValidation>
    <dataValidation errorStyle="information" type="textLength" allowBlank="1" showInputMessage="1" error="XLBVal:6=1862.46&#13;&#10;" sqref="BN94">
      <formula1>0</formula1>
      <formula2>300</formula2>
    </dataValidation>
    <dataValidation errorStyle="information" type="textLength" allowBlank="1" showInputMessage="1" error="XLBVal:6=12.8&#13;&#10;" sqref="BN85">
      <formula1>0</formula1>
      <formula2>300</formula2>
    </dataValidation>
    <dataValidation errorStyle="information" type="textLength" allowBlank="1" showInputMessage="1" error="XLBVal:6=411&#13;&#10;" sqref="BN38">
      <formula1>0</formula1>
      <formula2>300</formula2>
    </dataValidation>
    <dataValidation errorStyle="information" type="textLength" allowBlank="1" showInputMessage="1" error="XLBVal:6=482&#13;&#10;" sqref="BN34">
      <formula1>0</formula1>
      <formula2>300</formula2>
    </dataValidation>
    <dataValidation errorStyle="information" type="textLength" allowBlank="1" showInputMessage="1" showErrorMessage="1" error="XLBVal:6=20278.6&#13;&#10;" sqref="BM163">
      <formula1>0</formula1>
      <formula2>300</formula2>
    </dataValidation>
    <dataValidation errorStyle="information" type="textLength" allowBlank="1" showInputMessage="1" showErrorMessage="1" error="XLBVal:6=113213.6&#13;&#10;" sqref="BM161">
      <formula1>0</formula1>
      <formula2>300</formula2>
    </dataValidation>
    <dataValidation errorStyle="information" type="textLength" allowBlank="1" showInputMessage="1" showErrorMessage="1" error="XLBVal:6=200&#13;&#10;" sqref="BM157">
      <formula1>0</formula1>
      <formula2>300</formula2>
    </dataValidation>
    <dataValidation errorStyle="information" type="textLength" allowBlank="1" showInputMessage="1" showErrorMessage="1" error="XLBVal:6=190.38&#13;&#10;" sqref="BM156">
      <formula1>0</formula1>
      <formula2>300</formula2>
    </dataValidation>
    <dataValidation errorStyle="information" type="textLength" allowBlank="1" showInputMessage="1" showErrorMessage="1" error="XLBVal:6=177.26&#13;&#10;" sqref="BM155">
      <formula1>0</formula1>
      <formula2>300</formula2>
    </dataValidation>
    <dataValidation errorStyle="information" type="textLength" allowBlank="1" showInputMessage="1" error="XLBVal:6=43.05&#13;&#10;" sqref="BM151">
      <formula1>0</formula1>
      <formula2>300</formula2>
    </dataValidation>
    <dataValidation errorStyle="information" type="textLength" allowBlank="1" showInputMessage="1" showErrorMessage="1" error="XLBVal:6=153.78&#13;&#10;" sqref="BM150">
      <formula1>0</formula1>
      <formula2>300</formula2>
    </dataValidation>
    <dataValidation errorStyle="information" type="textLength" allowBlank="1" showInputMessage="1" showErrorMessage="1" error="XLBVal:6=494.18&#13;&#10;" sqref="BM149">
      <formula1>0</formula1>
      <formula2>300</formula2>
    </dataValidation>
    <dataValidation errorStyle="information" type="textLength" allowBlank="1" showInputMessage="1" showErrorMessage="1" error="XLBVal:6=682.12&#13;&#10;" sqref="BM146">
      <formula1>0</formula1>
      <formula2>300</formula2>
    </dataValidation>
    <dataValidation errorStyle="information" type="textLength" allowBlank="1" showInputMessage="1" showErrorMessage="1" error="XLBVal:6=95&#13;&#10;" sqref="BM144">
      <formula1>0</formula1>
      <formula2>300</formula2>
    </dataValidation>
    <dataValidation errorStyle="information" type="textLength" allowBlank="1" showInputMessage="1" showErrorMessage="1" error="XLBVal:6=295.17&#13;&#10;" sqref="BM143">
      <formula1>0</formula1>
      <formula2>300</formula2>
    </dataValidation>
    <dataValidation errorStyle="information" type="textLength" allowBlank="1" showInputMessage="1" showErrorMessage="1" error="XLBVal:6=1564.56&#13;&#10;" sqref="BM142">
      <formula1>0</formula1>
      <formula2>300</formula2>
    </dataValidation>
    <dataValidation errorStyle="information" type="textLength" allowBlank="1" showInputMessage="1" error="XLBVal:6=28944.11&#13;&#10;" sqref="BM138">
      <formula1>0</formula1>
      <formula2>300</formula2>
    </dataValidation>
    <dataValidation errorStyle="information" type="textLength" allowBlank="1" showInputMessage="1" error="XLBVal:6=1219.03&#13;&#10;" sqref="BM134">
      <formula1>0</formula1>
      <formula2>300</formula2>
    </dataValidation>
    <dataValidation errorStyle="information" type="textLength" allowBlank="1" showInputMessage="1" error="XLBVal:6=30&#13;&#10;" sqref="BM127">
      <formula1>0</formula1>
      <formula2>300</formula2>
    </dataValidation>
    <dataValidation errorStyle="information" type="textLength" allowBlank="1" showInputMessage="1" error="XLBVal:6=710.67&#13;&#10;" sqref="BM120">
      <formula1>0</formula1>
      <formula2>300</formula2>
    </dataValidation>
    <dataValidation errorStyle="information" type="textLength" allowBlank="1" showInputMessage="1" error="XLBVal:6=7.56&#13;&#10;" sqref="BM119">
      <formula1>0</formula1>
      <formula2>300</formula2>
    </dataValidation>
    <dataValidation errorStyle="information" type="textLength" allowBlank="1" showInputMessage="1" error="XLBVal:6=725.8&#13;&#10;" sqref="BM118">
      <formula1>0</formula1>
      <formula2>300</formula2>
    </dataValidation>
    <dataValidation errorStyle="information" type="textLength" allowBlank="1" showInputMessage="1" error="XLBVal:6=525.42&#13;&#10;" sqref="BM117">
      <formula1>0</formula1>
      <formula2>300</formula2>
    </dataValidation>
    <dataValidation errorStyle="information" type="textLength" allowBlank="1" showInputMessage="1" error="XLBVal:6=150.84&#13;&#10;" sqref="BM116">
      <formula1>0</formula1>
      <formula2>300</formula2>
    </dataValidation>
    <dataValidation errorStyle="information" type="textLength" allowBlank="1" showInputMessage="1" error="XLBVal:6=125.81&#13;&#10;" sqref="BM115">
      <formula1>0</formula1>
      <formula2>300</formula2>
    </dataValidation>
    <dataValidation errorStyle="information" type="textLength" allowBlank="1" showInputMessage="1" error="XLBVal:6=1329.41&#13;&#10;" sqref="BM114">
      <formula1>0</formula1>
      <formula2>300</formula2>
    </dataValidation>
    <dataValidation errorStyle="information" type="textLength" allowBlank="1" showInputMessage="1" error="XLBVal:6=140.92&#13;&#10;" sqref="BM113">
      <formula1>0</formula1>
      <formula2>300</formula2>
    </dataValidation>
    <dataValidation errorStyle="information" type="textLength" allowBlank="1" showInputMessage="1" error="XLBVal:6=283.23&#13;&#10;" sqref="BM112">
      <formula1>0</formula1>
      <formula2>300</formula2>
    </dataValidation>
    <dataValidation errorStyle="information" type="textLength" allowBlank="1" showInputMessage="1" error="XLBVal:6=224.08&#13;&#10;" sqref="BM110">
      <formula1>0</formula1>
      <formula2>300</formula2>
    </dataValidation>
    <dataValidation errorStyle="information" type="textLength" allowBlank="1" showInputMessage="1" error="XLBVal:6=1863.49&#13;&#10;" sqref="BM102 BM109">
      <formula1>0</formula1>
      <formula2>300</formula2>
    </dataValidation>
    <dataValidation errorStyle="information" type="textLength" allowBlank="1" showInputMessage="1" error="XLBVal:6=2560.08&#13;&#10;" sqref="BM101">
      <formula1>0</formula1>
      <formula2>300</formula2>
    </dataValidation>
    <dataValidation errorStyle="information" type="textLength" allowBlank="1" showInputMessage="1" error="XLBVal:6=2646.96&#13;&#10;" sqref="BM100">
      <formula1>0</formula1>
      <formula2>300</formula2>
    </dataValidation>
    <dataValidation errorStyle="information" type="textLength" allowBlank="1" showInputMessage="1" error="XLBVal:6=703.34&#13;&#10;" sqref="BM99">
      <formula1>0</formula1>
      <formula2>300</formula2>
    </dataValidation>
    <dataValidation errorStyle="information" type="textLength" allowBlank="1" showInputMessage="1" error="XLBVal:6=672&#13;&#10;" sqref="BM94">
      <formula1>0</formula1>
      <formula2>300</formula2>
    </dataValidation>
    <dataValidation errorStyle="information" type="textLength" allowBlank="1" showInputMessage="1" error="XLBVal:6=5082.74&#13;&#10;" sqref="BM78">
      <formula1>0</formula1>
      <formula2>300</formula2>
    </dataValidation>
    <dataValidation errorStyle="information" type="textLength" allowBlank="1" showInputMessage="1" error="XLBVal:6=990.69&#13;&#10;" sqref="BM71">
      <formula1>0</formula1>
      <formula2>300</formula2>
    </dataValidation>
    <dataValidation errorStyle="information" type="textLength" allowBlank="1" showInputMessage="1" error="XLBVal:6=522.99&#13;&#10;" sqref="BM64">
      <formula1>0</formula1>
      <formula2>300</formula2>
    </dataValidation>
    <dataValidation errorStyle="information" type="textLength" allowBlank="1" showInputMessage="1" error="XLBVal:6=5816.18&#13;&#10;" sqref="BM47">
      <formula1>0</formula1>
      <formula2>300</formula2>
    </dataValidation>
    <dataValidation errorStyle="information" type="textLength" allowBlank="1" showInputMessage="1" error="XLBVal:6=284.14&#13;&#10;" sqref="BM38">
      <formula1>0</formula1>
      <formula2>300</formula2>
    </dataValidation>
    <dataValidation errorStyle="information" type="textLength" allowBlank="1" showInputMessage="1" error="XLBVal:6=1915&#13;&#10;" sqref="BM29">
      <formula1>0</formula1>
      <formula2>300</formula2>
    </dataValidation>
    <dataValidation errorStyle="information" type="textLength" allowBlank="1" showInputMessage="1" showErrorMessage="1" error="XLBVal:6=5831.73&#13;&#10;" sqref="BL163">
      <formula1>0</formula1>
      <formula2>300</formula2>
    </dataValidation>
    <dataValidation errorStyle="information" type="textLength" allowBlank="1" showInputMessage="1" error="XLBVal:6=-32938.16&#13;&#10;" sqref="BL161">
      <formula1>0</formula1>
      <formula2>300</formula2>
    </dataValidation>
    <dataValidation errorStyle="information" type="textLength" allowBlank="1" showInputMessage="1" showErrorMessage="1" error="XLBVal:6=248.61&#13;&#10;" sqref="BL157">
      <formula1>0</formula1>
      <formula2>300</formula2>
    </dataValidation>
    <dataValidation errorStyle="information" type="textLength" allowBlank="1" showInputMessage="1" showErrorMessage="1" error="XLBVal:6=470&#13;&#10;" sqref="BL156">
      <formula1>0</formula1>
      <formula2>300</formula2>
    </dataValidation>
    <dataValidation errorStyle="information" type="textLength" allowBlank="1" showInputMessage="1" showErrorMessage="1" error="XLBVal:6=10.12&#13;&#10;" sqref="BL153">
      <formula1>0</formula1>
      <formula2>300</formula2>
    </dataValidation>
    <dataValidation errorStyle="information" type="textLength" allowBlank="1" showInputMessage="1" showErrorMessage="1" error="XLBVal:6=83.99&#13;&#10;" sqref="BL152">
      <formula1>0</formula1>
      <formula2>300</formula2>
    </dataValidation>
    <dataValidation errorStyle="information" type="textLength" allowBlank="1" showInputMessage="1" showErrorMessage="1" error="XLBVal:6=423.37&#13;&#10;" sqref="BL151">
      <formula1>0</formula1>
      <formula2>300</formula2>
    </dataValidation>
    <dataValidation errorStyle="information" type="textLength" allowBlank="1" showInputMessage="1" showErrorMessage="1" error="XLBVal:6=26.98&#13;&#10;" sqref="BL150">
      <formula1>0</formula1>
      <formula2>300</formula2>
    </dataValidation>
    <dataValidation errorStyle="information" type="textLength" allowBlank="1" showInputMessage="1" showErrorMessage="1" error="XLBVal:6=-110.94&#13;&#10;" sqref="BL149">
      <formula1>0</formula1>
      <formula2>300</formula2>
    </dataValidation>
    <dataValidation errorStyle="information" type="textLength" allowBlank="1" showInputMessage="1" showErrorMessage="1" error="XLBVal:6=13.13&#13;&#10;" sqref="BL146">
      <formula1>0</formula1>
      <formula2>300</formula2>
    </dataValidation>
    <dataValidation errorStyle="information" type="textLength" allowBlank="1" showInputMessage="1" showErrorMessage="1" error="XLBVal:6=7.98&#13;&#10;" sqref="BL144">
      <formula1>0</formula1>
      <formula2>300</formula2>
    </dataValidation>
    <dataValidation errorStyle="information" type="textLength" allowBlank="1" showInputMessage="1" showErrorMessage="1" error="XLBVal:6=173.95&#13;&#10;" sqref="BL143">
      <formula1>0</formula1>
      <formula2>300</formula2>
    </dataValidation>
    <dataValidation errorStyle="information" type="textLength" allowBlank="1" showInputMessage="1" showErrorMessage="1" error="XLBVal:6=526.13&#13;&#10;" sqref="BL142">
      <formula1>0</formula1>
      <formula2>300</formula2>
    </dataValidation>
    <dataValidation errorStyle="information" type="textLength" allowBlank="1" showInputMessage="1" error="XLBVal:6=16828.9&#13;&#10;" sqref="BL139">
      <formula1>0</formula1>
      <formula2>300</formula2>
    </dataValidation>
    <dataValidation errorStyle="information" type="textLength" allowBlank="1" showInputMessage="1" error="XLBVal:6=262.59&#13;&#10;" sqref="BL134">
      <formula1>0</formula1>
      <formula2>300</formula2>
    </dataValidation>
    <dataValidation errorStyle="information" type="textLength" allowBlank="1" showInputMessage="1" error="XLBVal:6=666.53&#13;&#10;" sqref="BL120">
      <formula1>0</formula1>
      <formula2>300</formula2>
    </dataValidation>
    <dataValidation errorStyle="information" type="textLength" allowBlank="1" showInputMessage="1" error="XLBVal:6=1344.45&#13;&#10;" sqref="BL119">
      <formula1>0</formula1>
      <formula2>300</formula2>
    </dataValidation>
    <dataValidation errorStyle="information" type="textLength" allowBlank="1" showInputMessage="1" error="XLBVal:6=837.86&#13;&#10;" sqref="BL118">
      <formula1>0</formula1>
      <formula2>300</formula2>
    </dataValidation>
    <dataValidation errorStyle="information" type="textLength" allowBlank="1" showInputMessage="1" error="XLBVal:6=367.05&#13;&#10;" sqref="BL117">
      <formula1>0</formula1>
      <formula2>300</formula2>
    </dataValidation>
    <dataValidation errorStyle="information" type="textLength" allowBlank="1" showInputMessage="1" error="XLBVal:6=40.77&#13;&#10;" sqref="BL116">
      <formula1>0</formula1>
      <formula2>300</formula2>
    </dataValidation>
    <dataValidation errorStyle="information" type="textLength" allowBlank="1" showInputMessage="1" error="XLBVal:6=113.42&#13;&#10;" sqref="BL115">
      <formula1>0</formula1>
      <formula2>300</formula2>
    </dataValidation>
    <dataValidation errorStyle="information" type="textLength" allowBlank="1" showInputMessage="1" error="XLBVal:6=944.18&#13;&#10;" sqref="BL114">
      <formula1>0</formula1>
      <formula2>300</formula2>
    </dataValidation>
    <dataValidation errorStyle="information" type="textLength" allowBlank="1" showInputMessage="1" error="XLBVal:6=135.59&#13;&#10;" sqref="BL113">
      <formula1>0</formula1>
      <formula2>300</formula2>
    </dataValidation>
    <dataValidation errorStyle="information" type="textLength" allowBlank="1" showInputMessage="1" error="XLBVal:6=123&#13;&#10;" sqref="BL112">
      <formula1>0</formula1>
      <formula2>300</formula2>
    </dataValidation>
    <dataValidation errorStyle="information" type="textLength" allowBlank="1" showInputMessage="1" error="XLBVal:6=158.74&#13;&#10;" sqref="BL110">
      <formula1>0</formula1>
      <formula2>300</formula2>
    </dataValidation>
    <dataValidation errorStyle="information" type="textLength" allowBlank="1" showInputMessage="1" error="XLBVal:6=1600.13&#13;&#10;" sqref="BL109">
      <formula1>0</formula1>
      <formula2>300</formula2>
    </dataValidation>
    <dataValidation errorStyle="information" type="textLength" allowBlank="1" showInputMessage="1" error="XLBVal:6=1664.13&#13;&#10;" sqref="BL102">
      <formula1>0</formula1>
      <formula2>300</formula2>
    </dataValidation>
    <dataValidation errorStyle="information" type="textLength" allowBlank="1" showInputMessage="1" error="XLBVal:6=2682.9&#13;&#10;" sqref="BL101">
      <formula1>0</formula1>
      <formula2>300</formula2>
    </dataValidation>
    <dataValidation errorStyle="information" type="textLength" allowBlank="1" showInputMessage="1" error="XLBVal:6=2517.52&#13;&#10;" sqref="BL100">
      <formula1>0</formula1>
      <formula2>300</formula2>
    </dataValidation>
    <dataValidation errorStyle="information" type="textLength" allowBlank="1" showInputMessage="1" error="XLBVal:6=768.02&#13;&#10;" sqref="BL99">
      <formula1>0</formula1>
      <formula2>300</formula2>
    </dataValidation>
    <dataValidation errorStyle="information" type="textLength" allowBlank="1" showInputMessage="1" error="XLBVal:6=999.99&#13;&#10;" sqref="BL98">
      <formula1>0</formula1>
      <formula2>300</formula2>
    </dataValidation>
    <dataValidation errorStyle="information" type="textLength" allowBlank="1" showInputMessage="1" error="XLBVal:6=-136&#13;&#10;" sqref="BL97">
      <formula1>0</formula1>
      <formula2>300</formula2>
    </dataValidation>
    <dataValidation errorStyle="information" type="textLength" allowBlank="1" showInputMessage="1" error="XLBVal:6=48&#13;&#10;" sqref="BL94">
      <formula1>0</formula1>
      <formula2>300</formula2>
    </dataValidation>
    <dataValidation errorStyle="information" type="textLength" allowBlank="1" showInputMessage="1" error="XLBVal:6=1128.95&#13;&#10;" sqref="BL58">
      <formula1>0</formula1>
      <formula2>300</formula2>
    </dataValidation>
    <dataValidation errorStyle="information" type="textLength" allowBlank="1" showInputMessage="1" error="XLBVal:6=2022.6&#13;&#10;" sqref="BL57">
      <formula1>0</formula1>
      <formula2>300</formula2>
    </dataValidation>
    <dataValidation errorStyle="information" type="textLength" allowBlank="1" showInputMessage="1" error="XLBVal:6=40044.81&#13;&#10;" sqref="BL56">
      <formula1>0</formula1>
      <formula2>300</formula2>
    </dataValidation>
    <dataValidation errorStyle="information" type="textLength" allowBlank="1" showInputMessage="1" error="XLBVal:6=6358.77&#13;&#10;" sqref="BL42">
      <formula1>0</formula1>
      <formula2>300</formula2>
    </dataValidation>
    <dataValidation errorStyle="information" type="textLength" allowBlank="1" showInputMessage="1" error="XLBVal:6=493.04&#13;&#10;" sqref="BJ120">
      <formula1>0</formula1>
      <formula2>300</formula2>
    </dataValidation>
    <dataValidation errorStyle="information" type="textLength" allowBlank="1" showInputMessage="1" showErrorMessage="1" error="XLBVal:6=1469.26&#13;&#10;" sqref="BJ163">
      <formula1>0</formula1>
      <formula2>300</formula2>
    </dataValidation>
    <dataValidation errorStyle="information" type="textLength" allowBlank="1" showInputMessage="1" showErrorMessage="1" error="XLBVal:6=400.01&#13;&#10;" sqref="BJ157">
      <formula1>0</formula1>
      <formula2>300</formula2>
    </dataValidation>
    <dataValidation errorStyle="information" type="textLength" allowBlank="1" showInputMessage="1" showErrorMessage="1" error="XLBVal:6=516.88&#13;&#10;" sqref="BJ156">
      <formula1>0</formula1>
      <formula2>300</formula2>
    </dataValidation>
    <dataValidation errorStyle="information" type="textLength" allowBlank="1" showInputMessage="1" showErrorMessage="1" error="XLBVal:6=181.22&#13;&#10;" sqref="BJ155">
      <formula1>0</formula1>
      <formula2>300</formula2>
    </dataValidation>
    <dataValidation errorStyle="information" type="textLength" allowBlank="1" showInputMessage="1" showErrorMessage="1" error="XLBVal:6=42&#13;&#10;" sqref="BJ154">
      <formula1>0</formula1>
      <formula2>300</formula2>
    </dataValidation>
    <dataValidation errorStyle="information" type="textLength" allowBlank="1" showInputMessage="1" showErrorMessage="1" error="XLBVal:6=8&#13;&#10;" sqref="BJ152">
      <formula1>0</formula1>
      <formula2>300</formula2>
    </dataValidation>
    <dataValidation errorStyle="information" type="textLength" allowBlank="1" showInputMessage="1" showErrorMessage="1" error="XLBVal:6=59.28&#13;&#10;" sqref="BJ151">
      <formula1>0</formula1>
      <formula2>300</formula2>
    </dataValidation>
    <dataValidation errorStyle="information" type="textLength" allowBlank="1" showInputMessage="1" showErrorMessage="1" error="XLBVal:6=193.73&#13;&#10;" sqref="BJ150">
      <formula1>0</formula1>
      <formula2>300</formula2>
    </dataValidation>
    <dataValidation errorStyle="information" type="textLength" allowBlank="1" showInputMessage="1" showErrorMessage="1" error="XLBVal:6=284.99&#13;&#10;" sqref="BJ149">
      <formula1>0</formula1>
      <formula2>300</formula2>
    </dataValidation>
    <dataValidation errorStyle="information" type="textLength" allowBlank="1" showInputMessage="1" showErrorMessage="1" error="XLBVal:6=441.59&#13;&#10;" sqref="BJ146">
      <formula1>0</formula1>
      <formula2>300</formula2>
    </dataValidation>
    <dataValidation errorStyle="information" type="textLength" allowBlank="1" showInputMessage="1" showErrorMessage="1" error="XLBVal:6=320&#13;&#10;" sqref="BJ144">
      <formula1>0</formula1>
      <formula2>300</formula2>
    </dataValidation>
    <dataValidation errorStyle="information" type="textLength" allowBlank="1" showInputMessage="1" showErrorMessage="1" error="XLBVal:6=311.95&#13;&#10;" sqref="BJ143">
      <formula1>0</formula1>
      <formula2>300</formula2>
    </dataValidation>
    <dataValidation errorStyle="information" type="textLength" allowBlank="1" showInputMessage="1" showErrorMessage="1" error="XLBVal:6=473.6&#13;&#10;" sqref="BJ142">
      <formula1>0</formula1>
      <formula2>300</formula2>
    </dataValidation>
    <dataValidation errorStyle="information" type="textLength" allowBlank="1" showInputMessage="1" error="XLBVal:6=820.35&#13;&#10;" sqref="BJ134">
      <formula1>0</formula1>
      <formula2>300</formula2>
    </dataValidation>
    <dataValidation errorStyle="information" type="textLength" allowBlank="1" showInputMessage="1" error="XLBVal:6=4085.54&#13;&#10;" sqref="BJ119">
      <formula1>0</formula1>
      <formula2>300</formula2>
    </dataValidation>
    <dataValidation errorStyle="information" type="textLength" allowBlank="1" showInputMessage="1" error="XLBVal:6=419.34&#13;&#10;" sqref="BJ118">
      <formula1>0</formula1>
      <formula2>300</formula2>
    </dataValidation>
    <dataValidation errorStyle="information" type="textLength" allowBlank="1" showInputMessage="1" error="XLBVal:6=341.26&#13;&#10;" sqref="BJ117">
      <formula1>0</formula1>
      <formula2>300</formula2>
    </dataValidation>
    <dataValidation errorStyle="information" type="textLength" allowBlank="1" showInputMessage="1" error="XLBVal:6=88.86&#13;&#10;" sqref="BJ115">
      <formula1>0</formula1>
      <formula2>300</formula2>
    </dataValidation>
    <dataValidation errorStyle="information" type="textLength" allowBlank="1" showInputMessage="1" error="XLBVal:6=868.81&#13;&#10;" sqref="BJ114">
      <formula1>0</formula1>
      <formula2>300</formula2>
    </dataValidation>
    <dataValidation errorStyle="information" type="textLength" allowBlank="1" showInputMessage="1" error="XLBVal:6=133.19&#13;&#10;" sqref="BJ113">
      <formula1>0</formula1>
      <formula2>300</formula2>
    </dataValidation>
    <dataValidation errorStyle="information" type="textLength" allowBlank="1" showInputMessage="1" error="XLBVal:6=137.1&#13;&#10;" sqref="BJ112">
      <formula1>0</formula1>
      <formula2>300</formula2>
    </dataValidation>
    <dataValidation errorStyle="information" type="textLength" allowBlank="1" showInputMessage="1" error="XLBVal:6=-672.25&#13;&#10;" sqref="BJ111">
      <formula1>0</formula1>
      <formula2>300</formula2>
    </dataValidation>
    <dataValidation errorStyle="information" type="textLength" allowBlank="1" showInputMessage="1" error="XLBVal:6=154.54&#13;&#10;" sqref="BJ110">
      <formula1>0</formula1>
      <formula2>300</formula2>
    </dataValidation>
    <dataValidation errorStyle="information" type="textLength" allowBlank="1" showInputMessage="1" error="XLBVal:6=1726.13&#13;&#10;" sqref="BJ109">
      <formula1>0</formula1>
      <formula2>300</formula2>
    </dataValidation>
    <dataValidation errorStyle="information" type="textLength" allowBlank="1" showInputMessage="1" error="XLBVal:6=1662.13&#13;&#10;" sqref="BJ102">
      <formula1>0</formula1>
      <formula2>300</formula2>
    </dataValidation>
    <dataValidation errorStyle="information" type="textLength" allowBlank="1" showInputMessage="1" error="XLBVal:6=2418.54&#13;&#10;" sqref="BJ100">
      <formula1>0</formula1>
      <formula2>300</formula2>
    </dataValidation>
    <dataValidation errorStyle="information" type="textLength" allowBlank="1" showInputMessage="1" error="XLBVal:6=741.05&#13;&#10;" sqref="BJ99">
      <formula1>0</formula1>
      <formula2>300</formula2>
    </dataValidation>
    <dataValidation errorStyle="information" type="textLength" allowBlank="1" showInputMessage="1" error="XLBVal:6=2645&#13;&#10;" sqref="BJ97">
      <formula1>0</formula1>
      <formula2>300</formula2>
    </dataValidation>
    <dataValidation errorStyle="information" type="textLength" allowBlank="1" showInputMessage="1" error="XLBVal:6=490&#13;&#10;" sqref="BJ94">
      <formula1>0</formula1>
      <formula2>300</formula2>
    </dataValidation>
    <dataValidation errorStyle="information" type="textLength" allowBlank="1" showInputMessage="1" error="XLBVal:6=506.01&#13;&#10;" sqref="BJ56">
      <formula1>0</formula1>
      <formula2>300</formula2>
    </dataValidation>
    <dataValidation errorStyle="information" type="textLength" allowBlank="1" showInputMessage="1" error="XLBVal:6=-1983.58&#13;&#10;" sqref="BJ38">
      <formula1>0</formula1>
      <formula2>300</formula2>
    </dataValidation>
    <dataValidation errorStyle="information" type="textLength" allowBlank="1" showInputMessage="1" showErrorMessage="1" error="XLBVal:6=5110.39&#13;&#10;" sqref="BI163">
      <formula1>0</formula1>
      <formula2>300</formula2>
    </dataValidation>
    <dataValidation errorStyle="information" type="textLength" allowBlank="1" showInputMessage="1" showErrorMessage="1" error="XLBVal:6=8764.2&#13;&#10;" sqref="BH163">
      <formula1>0</formula1>
      <formula2>300</formula2>
    </dataValidation>
    <dataValidation errorStyle="information" type="textLength" allowBlank="1" showInputMessage="1" error="XLBVal:6=51715.26&#13;&#10;" sqref="BI161">
      <formula1>0</formula1>
      <formula2>300</formula2>
    </dataValidation>
    <dataValidation errorStyle="information" type="textLength" allowBlank="1" showInputMessage="1" showErrorMessage="1" error="XLBVal:6=-34834.48&#13;&#10;" sqref="BH161">
      <formula1>0</formula1>
      <formula2>300</formula2>
    </dataValidation>
    <dataValidation errorStyle="information" type="textLength" allowBlank="1" showInputMessage="1" showErrorMessage="1" error="XLBVal:6=300&#13;&#10;" sqref="BI157">
      <formula1>0</formula1>
      <formula2>300</formula2>
    </dataValidation>
    <dataValidation errorStyle="information" type="textLength" allowBlank="1" showInputMessage="1" showErrorMessage="1" error="XLBVal:6=786.73&#13;&#10;" sqref="BI156">
      <formula1>0</formula1>
      <formula2>300</formula2>
    </dataValidation>
    <dataValidation errorStyle="information" type="textLength" allowBlank="1" showInputMessage="1" showErrorMessage="1" error="XLBVal:6=182.87&#13;&#10;" sqref="BH156">
      <formula1>0</formula1>
      <formula2>300</formula2>
    </dataValidation>
    <dataValidation errorStyle="information" type="textLength" allowBlank="1" showInputMessage="1" showErrorMessage="1" error="XLBVal:6=219.06&#13;&#10;" sqref="BI155">
      <formula1>0</formula1>
      <formula2>300</formula2>
    </dataValidation>
    <dataValidation errorStyle="information" type="textLength" allowBlank="1" showInputMessage="1" showErrorMessage="1" error="XLBVal:6=177.49&#13;&#10;" sqref="BH155">
      <formula1>0</formula1>
      <formula2>300</formula2>
    </dataValidation>
    <dataValidation errorStyle="information" type="textLength" allowBlank="1" showInputMessage="1" error="XLBVal:6=843.59&#13;&#10;" sqref="BH153">
      <formula1>0</formula1>
      <formula2>300</formula2>
    </dataValidation>
    <dataValidation errorStyle="information" type="textLength" allowBlank="1" showInputMessage="1" error="XLBVal:6=147.69&#13;&#10;" sqref="BI151">
      <formula1>0</formula1>
      <formula2>300</formula2>
    </dataValidation>
    <dataValidation errorStyle="information" type="textLength" allowBlank="1" showInputMessage="1" showErrorMessage="1" error="XLBVal:6=112.7&#13;&#10;" sqref="BH151">
      <formula1>0</formula1>
      <formula2>300</formula2>
    </dataValidation>
    <dataValidation errorStyle="information" type="textLength" allowBlank="1" showInputMessage="1" error="XLBVal:6=292.24&#13;&#10;" sqref="BI150">
      <formula1>0</formula1>
      <formula2>300</formula2>
    </dataValidation>
    <dataValidation errorStyle="information" type="textLength" allowBlank="1" showInputMessage="1" showErrorMessage="1" error="XLBVal:6=212.81&#13;&#10;" sqref="BI149">
      <formula1>0</formula1>
      <formula2>300</formula2>
    </dataValidation>
    <dataValidation errorStyle="information" type="textLength" allowBlank="1" showInputMessage="1" showErrorMessage="1" error="XLBVal:6=1371.7&#13;&#10;" sqref="BH149">
      <formula1>0</formula1>
      <formula2>300</formula2>
    </dataValidation>
    <dataValidation errorStyle="information" type="textLength" allowBlank="1" showInputMessage="1" showErrorMessage="1" error="XLBVal:6=118.99&#13;&#10;" sqref="BI148">
      <formula1>0</formula1>
      <formula2>300</formula2>
    </dataValidation>
    <dataValidation errorStyle="information" type="textLength" allowBlank="1" showInputMessage="1" showErrorMessage="1" error="XLBVal:6=83.71&#13;&#10;" sqref="BI147">
      <formula1>0</formula1>
      <formula2>300</formula2>
    </dataValidation>
    <dataValidation errorStyle="information" type="textLength" allowBlank="1" showInputMessage="1" showErrorMessage="1" error="XLBVal:6=709.62&#13;&#10;" sqref="BI146">
      <formula1>0</formula1>
      <formula2>300</formula2>
    </dataValidation>
    <dataValidation errorStyle="information" type="textLength" allowBlank="1" showInputMessage="1" showErrorMessage="1" error="XLBVal:6=387.7&#13;&#10;" sqref="BH146">
      <formula1>0</formula1>
      <formula2>300</formula2>
    </dataValidation>
    <dataValidation errorStyle="information" type="textLength" allowBlank="1" showInputMessage="1" showErrorMessage="1" error="XLBVal:6=53&#13;&#10;" sqref="BI144">
      <formula1>0</formula1>
      <formula2>300</formula2>
    </dataValidation>
    <dataValidation errorStyle="information" type="textLength" allowBlank="1" showInputMessage="1" error="XLBVal:6=2596.83&#13;&#10;" sqref="BH144">
      <formula1>0</formula1>
      <formula2>300</formula2>
    </dataValidation>
    <dataValidation errorStyle="information" type="textLength" allowBlank="1" showInputMessage="1" error="XLBVal:6=258.77&#13;&#10;" sqref="BI143">
      <formula1>0</formula1>
      <formula2>300</formula2>
    </dataValidation>
    <dataValidation errorStyle="information" type="textLength" allowBlank="1" showInputMessage="1" showErrorMessage="1" error="XLBVal:6=244.07&#13;&#10;" sqref="BH143">
      <formula1>0</formula1>
      <formula2>300</formula2>
    </dataValidation>
    <dataValidation errorStyle="information" type="textLength" allowBlank="1" showInputMessage="1" showErrorMessage="1" error="XLBVal:6=333.31&#13;&#10;" sqref="BI142">
      <formula1>0</formula1>
      <formula2>300</formula2>
    </dataValidation>
    <dataValidation errorStyle="information" type="textLength" allowBlank="1" showInputMessage="1" showErrorMessage="1" error="XLBVal:6=454.99&#13;&#10;" sqref="BH142">
      <formula1>0</formula1>
      <formula2>300</formula2>
    </dataValidation>
    <dataValidation errorStyle="information" type="textLength" allowBlank="1" showInputMessage="1" error="XLBVal:6=-442.28&#13;&#10;" sqref="BF149">
      <formula1>0</formula1>
      <formula2>300</formula2>
    </dataValidation>
    <dataValidation errorStyle="information" type="textLength" allowBlank="1" showInputMessage="1" error="XLBVal:6=-912.84&#13;&#10;" sqref="BF144">
      <formula1>0</formula1>
      <formula2>300</formula2>
    </dataValidation>
    <dataValidation errorStyle="information" type="textLength" allowBlank="1" showInputMessage="1" error="XLBVal:6=37545.75&#13;&#10;" sqref="BH138">
      <formula1>0</formula1>
      <formula2>300</formula2>
    </dataValidation>
    <dataValidation errorStyle="information" type="textLength" allowBlank="1" showInputMessage="1" error="XLBVal:6=1154.09&#13;&#10;" sqref="BI134">
      <formula1>0</formula1>
      <formula2>300</formula2>
    </dataValidation>
    <dataValidation errorStyle="information" type="textLength" allowBlank="1" showInputMessage="1" error="XLBVal:6=433.99&#13;&#10;" sqref="BH134">
      <formula1>0</formula1>
      <formula2>300</formula2>
    </dataValidation>
    <dataValidation errorStyle="information" type="textLength" allowBlank="1" showInputMessage="1" error="XLBVal:6=882.33&#13;&#10;" sqref="BI120">
      <formula1>0</formula1>
      <formula2>300</formula2>
    </dataValidation>
    <dataValidation errorStyle="information" type="textLength" allowBlank="1" showInputMessage="1" error="XLBVal:6=663.86&#13;&#10;" sqref="BH120">
      <formula1>0</formula1>
      <formula2>300</formula2>
    </dataValidation>
    <dataValidation errorStyle="information" type="textLength" allowBlank="1" showInputMessage="1" error="XLBVal:6=204.1&#13;&#10;" sqref="BI119">
      <formula1>0</formula1>
      <formula2>300</formula2>
    </dataValidation>
    <dataValidation errorStyle="information" type="textLength" allowBlank="1" showInputMessage="1" error="XLBVal:6=965.6&#13;&#10;" sqref="BH119">
      <formula1>0</formula1>
      <formula2>300</formula2>
    </dataValidation>
    <dataValidation errorStyle="information" type="textLength" allowBlank="1" showInputMessage="1" error="XLBVal:6=570.44&#13;&#10;" sqref="BI118">
      <formula1>0</formula1>
      <formula2>300</formula2>
    </dataValidation>
    <dataValidation errorStyle="information" type="textLength" allowBlank="1" showInputMessage="1" error="XLBVal:6=542.91&#13;&#10;" sqref="BH118">
      <formula1>0</formula1>
      <formula2>300</formula2>
    </dataValidation>
    <dataValidation errorStyle="information" type="textLength" allowBlank="1" showInputMessage="1" error="XLBVal:6=49.91&#13;&#10;" sqref="BI117">
      <formula1>0</formula1>
      <formula2>300</formula2>
    </dataValidation>
    <dataValidation errorStyle="information" type="textLength" allowBlank="1" showInputMessage="1" error="XLBVal:6=221.96&#13;&#10;" sqref="BH117">
      <formula1>0</formula1>
      <formula2>300</formula2>
    </dataValidation>
    <dataValidation errorStyle="information" type="textLength" allowBlank="1" showInputMessage="1" error="XLBVal:6=81.71&#13;&#10;" sqref="BI116:BJ116">
      <formula1>0</formula1>
      <formula2>300</formula2>
    </dataValidation>
    <dataValidation errorStyle="information" type="textLength" allowBlank="1" showInputMessage="1" error="XLBVal:6=403.78&#13;&#10;" sqref="BH116">
      <formula1>0</formula1>
      <formula2>300</formula2>
    </dataValidation>
    <dataValidation errorStyle="information" type="textLength" allowBlank="1" showInputMessage="1" error="XLBVal:6=98.74&#13;&#10;" sqref="BI115">
      <formula1>0</formula1>
      <formula2>300</formula2>
    </dataValidation>
    <dataValidation errorStyle="information" type="textLength" allowBlank="1" showInputMessage="1" error="XLBVal:6=69.85&#13;&#10;" sqref="BH115">
      <formula1>0</formula1>
      <formula2>300</formula2>
    </dataValidation>
    <dataValidation errorStyle="information" type="textLength" allowBlank="1" showInputMessage="1" error="XLBVal:6=667.82&#13;&#10;" sqref="BI114">
      <formula1>0</formula1>
      <formula2>300</formula2>
    </dataValidation>
    <dataValidation errorStyle="information" type="textLength" allowBlank="1" showInputMessage="1" error="XLBVal:6=645.27&#13;&#10;" sqref="BH114">
      <formula1>0</formula1>
      <formula2>300</formula2>
    </dataValidation>
    <dataValidation errorStyle="information" type="textLength" allowBlank="1" showInputMessage="1" error="XLBVal:6=136.79&#13;&#10;" sqref="BI113">
      <formula1>0</formula1>
      <formula2>300</formula2>
    </dataValidation>
    <dataValidation errorStyle="information" type="textLength" allowBlank="1" showInputMessage="1" error="XLBVal:6=172.79&#13;&#10;" sqref="BH113">
      <formula1>0</formula1>
      <formula2>300</formula2>
    </dataValidation>
    <dataValidation errorStyle="information" type="textLength" allowBlank="1" showInputMessage="1" error="XLBVal:6=161.63&#13;&#10;" sqref="BI112">
      <formula1>0</formula1>
      <formula2>300</formula2>
    </dataValidation>
    <dataValidation errorStyle="information" type="textLength" allowBlank="1" showInputMessage="1" error="XLBVal:6=201.41&#13;&#10;" sqref="BH112">
      <formula1>0</formula1>
      <formula2>300</formula2>
    </dataValidation>
    <dataValidation errorStyle="information" type="textLength" allowBlank="1" showInputMessage="1" error="XLBVal:6=482.17&#13;&#10;" sqref="BI111">
      <formula1>0</formula1>
      <formula2>300</formula2>
    </dataValidation>
    <dataValidation errorStyle="information" type="textLength" allowBlank="1" showInputMessage="1" error="XLBVal:6=286.44&#13;&#10;" sqref="BH111">
      <formula1>0</formula1>
      <formula2>300</formula2>
    </dataValidation>
    <dataValidation errorStyle="information" type="textLength" allowBlank="1" showInputMessage="1" error="XLBVal:6=220.78&#13;&#10;" sqref="BI110">
      <formula1>0</formula1>
      <formula2>300</formula2>
    </dataValidation>
    <dataValidation errorStyle="information" type="textLength" allowBlank="1" showInputMessage="1" error="XLBVal:6=1198.09&#13;&#10;" sqref="BH110">
      <formula1>0</formula1>
      <formula2>300</formula2>
    </dataValidation>
    <dataValidation errorStyle="information" type="textLength" allowBlank="1" showInputMessage="1" error="XLBVal:6=1678.13&#13;&#10;" sqref="BI109">
      <formula1>0</formula1>
      <formula2>300</formula2>
    </dataValidation>
    <dataValidation errorStyle="information" type="textLength" allowBlank="1" showInputMessage="1" error="XLBVal:6=1672.13&#13;&#10;" sqref="BI102">
      <formula1>0</formula1>
      <formula2>300</formula2>
    </dataValidation>
    <dataValidation errorStyle="information" type="textLength" allowBlank="1" showInputMessage="1" error="XLBVal:6=1658.15&#13;&#10;" sqref="BH102 BH109">
      <formula1>0</formula1>
      <formula2>300</formula2>
    </dataValidation>
    <dataValidation errorStyle="information" type="textLength" allowBlank="1" showInputMessage="1" error="XLBVal:6=2572.11&#13;&#10;" sqref="BI101:BJ101 BP101">
      <formula1>0</formula1>
      <formula2>300</formula2>
    </dataValidation>
    <dataValidation errorStyle="information" type="textLength" allowBlank="1" showInputMessage="1" error="XLBVal:6=2516.11&#13;&#10;" sqref="BH101">
      <formula1>0</formula1>
      <formula2>300</formula2>
    </dataValidation>
    <dataValidation errorStyle="information" type="textLength" allowBlank="1" showInputMessage="1" error="XLBVal:6=2245.93&#13;&#10;" sqref="BI100">
      <formula1>0</formula1>
      <formula2>300</formula2>
    </dataValidation>
    <dataValidation errorStyle="information" type="textLength" allowBlank="1" showInputMessage="1" error="XLBVal:6=2224.95&#13;&#10;" sqref="BH100">
      <formula1>0</formula1>
      <formula2>300</formula2>
    </dataValidation>
    <dataValidation errorStyle="information" type="textLength" allowBlank="1" showInputMessage="1" error="XLBVal:6=808.42&#13;&#10;" sqref="BI99">
      <formula1>0</formula1>
      <formula2>300</formula2>
    </dataValidation>
    <dataValidation errorStyle="information" type="textLength" allowBlank="1" showInputMessage="1" error="XLBVal:6=985.16&#13;&#10;" sqref="BH99">
      <formula1>0</formula1>
      <formula2>300</formula2>
    </dataValidation>
    <dataValidation errorStyle="information" type="textLength" allowBlank="1" showInputMessage="1" error="XLBVal:6=75&#13;&#10;" sqref="BH97">
      <formula1>0</formula1>
      <formula2>300</formula2>
    </dataValidation>
    <dataValidation errorStyle="information" type="textLength" allowBlank="1" showInputMessage="1" error="XLBVal:6=1062.68&#13;&#10;" sqref="BI94">
      <formula1>0</formula1>
      <formula2>300</formula2>
    </dataValidation>
    <dataValidation errorStyle="information" type="textLength" allowBlank="1" showInputMessage="1" error="XLBVal:6=444.98&#13;&#10;" sqref="BI92">
      <formula1>0</formula1>
      <formula2>300</formula2>
    </dataValidation>
    <dataValidation errorStyle="information" type="textLength" allowBlank="1" showInputMessage="1" error="XLBVal:6=4780.77&#13;&#10;" sqref="BH88">
      <formula1>0</formula1>
      <formula2>300</formula2>
    </dataValidation>
    <dataValidation errorStyle="information" type="textLength" allowBlank="1" showInputMessage="1" error="XLBVal:6=2175.14&#13;&#10;" sqref="BH78">
      <formula1>0</formula1>
      <formula2>300</formula2>
    </dataValidation>
    <dataValidation errorStyle="information" type="textLength" allowBlank="1" showInputMessage="1" error="XLBVal:6=3780.11&#13;&#10;" sqref="BH71">
      <formula1>0</formula1>
      <formula2>300</formula2>
    </dataValidation>
    <dataValidation errorStyle="information" type="textLength" allowBlank="1" showInputMessage="1" error="XLBVal:6=24.34&#13;&#10;" sqref="BH64">
      <formula1>0</formula1>
      <formula2>300</formula2>
    </dataValidation>
    <dataValidation errorStyle="information" type="textLength" allowBlank="1" showInputMessage="1" error="XLBVal:6=40289.74&#13;&#10;" sqref="BH60">
      <formula1>0</formula1>
      <formula2>300</formula2>
    </dataValidation>
    <dataValidation errorStyle="information" type="textLength" allowBlank="1" showInputMessage="1" error="XLBVal:6=5491.7&#13;&#10;" sqref="BH48">
      <formula1>0</formula1>
      <formula2>300</formula2>
    </dataValidation>
    <dataValidation errorStyle="information" type="textLength" allowBlank="1" showInputMessage="1" error="XLBVal:6=11074.93&#13;&#10;" sqref="BH47">
      <formula1>0</formula1>
      <formula2>300</formula2>
    </dataValidation>
    <dataValidation errorStyle="information" type="textLength" allowBlank="1" showInputMessage="1" error="XLBVal:6=1983.58&#13;&#10;" sqref="BI38">
      <formula1>0</formula1>
      <formula2>300</formula2>
    </dataValidation>
    <dataValidation errorStyle="information" type="textLength" allowBlank="1" showInputMessage="1" error="XLBVal:6=595.98&#13;&#10;" sqref="BI32">
      <formula1>0</formula1>
      <formula2>300</formula2>
    </dataValidation>
    <dataValidation errorStyle="information" type="textLength" allowBlank="1" showInputMessage="1" showErrorMessage="1" error="XLBVal:6=5845.52&#13;&#10;" sqref="BE163">
      <formula1>0</formula1>
      <formula2>300</formula2>
    </dataValidation>
    <dataValidation errorStyle="information" type="textLength" allowBlank="1" showInputMessage="1" showErrorMessage="1" error="XLBVal:6=-37604.46&#13;&#10;" sqref="BE161">
      <formula1>0</formula1>
      <formula2>300</formula2>
    </dataValidation>
    <dataValidation errorStyle="information" type="textLength" allowBlank="1" showInputMessage="1" showErrorMessage="1" error="XLBVal:6=125&#13;&#10;" sqref="BE157">
      <formula1>0</formula1>
      <formula2>300</formula2>
    </dataValidation>
    <dataValidation errorStyle="information" type="textLength" allowBlank="1" showInputMessage="1" error="XLBVal:6=307.01&#13;&#10;" sqref="BE156">
      <formula1>0</formula1>
      <formula2>300</formula2>
    </dataValidation>
    <dataValidation errorStyle="information" type="textLength" allowBlank="1" showInputMessage="1" error="XLBVal:6=420.57&#13;&#10;" sqref="BE155">
      <formula1>0</formula1>
      <formula2>300</formula2>
    </dataValidation>
    <dataValidation errorStyle="information" type="textLength" allowBlank="1" showInputMessage="1" error="XLBVal:6=5472&#13;&#10;" sqref="BE153">
      <formula1>0</formula1>
      <formula2>300</formula2>
    </dataValidation>
    <dataValidation errorStyle="information" type="textLength" allowBlank="1" showInputMessage="1" error="XLBVal:6=40.82&#13;&#10;" sqref="BE151">
      <formula1>0</formula1>
      <formula2>300</formula2>
    </dataValidation>
    <dataValidation errorStyle="information" type="textLength" allowBlank="1" showInputMessage="1" error="XLBVal:6=-137.1&#13;&#10;" sqref="BE149">
      <formula1>0</formula1>
      <formula2>300</formula2>
    </dataValidation>
    <dataValidation errorStyle="information" type="textLength" allowBlank="1" showInputMessage="1" error="XLBVal:6=1020.59&#13;&#10;" sqref="BE146">
      <formula1>0</formula1>
      <formula2>300</formula2>
    </dataValidation>
    <dataValidation errorStyle="information" type="textLength" allowBlank="1" showInputMessage="1" error="XLBVal:6=397.95&#13;&#10;" sqref="BE144">
      <formula1>0</formula1>
      <formula2>300</formula2>
    </dataValidation>
    <dataValidation errorStyle="information" type="textLength" allowBlank="1" showInputMessage="1" error="XLBVal:6=431.58&#13;&#10;" sqref="BE143">
      <formula1>0</formula1>
      <formula2>300</formula2>
    </dataValidation>
    <dataValidation errorStyle="information" type="textLength" allowBlank="1" showInputMessage="1" error="XLBVal:6=785.75&#13;&#10;" sqref="BE142">
      <formula1>0</formula1>
      <formula2>300</formula2>
    </dataValidation>
    <dataValidation errorStyle="information" type="textLength" allowBlank="1" showInputMessage="1" error="XLBVal:6=17794.96&#13;&#10;" sqref="BE139">
      <formula1>0</formula1>
      <formula2>300</formula2>
    </dataValidation>
    <dataValidation errorStyle="information" type="textLength" allowBlank="1" showInputMessage="1" error="XLBVal:6=386.01&#13;&#10;" sqref="BE134">
      <formula1>0</formula1>
      <formula2>300</formula2>
    </dataValidation>
    <dataValidation errorStyle="information" type="textLength" allowBlank="1" showInputMessage="1" error="XLBVal:6=845.1&#13;&#10;" sqref="BE120">
      <formula1>0</formula1>
      <formula2>300</formula2>
    </dataValidation>
    <dataValidation errorStyle="information" type="textLength" allowBlank="1" showInputMessage="1" error="XLBVal:6=415.24&#13;&#10;" sqref="BE119">
      <formula1>0</formula1>
      <formula2>300</formula2>
    </dataValidation>
    <dataValidation errorStyle="information" type="textLength" allowBlank="1" showInputMessage="1" error="XLBVal:6=543.03&#13;&#10;" sqref="BE118">
      <formula1>0</formula1>
      <formula2>300</formula2>
    </dataValidation>
    <dataValidation errorStyle="information" type="textLength" allowBlank="1" showInputMessage="1" error="XLBVal:6=217.71&#13;&#10;" sqref="BE117">
      <formula1>0</formula1>
      <formula2>300</formula2>
    </dataValidation>
    <dataValidation errorStyle="information" type="textLength" allowBlank="1" showInputMessage="1" error="XLBVal:6=781.94&#13;&#10;" sqref="BE116">
      <formula1>0</formula1>
      <formula2>300</formula2>
    </dataValidation>
    <dataValidation errorStyle="information" type="textLength" allowBlank="1" showInputMessage="1" error="XLBVal:6=154.1&#13;&#10;" sqref="BE115">
      <formula1>0</formula1>
      <formula2>300</formula2>
    </dataValidation>
    <dataValidation errorStyle="information" type="textLength" allowBlank="1" showInputMessage="1" error="XLBVal:6=862.05&#13;&#10;" sqref="BE114">
      <formula1>0</formula1>
      <formula2>300</formula2>
    </dataValidation>
    <dataValidation errorStyle="information" type="textLength" allowBlank="1" showInputMessage="1" error="XLBVal:6=216.51&#13;&#10;" sqref="BE113">
      <formula1>0</formula1>
      <formula2>300</formula2>
    </dataValidation>
    <dataValidation errorStyle="information" type="textLength" allowBlank="1" showInputMessage="1" error="XLBVal:6=753.6&#13;&#10;" sqref="BE112">
      <formula1>0</formula1>
      <formula2>300</formula2>
    </dataValidation>
    <dataValidation errorStyle="information" type="textLength" allowBlank="1" showInputMessage="1" error="XLBVal:6=953.05&#13;&#10;" sqref="BE111">
      <formula1>0</formula1>
      <formula2>300</formula2>
    </dataValidation>
    <dataValidation errorStyle="information" type="textLength" allowBlank="1" showInputMessage="1" error="XLBVal:6=1245.73&#13;&#10;" sqref="BE110">
      <formula1>0</formula1>
      <formula2>300</formula2>
    </dataValidation>
    <dataValidation errorStyle="information" type="textLength" allowBlank="1" showInputMessage="1" error="XLBVal:6=3179.48&#13;&#10;" sqref="BE102 BE109">
      <formula1>0</formula1>
      <formula2>300</formula2>
    </dataValidation>
    <dataValidation errorStyle="information" type="textLength" allowBlank="1" showInputMessage="1" error="XLBVal:6=4841.84&#13;&#10;" sqref="BE101">
      <formula1>0</formula1>
      <formula2>300</formula2>
    </dataValidation>
    <dataValidation errorStyle="information" type="textLength" allowBlank="1" showInputMessage="1" error="XLBVal:6=531.28&#13;&#10;" sqref="BE100">
      <formula1>0</formula1>
      <formula2>300</formula2>
    </dataValidation>
    <dataValidation errorStyle="information" type="textLength" allowBlank="1" showInputMessage="1" error="XLBVal:6=2216.84&#13;&#10;" sqref="BE99">
      <formula1>0</formula1>
      <formula2>300</formula2>
    </dataValidation>
    <dataValidation errorStyle="information" type="textLength" allowBlank="1" showInputMessage="1" error="XLBVal:6=287.99&#13;&#10;" sqref="BE97">
      <formula1>0</formula1>
      <formula2>300</formula2>
    </dataValidation>
    <dataValidation errorStyle="information" type="textLength" allowBlank="1" showInputMessage="1" error="XLBVal:6=2955.87&#13;&#10;" sqref="BE94">
      <formula1>0</formula1>
      <formula2>300</formula2>
    </dataValidation>
    <dataValidation errorStyle="information" type="textLength" allowBlank="1" showInputMessage="1" error="XLBVal:6=4048.03&#13;&#10;" sqref="BE92">
      <formula1>0</formula1>
      <formula2>300</formula2>
    </dataValidation>
    <dataValidation errorStyle="information" type="textLength" allowBlank="1" showInputMessage="1" error="XLBVal:6=4128&#13;&#10;" sqref="BE61">
      <formula1>0</formula1>
      <formula2>300</formula2>
    </dataValidation>
    <dataValidation errorStyle="information" type="textLength" allowBlank="1" showInputMessage="1" error="XLBVal:6=15877.84&#13;&#10;" sqref="BE42">
      <formula1>0</formula1>
      <formula2>300</formula2>
    </dataValidation>
    <dataValidation errorStyle="information" type="textLength" allowBlank="1" showInputMessage="1" error="XLBVal:6=3931.66&#13;&#10;" sqref="BE41">
      <formula1>0</formula1>
      <formula2>300</formula2>
    </dataValidation>
    <dataValidation errorStyle="information" type="textLength" allowBlank="1" showInputMessage="1" error="XLBVal:6=3266&#13;&#10;" sqref="BE34">
      <formula1>0</formula1>
      <formula2>300</formula2>
    </dataValidation>
    <dataValidation errorStyle="information" type="textLength" allowBlank="1" showInputMessage="1" error="XLBVal:6=1030&#13;&#10;" sqref="BE33">
      <formula1>0</formula1>
      <formula2>300</formula2>
    </dataValidation>
    <dataValidation errorStyle="information" type="textLength" allowBlank="1" showInputMessage="1" showErrorMessage="1" error="XLBVal:6=3922.24&#13;&#10;" sqref="BD163">
      <formula1>0</formula1>
      <formula2>300</formula2>
    </dataValidation>
    <dataValidation errorStyle="information" type="textLength" allowBlank="1" showInputMessage="1" showErrorMessage="1" error="XLBVal:6=88230.38&#13;&#10;" sqref="BD161">
      <formula1>0</formula1>
      <formula2>300</formula2>
    </dataValidation>
    <dataValidation errorStyle="information" type="textLength" allowBlank="1" showInputMessage="1" showErrorMessage="1" error="XLBVal:6=854.65&#13;&#10;" sqref="BD156">
      <formula1>0</formula1>
      <formula2>300</formula2>
    </dataValidation>
    <dataValidation errorStyle="information" type="textLength" allowBlank="1" showInputMessage="1" showErrorMessage="1" error="XLBVal:6=89.99&#13;&#10;" sqref="BD155">
      <formula1>0</formula1>
      <formula2>300</formula2>
    </dataValidation>
    <dataValidation errorStyle="information" type="textLength" allowBlank="1" showInputMessage="1" error="XLBVal:6=31.88&#13;&#10;" sqref="BD151">
      <formula1>0</formula1>
      <formula2>300</formula2>
    </dataValidation>
    <dataValidation errorStyle="information" type="textLength" allowBlank="1" showInputMessage="1" error="XLBVal:6=1290.8&#13;&#10;" sqref="BD149">
      <formula1>0</formula1>
      <formula2>300</formula2>
    </dataValidation>
    <dataValidation errorStyle="information" type="textLength" allowBlank="1" showInputMessage="1" error="XLBVal:6=689.37&#13;&#10;" sqref="BD146">
      <formula1>0</formula1>
      <formula2>300</formula2>
    </dataValidation>
    <dataValidation errorStyle="information" type="textLength" allowBlank="1" showInputMessage="1" error="XLBVal:6=17.01&#13;&#10;" sqref="BD144">
      <formula1>0</formula1>
      <formula2>300</formula2>
    </dataValidation>
    <dataValidation errorStyle="information" type="textLength" allowBlank="1" showInputMessage="1" error="XLBVal:6=201.6&#13;&#10;" sqref="BD143">
      <formula1>0</formula1>
      <formula2>300</formula2>
    </dataValidation>
    <dataValidation errorStyle="information" type="textLength" allowBlank="1" showInputMessage="1" error="XLBVal:6=1221.88&#13;&#10;" sqref="BD142">
      <formula1>0</formula1>
      <formula2>300</formula2>
    </dataValidation>
    <dataValidation errorStyle="information" type="textLength" allowBlank="1" showInputMessage="1" error="XLBVal:6=1247.5&#13;&#10;" sqref="BD134">
      <formula1>0</formula1>
      <formula2>300</formula2>
    </dataValidation>
    <dataValidation errorStyle="information" type="textLength" allowBlank="1" showInputMessage="1" error="XLBVal:6=830.8&#13;&#10;" sqref="BD120">
      <formula1>0</formula1>
      <formula2>300</formula2>
    </dataValidation>
    <dataValidation errorStyle="information" type="textLength" allowBlank="1" showInputMessage="1" error="XLBVal:6=466.51&#13;&#10;" sqref="BD119">
      <formula1>0</formula1>
      <formula2>300</formula2>
    </dataValidation>
    <dataValidation errorStyle="information" type="textLength" allowBlank="1" showInputMessage="1" error="XLBVal:6=533.84&#13;&#10;" sqref="BD118">
      <formula1>0</formula1>
      <formula2>300</formula2>
    </dataValidation>
    <dataValidation errorStyle="information" type="textLength" allowBlank="1" showInputMessage="1" error="XLBVal:6=112.12&#13;&#10;" sqref="BD117">
      <formula1>0</formula1>
      <formula2>300</formula2>
    </dataValidation>
    <dataValidation errorStyle="information" type="textLength" allowBlank="1" showInputMessage="1" error="XLBVal:6=394.78&#13;&#10;" sqref="BD116">
      <formula1>0</formula1>
      <formula2>300</formula2>
    </dataValidation>
    <dataValidation errorStyle="information" type="textLength" allowBlank="1" showInputMessage="1" error="XLBVal:6=72.01&#13;&#10;" sqref="BD115">
      <formula1>0</formula1>
      <formula2>300</formula2>
    </dataValidation>
    <dataValidation errorStyle="information" type="textLength" allowBlank="1" showInputMessage="1" error="XLBVal:6=264.65&#13;&#10;" sqref="BD114">
      <formula1>0</formula1>
      <formula2>300</formula2>
    </dataValidation>
    <dataValidation errorStyle="information" type="textLength" allowBlank="1" showInputMessage="1" error="XLBVal:6=173.66&#13;&#10;" sqref="BD113">
      <formula1>0</formula1>
      <formula2>300</formula2>
    </dataValidation>
    <dataValidation errorStyle="information" type="textLength" allowBlank="1" showInputMessage="1" error="XLBVal:6=216.95&#13;&#10;" sqref="BD112">
      <formula1>0</formula1>
      <formula2>300</formula2>
    </dataValidation>
    <dataValidation errorStyle="information" type="textLength" allowBlank="1" showInputMessage="1" error="XLBVal:6=273.7&#13;&#10;" sqref="BD111">
      <formula1>0</formula1>
      <formula2>300</formula2>
    </dataValidation>
    <dataValidation errorStyle="information" type="textLength" allowBlank="1" showInputMessage="1" error="XLBVal:6=643.26&#13;&#10;" sqref="BD110">
      <formula1>0</formula1>
      <formula2>300</formula2>
    </dataValidation>
    <dataValidation errorStyle="information" type="textLength" allowBlank="1" showInputMessage="1" error="XLBVal:6=1623.73&#13;&#10;" sqref="BD102 BD109">
      <formula1>0</formula1>
      <formula2>300</formula2>
    </dataValidation>
    <dataValidation errorStyle="information" type="textLength" allowBlank="1" showInputMessage="1" error="XLBVal:6=1497.2&#13;&#10;" sqref="BD100">
      <formula1>0</formula1>
      <formula2>300</formula2>
    </dataValidation>
    <dataValidation errorStyle="information" type="textLength" allowBlank="1" showInputMessage="1" error="XLBVal:6=1154.65&#13;&#10;" sqref="BD99">
      <formula1>0</formula1>
      <formula2>300</formula2>
    </dataValidation>
    <dataValidation errorStyle="information" type="textLength" allowBlank="1" showInputMessage="1" error="XLBVal:6=17657.04&#13;&#10;" sqref="BD98">
      <formula1>0</formula1>
      <formula2>300</formula2>
    </dataValidation>
    <dataValidation errorStyle="information" type="textLength" allowBlank="1" showInputMessage="1" error="XLBVal:6=2945.96&#13;&#10;" sqref="BD94">
      <formula1>0</formula1>
      <formula2>300</formula2>
    </dataValidation>
    <dataValidation errorStyle="information" type="textLength" allowBlank="1" showInputMessage="1" error="XLBVal:6=1545.99&#13;&#10;" sqref="BD78">
      <formula1>0</formula1>
      <formula2>300</formula2>
    </dataValidation>
    <dataValidation errorStyle="information" type="textLength" allowBlank="1" showInputMessage="1" error="XLBVal:6=171.15&#13;&#10;" sqref="BD64">
      <formula1>0</formula1>
      <formula2>300</formula2>
    </dataValidation>
    <dataValidation errorStyle="information" type="textLength" allowBlank="1" showInputMessage="1" error="XLBVal:6=2222&#13;&#10;" sqref="BD61">
      <formula1>0</formula1>
      <formula2>300</formula2>
    </dataValidation>
    <dataValidation errorStyle="information" type="textLength" allowBlank="1" showInputMessage="1" error="XLBVal:6=9551.98&#13;&#10;" sqref="BD34">
      <formula1>0</formula1>
      <formula2>300</formula2>
    </dataValidation>
    <dataValidation errorStyle="information" type="textLength" allowBlank="1" showInputMessage="1" error="XLBVal:6=3587&#13;&#10;" sqref="BD33">
      <formula1>0</formula1>
      <formula2>300</formula2>
    </dataValidation>
    <dataValidation errorStyle="information" type="textLength" allowBlank="1" showInputMessage="1" error="XLBVal:6=4197.2&#13;&#10;" sqref="BC163">
      <formula1>0</formula1>
      <formula2>300</formula2>
    </dataValidation>
    <dataValidation errorStyle="information" type="textLength" allowBlank="1" showInputMessage="1" error="XLBVal:6=-9875.57&#13;&#10;" sqref="BC161">
      <formula1>0</formula1>
      <formula2>300</formula2>
    </dataValidation>
    <dataValidation errorStyle="information" type="textLength" allowBlank="1" showInputMessage="1" error="XLBVal:6=11020.02&#13;&#10;" sqref="AZ163">
      <formula1>0</formula1>
      <formula2>300</formula2>
    </dataValidation>
    <dataValidation errorStyle="information" type="textLength" allowBlank="1" showInputMessage="1" error="XLBVal:6=6303.76&#13;&#10;" sqref="AZ161">
      <formula1>0</formula1>
      <formula2>300</formula2>
    </dataValidation>
    <dataValidation errorStyle="information" type="textLength" allowBlank="1" showInputMessage="1" error="XLBVal:6=132.02&#13;&#10;" sqref="BC157">
      <formula1>0</formula1>
      <formula2>300</formula2>
    </dataValidation>
    <dataValidation errorStyle="information" type="textLength" allowBlank="1" showInputMessage="1" error="XLBVal:6=96.25&#13;&#10;" sqref="BC151">
      <formula1>0</formula1>
      <formula2>300</formula2>
    </dataValidation>
    <dataValidation errorStyle="information" type="textLength" allowBlank="1" showInputMessage="1" error="XLBVal:6=122.97&#13;&#10;" sqref="BC149">
      <formula1>0</formula1>
      <formula2>300</formula2>
    </dataValidation>
    <dataValidation errorStyle="information" type="textLength" allowBlank="1" showInputMessage="1" error="XLBVal:6=18.63&#13;&#10;" sqref="BC148">
      <formula1>0</formula1>
      <formula2>300</formula2>
    </dataValidation>
    <dataValidation errorStyle="information" type="textLength" allowBlank="1" showInputMessage="1" error="XLBVal:6=7.01&#13;&#10;" sqref="BC146">
      <formula1>0</formula1>
      <formula2>300</formula2>
    </dataValidation>
    <dataValidation errorStyle="information" type="textLength" allowBlank="1" showInputMessage="1" error="XLBVal:6=1243.33&#13;&#10;" sqref="BC144">
      <formula1>0</formula1>
      <formula2>300</formula2>
    </dataValidation>
    <dataValidation errorStyle="information" type="textLength" allowBlank="1" showInputMessage="1" error="XLBVal:6=283.49&#13;&#10;" sqref="BC143">
      <formula1>0</formula1>
      <formula2>300</formula2>
    </dataValidation>
    <dataValidation errorStyle="information" type="textLength" allowBlank="1" showInputMessage="1" error="XLBVal:6=567.57&#13;&#10;" sqref="BC142">
      <formula1>0</formula1>
      <formula2>300</formula2>
    </dataValidation>
    <dataValidation errorStyle="information" type="textLength" allowBlank="1" showInputMessage="1" error="XLBVal:6=210&#13;&#10;" sqref="AZ157">
      <formula1>0</formula1>
      <formula2>300</formula2>
    </dataValidation>
    <dataValidation errorStyle="information" type="textLength" allowBlank="1" showInputMessage="1" error="XLBVal:6=1102.48&#13;&#10;" sqref="AZ156">
      <formula1>0</formula1>
      <formula2>300</formula2>
    </dataValidation>
    <dataValidation errorStyle="information" type="textLength" allowBlank="1" showInputMessage="1" error="XLBVal:6=170&#13;&#10;" sqref="AZ155 BC155">
      <formula1>0</formula1>
      <formula2>300</formula2>
    </dataValidation>
    <dataValidation errorStyle="information" type="textLength" allowBlank="1" showInputMessage="1" error="XLBVal:6=99.18&#13;&#10;" sqref="AZ154">
      <formula1>0</formula1>
      <formula2>300</formula2>
    </dataValidation>
    <dataValidation errorStyle="information" type="textLength" allowBlank="1" showInputMessage="1" error="XLBVal:6=568.9&#13;&#10;" sqref="AZ153">
      <formula1>0</formula1>
      <formula2>300</formula2>
    </dataValidation>
    <dataValidation errorStyle="information" type="textLength" allowBlank="1" showInputMessage="1" error="XLBVal:6=47.02&#13;&#10;" sqref="AZ151">
      <formula1>0</formula1>
      <formula2>300</formula2>
    </dataValidation>
    <dataValidation errorStyle="information" type="textLength" allowBlank="1" showInputMessage="1" error="XLBVal:6=224.19&#13;&#10;" sqref="AZ149">
      <formula1>0</formula1>
      <formula2>300</formula2>
    </dataValidation>
    <dataValidation errorStyle="information" type="textLength" allowBlank="1" showInputMessage="1" error="XLBVal:6=152.57&#13;&#10;" sqref="AZ146">
      <formula1>0</formula1>
      <formula2>300</formula2>
    </dataValidation>
    <dataValidation errorStyle="information" type="textLength" allowBlank="1" showInputMessage="1" error="XLBVal:6=150&#13;&#10;" sqref="AZ145">
      <formula1>0</formula1>
      <formula2>300</formula2>
    </dataValidation>
    <dataValidation errorStyle="information" type="textLength" allowBlank="1" showInputMessage="1" error="XLBVal:6=682&#13;&#10;" sqref="AZ144">
      <formula1>0</formula1>
      <formula2>300</formula2>
    </dataValidation>
    <dataValidation errorStyle="information" type="textLength" allowBlank="1" showInputMessage="1" error="XLBVal:6=330.4&#13;&#10;" sqref="AZ143">
      <formula1>0</formula1>
      <formula2>300</formula2>
    </dataValidation>
    <dataValidation errorStyle="information" type="textLength" allowBlank="1" showInputMessage="1" error="XLBVal:6=437.71&#13;&#10;" sqref="AZ142">
      <formula1>0</formula1>
      <formula2>300</formula2>
    </dataValidation>
    <dataValidation errorStyle="information" type="textLength" allowBlank="1" showInputMessage="1" error="XLBVal:6=32295.2&#13;&#10;" sqref="BC138">
      <formula1>0</formula1>
      <formula2>300</formula2>
    </dataValidation>
    <dataValidation errorStyle="information" type="textLength" allowBlank="1" showInputMessage="1" error="XLBVal:6=5983.68&#13;&#10;" sqref="AZ139">
      <formula1>0</formula1>
      <formula2>300</formula2>
    </dataValidation>
    <dataValidation errorStyle="information" type="textLength" allowBlank="1" showInputMessage="1" error="XLBVal:6=45940.38&#13;&#10;" sqref="AZ138">
      <formula1>0</formula1>
      <formula2>300</formula2>
    </dataValidation>
    <dataValidation errorStyle="information" type="textLength" allowBlank="1" showInputMessage="1" error="XLBVal:6=420.6&#13;&#10;" sqref="BC134">
      <formula1>0</formula1>
      <formula2>300</formula2>
    </dataValidation>
    <dataValidation errorStyle="information" type="textLength" allowBlank="1" showInputMessage="1" error="XLBVal:6=117.2&#13;&#10;" sqref="AZ134">
      <formula1>0</formula1>
      <formula2>300</formula2>
    </dataValidation>
    <dataValidation errorStyle="information" type="textLength" allowBlank="1" showInputMessage="1" error="XLBVal:6=900&#13;&#10;" sqref="AZ127 BD92">
      <formula1>0</formula1>
      <formula2>300</formula2>
    </dataValidation>
    <dataValidation errorStyle="information" type="textLength" allowBlank="1" showInputMessage="1" error="XLBVal:6=598.75&#13;&#10;" sqref="BC120">
      <formula1>0</formula1>
      <formula2>300</formula2>
    </dataValidation>
    <dataValidation errorStyle="information" type="textLength" allowBlank="1" showInputMessage="1" error="XLBVal:6=2061.78&#13;&#10;" sqref="BC119">
      <formula1>0</formula1>
      <formula2>300</formula2>
    </dataValidation>
    <dataValidation errorStyle="information" type="textLength" allowBlank="1" showInputMessage="1" error="XLBVal:6=669.88&#13;&#10;" sqref="BC118">
      <formula1>0</formula1>
      <formula2>300</formula2>
    </dataValidation>
    <dataValidation errorStyle="information" type="textLength" allowBlank="1" showInputMessage="1" error="XLBVal:6=13.44&#13;&#10;" sqref="BC117">
      <formula1>0</formula1>
      <formula2>300</formula2>
    </dataValidation>
    <dataValidation errorStyle="information" type="textLength" allowBlank="1" showInputMessage="1" error="XLBVal:6=9.59&#13;&#10;" sqref="BC115">
      <formula1>0</formula1>
      <formula2>300</formula2>
    </dataValidation>
    <dataValidation errorStyle="information" type="textLength" allowBlank="1" showInputMessage="1" error="XLBVal:6=144.8&#13;&#10;" sqref="BC114">
      <formula1>0</formula1>
      <formula2>300</formula2>
    </dataValidation>
    <dataValidation errorStyle="information" type="textLength" allowBlank="1" showInputMessage="1" error="XLBVal:6=88.31&#13;&#10;" sqref="BC113">
      <formula1>0</formula1>
      <formula2>300</formula2>
    </dataValidation>
    <dataValidation errorStyle="information" type="textLength" allowBlank="1" showInputMessage="1" error="XLBVal:6=262.22&#13;&#10;" sqref="BC112">
      <formula1>0</formula1>
      <formula2>300</formula2>
    </dataValidation>
    <dataValidation errorStyle="information" type="textLength" allowBlank="1" showInputMessage="1" error="XLBVal:6=584.36&#13;&#10;" sqref="BC111">
      <formula1>0</formula1>
      <formula2>300</formula2>
    </dataValidation>
    <dataValidation errorStyle="information" type="textLength" allowBlank="1" showInputMessage="1" error="XLBVal:6=105.88&#13;&#10;" sqref="BC110">
      <formula1>0</formula1>
      <formula2>300</formula2>
    </dataValidation>
    <dataValidation errorStyle="information" type="textLength" allowBlank="1" showInputMessage="1" error="XLBVal:6=2018.25&#13;&#10;" sqref="AZ120">
      <formula1>0</formula1>
      <formula2>300</formula2>
    </dataValidation>
    <dataValidation errorStyle="information" type="textLength" allowBlank="1" showInputMessage="1" error="XLBVal:6=1471.54&#13;&#10;" sqref="AZ119">
      <formula1>0</formula1>
      <formula2>300</formula2>
    </dataValidation>
    <dataValidation errorStyle="information" type="textLength" allowBlank="1" showInputMessage="1" error="XLBVal:6=1086.15&#13;&#10;" sqref="AZ118">
      <formula1>0</formula1>
      <formula2>300</formula2>
    </dataValidation>
    <dataValidation errorStyle="information" type="textLength" allowBlank="1" showInputMessage="1" error="XLBVal:6=133.15&#13;&#10;" sqref="AZ117">
      <formula1>0</formula1>
      <formula2>300</formula2>
    </dataValidation>
    <dataValidation errorStyle="information" type="textLength" allowBlank="1" showInputMessage="1" error="XLBVal:6=79.59&#13;&#10;" sqref="AZ116">
      <formula1>0</formula1>
      <formula2>300</formula2>
    </dataValidation>
    <dataValidation errorStyle="information" type="textLength" allowBlank="1" showInputMessage="1" error="XLBVal:6=105.61&#13;&#10;" sqref="AZ115">
      <formula1>0</formula1>
      <formula2>300</formula2>
    </dataValidation>
    <dataValidation errorStyle="information" type="textLength" allowBlank="1" showInputMessage="1" error="XLBVal:6=-424.98&#13;&#10;" sqref="AZ114">
      <formula1>0</formula1>
      <formula2>300</formula2>
    </dataValidation>
    <dataValidation errorStyle="information" type="textLength" allowBlank="1" showInputMessage="1" error="XLBVal:6=126.64&#13;&#10;" sqref="AZ113">
      <formula1>0</formula1>
      <formula2>300</formula2>
    </dataValidation>
    <dataValidation errorStyle="information" type="textLength" allowBlank="1" showInputMessage="1" error="XLBVal:6=203&#13;&#10;" sqref="AZ112">
      <formula1>0</formula1>
      <formula2>300</formula2>
    </dataValidation>
    <dataValidation errorStyle="information" type="textLength" allowBlank="1" showInputMessage="1" error="XLBVal:6=115.04&#13;&#10;" sqref="AZ111">
      <formula1>0</formula1>
      <formula2>300</formula2>
    </dataValidation>
    <dataValidation errorStyle="information" type="textLength" allowBlank="1" showInputMessage="1" error="XLBVal:6=1619.46&#13;&#10;" sqref="BC102 BC109">
      <formula1>0</formula1>
      <formula2>300</formula2>
    </dataValidation>
    <dataValidation errorStyle="information" type="textLength" allowBlank="1" showInputMessage="1" error="XLBVal:6=2479.48&#13;&#10;" sqref="BC101">
      <formula1>0</formula1>
      <formula2>300</formula2>
    </dataValidation>
    <dataValidation errorStyle="information" type="textLength" allowBlank="1" showInputMessage="1" error="XLBVal:6=747.57&#13;&#10;" sqref="BC100">
      <formula1>0</formula1>
      <formula2>300</formula2>
    </dataValidation>
    <dataValidation errorStyle="information" type="textLength" allowBlank="1" showInputMessage="1" error="XLBVal:6=956.77&#13;&#10;" sqref="BC99">
      <formula1>0</formula1>
      <formula2>300</formula2>
    </dataValidation>
    <dataValidation errorStyle="information" type="textLength" allowBlank="1" showInputMessage="1" error="XLBVal:6=1369.99&#13;&#10;" sqref="BC97">
      <formula1>0</formula1>
      <formula2>300</formula2>
    </dataValidation>
    <dataValidation errorStyle="information" type="textLength" allowBlank="1" showInputMessage="1" error="XLBVal:6=1328.03&#13;&#10;" sqref="BC94">
      <formula1>0</formula1>
      <formula2>300</formula2>
    </dataValidation>
    <dataValidation errorStyle="information" type="textLength" allowBlank="1" showInputMessage="1" error="XLBVal:6=1617.74&#13;&#10;" sqref="AZ102 AZ109">
      <formula1>0</formula1>
      <formula2>300</formula2>
    </dataValidation>
    <dataValidation errorStyle="information" type="textLength" allowBlank="1" showInputMessage="1" error="XLBVal:6=2791.33&#13;&#10;" sqref="AZ101">
      <formula1>0</formula1>
      <formula2>300</formula2>
    </dataValidation>
    <dataValidation errorStyle="information" type="textLength" allowBlank="1" showInputMessage="1" error="XLBVal:6=1646.95&#13;&#10;" sqref="AZ100">
      <formula1>0</formula1>
      <formula2>300</formula2>
    </dataValidation>
    <dataValidation errorStyle="information" type="textLength" allowBlank="1" showInputMessage="1" error="XLBVal:6=654.72&#13;&#10;" sqref="AZ99">
      <formula1>0</formula1>
      <formula2>300</formula2>
    </dataValidation>
    <dataValidation errorStyle="information" type="textLength" allowBlank="1" showInputMessage="1" error="XLBVal:6=3503.01&#13;&#10;" sqref="AZ96">
      <formula1>0</formula1>
      <formula2>300</formula2>
    </dataValidation>
    <dataValidation errorStyle="information" type="textLength" allowBlank="1" showInputMessage="1" error="XLBVal:6=2317.35&#13;&#10;" sqref="AZ95">
      <formula1>0</formula1>
      <formula2>300</formula2>
    </dataValidation>
    <dataValidation errorStyle="information" type="textLength" allowBlank="1" showInputMessage="1" error="XLBVal:6=1743.99&#13;&#10;" sqref="AZ94">
      <formula1>0</formula1>
      <formula2>300</formula2>
    </dataValidation>
    <dataValidation errorStyle="information" type="textLength" allowBlank="1" showInputMessage="1" error="XLBVal:6=7277.25&#13;&#10;" sqref="BC86">
      <formula1>0</formula1>
      <formula2>300</formula2>
    </dataValidation>
    <dataValidation errorStyle="information" type="textLength" allowBlank="1" showInputMessage="1" error="XLBVal:6=9.99&#13;&#10;" sqref="BC77">
      <formula1>0</formula1>
      <formula2>300</formula2>
    </dataValidation>
    <dataValidation errorStyle="information" type="textLength" allowBlank="1" showInputMessage="1" error="XLBVal:6=3527.85&#13;&#10;" sqref="AZ64">
      <formula1>0</formula1>
      <formula2>300</formula2>
    </dataValidation>
    <dataValidation errorStyle="information" type="textLength" allowBlank="1" showInputMessage="1" error="XLBVal:6=38593&#13;&#10;" sqref="AZ53">
      <formula1>0</formula1>
      <formula2>300</formula2>
    </dataValidation>
    <dataValidation errorStyle="information" type="textLength" allowBlank="1" showInputMessage="1" error="XLBVal:6=467.82&#13;&#10;" sqref="BC48">
      <formula1>0</formula1>
      <formula2>300</formula2>
    </dataValidation>
    <dataValidation errorStyle="information" type="textLength" allowBlank="1" showInputMessage="1" error="XLBVal:6=2188.03&#13;&#10;" sqref="BC34">
      <formula1>0</formula1>
      <formula2>300</formula2>
    </dataValidation>
    <dataValidation errorStyle="information" type="textLength" allowBlank="1" showInputMessage="1" error="XLBVal:6=-461.85&#13;&#10;" sqref="AZ49">
      <formula1>0</formula1>
      <formula2>300</formula2>
    </dataValidation>
    <dataValidation errorStyle="information" type="textLength" allowBlank="1" showInputMessage="1" error="XLBVal:6=599.81&#13;&#10;" sqref="AZ48">
      <formula1>0</formula1>
      <formula2>300</formula2>
    </dataValidation>
    <dataValidation errorStyle="information" type="textLength" allowBlank="1" showInputMessage="1" error="XLBVal:6=14605.23&#13;&#10;" sqref="AZ47">
      <formula1>0</formula1>
      <formula2>300</formula2>
    </dataValidation>
    <dataValidation errorStyle="information" type="textLength" allowBlank="1" showInputMessage="1" error="XLBVal:6=1950&#13;&#10;" sqref="AZ41">
      <formula1>0</formula1>
      <formula2>300</formula2>
    </dataValidation>
    <dataValidation errorStyle="information" type="textLength" allowBlank="1" showInputMessage="1" error="XLBVal:6=-930.99&#13;&#10;" sqref="AZ35">
      <formula1>0</formula1>
      <formula2>300</formula2>
    </dataValidation>
    <dataValidation errorStyle="information" type="textLength" allowBlank="1" showInputMessage="1" error="XLBVal:6=12458.96&#13;&#10;" sqref="AZ31">
      <formula1>0</formula1>
      <formula2>300</formula2>
    </dataValidation>
    <dataValidation errorStyle="information" type="textLength" allowBlank="1" showInputMessage="1" error="XLBVal:6=3642&#13;&#10;" sqref="AZ30">
      <formula1>0</formula1>
      <formula2>300</formula2>
    </dataValidation>
    <dataValidation errorStyle="information" type="textLength" allowBlank="1" showInputMessage="1" error="XLBVal:6=4084&#13;&#10;" sqref="AZ29">
      <formula1>0</formula1>
      <formula2>300</formula2>
    </dataValidation>
    <dataValidation errorStyle="information" type="textLength" allowBlank="1" showInputMessage="1" error="XLBVal:6=100.01&#13;&#10;" sqref="AZ28">
      <formula1>0</formula1>
      <formula2>300</formula2>
    </dataValidation>
    <dataValidation errorStyle="information" type="textLength" allowBlank="1" showInputMessage="1" error="XLBVal:6=1763.68&#13;&#10;" sqref="AY163">
      <formula1>0</formula1>
      <formula2>300</formula2>
    </dataValidation>
    <dataValidation errorStyle="information" type="textLength" allowBlank="1" showInputMessage="1" error="XLBVal:6=582.65&#13;&#10;" sqref="AY157">
      <formula1>0</formula1>
      <formula2>300</formula2>
    </dataValidation>
    <dataValidation errorStyle="information" type="textLength" allowBlank="1" showInputMessage="1" error="XLBVal:6=407.71&#13;&#10;" sqref="AY156">
      <formula1>0</formula1>
      <formula2>300</formula2>
    </dataValidation>
    <dataValidation errorStyle="information" type="textLength" allowBlank="1" showInputMessage="1" error="XLBVal:6=209.96&#13;&#10;" sqref="AY155">
      <formula1>0</formula1>
      <formula2>300</formula2>
    </dataValidation>
    <dataValidation errorStyle="information" type="textLength" allowBlank="1" showInputMessage="1" error="XLBVal:6=63.6&#13;&#10;" sqref="AY154">
      <formula1>0</formula1>
      <formula2>300</formula2>
    </dataValidation>
    <dataValidation errorStyle="information" type="textLength" allowBlank="1" showInputMessage="1" error="XLBVal:6=176.26&#13;&#10;" sqref="AY152">
      <formula1>0</formula1>
      <formula2>300</formula2>
    </dataValidation>
    <dataValidation errorStyle="information" type="textLength" allowBlank="1" showInputMessage="1" error="XLBVal:6=22.56&#13;&#10;" sqref="AY151">
      <formula1>0</formula1>
      <formula2>300</formula2>
    </dataValidation>
    <dataValidation errorStyle="information" type="textLength" allowBlank="1" showInputMessage="1" error="XLBVal:6=6&#13;&#10;" sqref="AY149">
      <formula1>0</formula1>
      <formula2>300</formula2>
    </dataValidation>
    <dataValidation errorStyle="information" type="textLength" allowBlank="1" showInputMessage="1" error="XLBVal:6=842.97&#13;&#10;" sqref="AY147">
      <formula1>0</formula1>
      <formula2>300</formula2>
    </dataValidation>
    <dataValidation errorStyle="information" type="textLength" allowBlank="1" showInputMessage="1" error="XLBVal:6=6.1&#13;&#10;" sqref="AY146">
      <formula1>0</formula1>
      <formula2>300</formula2>
    </dataValidation>
    <dataValidation errorStyle="information" type="textLength" allowBlank="1" showInputMessage="1" error="XLBVal:6=49&#13;&#10;" sqref="AY144">
      <formula1>0</formula1>
      <formula2>300</formula2>
    </dataValidation>
    <dataValidation errorStyle="information" type="textLength" allowBlank="1" showInputMessage="1" error="XLBVal:6=484.5&#13;&#10;" sqref="AY142">
      <formula1>0</formula1>
      <formula2>300</formula2>
    </dataValidation>
    <dataValidation errorStyle="information" type="textLength" allowBlank="1" showInputMessage="1" error="XLBVal:6=1363.93&#13;&#10;" sqref="AY134">
      <formula1>0</formula1>
      <formula2>300</formula2>
    </dataValidation>
    <dataValidation errorStyle="information" type="textLength" allowBlank="1" showInputMessage="1" error="XLBVal:6=472.44&#13;&#10;" sqref="AY120">
      <formula1>0</formula1>
      <formula2>300</formula2>
    </dataValidation>
    <dataValidation errorStyle="information" type="textLength" allowBlank="1" showInputMessage="1" error="XLBVal:6=986.54&#13;&#10;" sqref="AY119">
      <formula1>0</formula1>
      <formula2>300</formula2>
    </dataValidation>
    <dataValidation errorStyle="information" type="textLength" allowBlank="1" showInputMessage="1" error="XLBVal:6=933.11&#13;&#10;" sqref="AY118">
      <formula1>0</formula1>
      <formula2>300</formula2>
    </dataValidation>
    <dataValidation errorStyle="information" type="textLength" allowBlank="1" showInputMessage="1" error="XLBVal:6=225.92&#13;&#10;" sqref="AY117">
      <formula1>0</formula1>
      <formula2>300</formula2>
    </dataValidation>
    <dataValidation errorStyle="information" type="textLength" allowBlank="1" showInputMessage="1" error="XLBVal:6=102.96&#13;&#10;" sqref="AY115">
      <formula1>0</formula1>
      <formula2>300</formula2>
    </dataValidation>
    <dataValidation errorStyle="information" type="textLength" allowBlank="1" showInputMessage="1" error="XLBVal:6=939.02&#13;&#10;" sqref="AY114">
      <formula1>0</formula1>
      <formula2>300</formula2>
    </dataValidation>
    <dataValidation errorStyle="information" type="textLength" allowBlank="1" showInputMessage="1" error="XLBVal:6=176.04&#13;&#10;" sqref="AY113">
      <formula1>0</formula1>
      <formula2>300</formula2>
    </dataValidation>
    <dataValidation errorStyle="information" type="textLength" allowBlank="1" showInputMessage="1" error="XLBVal:6=136.14&#13;&#10;" sqref="AY112">
      <formula1>0</formula1>
      <formula2>300</formula2>
    </dataValidation>
    <dataValidation errorStyle="information" type="textLength" allowBlank="1" showInputMessage="1" error="XLBVal:6=46.73&#13;&#10;" sqref="AY111">
      <formula1>0</formula1>
      <formula2>300</formula2>
    </dataValidation>
    <dataValidation errorStyle="information" type="textLength" allowBlank="1" showInputMessage="1" error="XLBVal:6=1617.73&#13;&#10;" sqref="AY102 AY109">
      <formula1>0</formula1>
      <formula2>300</formula2>
    </dataValidation>
    <dataValidation errorStyle="information" type="textLength" allowBlank="1" showInputMessage="1" error="XLBVal:6=956.94&#13;&#10;" sqref="AY100">
      <formula1>0</formula1>
      <formula2>300</formula2>
    </dataValidation>
    <dataValidation errorStyle="information" type="textLength" allowBlank="1" showInputMessage="1" error="XLBVal:6=261.06&#13;&#10;" sqref="AY99">
      <formula1>0</formula1>
      <formula2>300</formula2>
    </dataValidation>
    <dataValidation errorStyle="information" type="textLength" allowBlank="1" showInputMessage="1" error="XLBVal:6=2629.03&#13;&#10;" sqref="AY96">
      <formula1>0</formula1>
      <formula2>300</formula2>
    </dataValidation>
    <dataValidation errorStyle="information" type="textLength" allowBlank="1" showInputMessage="1" error="XLBVal:6=1264.99&#13;&#10;" sqref="AY94">
      <formula1>0</formula1>
      <formula2>300</formula2>
    </dataValidation>
    <dataValidation errorStyle="information" type="textLength" allowBlank="1" showInputMessage="1" error="XLBVal:6=287.32&#13;&#10;" sqref="AY82">
      <formula1>0</formula1>
      <formula2>300</formula2>
    </dataValidation>
    <dataValidation errorStyle="information" type="textLength" allowBlank="1" showInputMessage="1" error="XLBVal:6=2715.98&#13;&#10;" sqref="AY53">
      <formula1>0</formula1>
      <formula2>300</formula2>
    </dataValidation>
    <dataValidation errorStyle="information" type="textLength" allowBlank="1" showInputMessage="1" error="XLBVal:6=59.98&#13;&#10;" sqref="AY47">
      <formula1>0</formula1>
      <formula2>300</formula2>
    </dataValidation>
    <dataValidation errorStyle="information" type="textLength" allowBlank="1" showInputMessage="1" error="XLBVal:6=879.97&#13;&#10;" sqref="AY29">
      <formula1>0</formula1>
      <formula2>300</formula2>
    </dataValidation>
    <dataValidation errorStyle="information" type="textLength" allowBlank="1" showInputMessage="1" error="XLBVal:6=1897.44&#13;&#10;" sqref="AX163">
      <formula1>0</formula1>
      <formula2>300</formula2>
    </dataValidation>
    <dataValidation errorStyle="information" type="textLength" allowBlank="1" showInputMessage="1" error="XLBVal:6=1513.3&#13;&#10;" sqref="AV163">
      <formula1>0</formula1>
      <formula2>300</formula2>
    </dataValidation>
    <dataValidation errorStyle="information" type="textLength" allowBlank="1" showInputMessage="1" error="XLBVal:6=5899.9&#13;&#10;" sqref="AU163">
      <formula1>0</formula1>
      <formula2>300</formula2>
    </dataValidation>
    <dataValidation errorStyle="information" type="textLength" allowBlank="1" showInputMessage="1" error="XLBVal:6=1735.98&#13;&#10;" sqref="AT163">
      <formula1>0</formula1>
      <formula2>300</formula2>
    </dataValidation>
    <dataValidation errorStyle="information" type="textLength" allowBlank="1" showInputMessage="1" error="XLBVal:6=1507.29&#13;&#10;" sqref="AR163">
      <formula1>0</formula1>
      <formula2>300</formula2>
    </dataValidation>
    <dataValidation errorStyle="information" type="textLength" allowBlank="1" showInputMessage="1" error="XLBVal:6=1531.04&#13;&#10;" sqref="AQ163">
      <formula1>0</formula1>
      <formula2>300</formula2>
    </dataValidation>
    <dataValidation errorStyle="information" type="textLength" allowBlank="1" showInputMessage="1" error="XLBVal:6=1249.36&#13;&#10;" sqref="AP163">
      <formula1>0</formula1>
      <formula2>300</formula2>
    </dataValidation>
    <dataValidation errorStyle="information" type="textLength" allowBlank="1" showInputMessage="1" error="XLBVal:6=1374.63&#13;&#10;" sqref="AM163">
      <formula1>0</formula1>
      <formula2>300</formula2>
    </dataValidation>
    <dataValidation errorStyle="information" type="textLength" allowBlank="1" showInputMessage="1" error="XLBVal:6=513&#13;&#10;" sqref="AL163">
      <formula1>0</formula1>
      <formula2>300</formula2>
    </dataValidation>
    <dataValidation errorStyle="information" type="textLength" allowBlank="1" showInputMessage="1" error="XLBVal:6=49552.36&#13;&#10;" sqref="AV161">
      <formula1>0</formula1>
      <formula2>300</formula2>
    </dataValidation>
    <dataValidation errorStyle="information" type="textLength" allowBlank="1" showInputMessage="1" error="XLBVal:6=-58478.44&#13;&#10;" sqref="AU161">
      <formula1>0</formula1>
      <formula2>300</formula2>
    </dataValidation>
    <dataValidation errorStyle="information" type="textLength" allowBlank="1" showInputMessage="1" error="XLBVal:6=81604&#13;&#10;" sqref="AP161">
      <formula1>0</formula1>
      <formula2>300</formula2>
    </dataValidation>
    <dataValidation errorStyle="information" type="textLength" allowBlank="1" showInputMessage="1" error="XLBVal:6=125&#13;&#10;" sqref="AX157">
      <formula1>0</formula1>
      <formula2>300</formula2>
    </dataValidation>
    <dataValidation errorStyle="information" type="textLength" allowBlank="1" showInputMessage="1" error="XLBVal:6=2700.62&#13;&#10;" sqref="AX156">
      <formula1>0</formula1>
      <formula2>300</formula2>
    </dataValidation>
    <dataValidation errorStyle="information" type="textLength" allowBlank="1" showInputMessage="1" error="XLBVal:6=742.14&#13;&#10;" sqref="AX155">
      <formula1>0</formula1>
      <formula2>300</formula2>
    </dataValidation>
    <dataValidation errorStyle="information" type="textLength" allowBlank="1" showInputMessage="1" error="XLBVal:6=71.24&#13;&#10;" sqref="AX152">
      <formula1>0</formula1>
      <formula2>300</formula2>
    </dataValidation>
    <dataValidation errorStyle="information" type="textLength" allowBlank="1" showInputMessage="1" error="XLBVal:6=106.8&#13;&#10;" sqref="AX151">
      <formula1>0</formula1>
      <formula2>300</formula2>
    </dataValidation>
    <dataValidation errorStyle="information" type="textLength" allowBlank="1" showInputMessage="1" error="XLBVal:6=921.24&#13;&#10;" sqref="AX150">
      <formula1>0</formula1>
      <formula2>300</formula2>
    </dataValidation>
    <dataValidation errorStyle="information" type="textLength" allowBlank="1" showInputMessage="1" error="XLBVal:6=350.57&#13;&#10;" sqref="AX149">
      <formula1>0</formula1>
      <formula2>300</formula2>
    </dataValidation>
    <dataValidation errorStyle="information" type="textLength" allowBlank="1" showInputMessage="1" error="XLBVal:6=1587.57&#13;&#10;" sqref="AX146">
      <formula1>0</formula1>
      <formula2>300</formula2>
    </dataValidation>
    <dataValidation errorStyle="information" type="textLength" allowBlank="1" showInputMessage="1" error="XLBVal:6=39.01&#13;&#10;" sqref="AX144">
      <formula1>0</formula1>
      <formula2>300</formula2>
    </dataValidation>
    <dataValidation errorStyle="information" type="textLength" allowBlank="1" showInputMessage="1" error="XLBVal:6=289.42&#13;&#10;" sqref="AX143">
      <formula1>0</formula1>
      <formula2>300</formula2>
    </dataValidation>
    <dataValidation errorStyle="information" type="textLength" allowBlank="1" showInputMessage="1" error="XLBVal:6=128&#13;&#10;" sqref="AV157">
      <formula1>0</formula1>
      <formula2>300</formula2>
    </dataValidation>
    <dataValidation errorStyle="information" type="textLength" allowBlank="1" showInputMessage="1" error="XLBVal:6=202.51&#13;&#10;" sqref="AU157">
      <formula1>0</formula1>
      <formula2>300</formula2>
    </dataValidation>
    <dataValidation errorStyle="information" type="textLength" allowBlank="1" showInputMessage="1" error="XLBVal:6=726.03&#13;&#10;" sqref="AV156">
      <formula1>0</formula1>
      <formula2>300</formula2>
    </dataValidation>
    <dataValidation errorStyle="information" type="textLength" allowBlank="1" showInputMessage="1" error="XLBVal:6=491.99&#13;&#10;" sqref="AU156">
      <formula1>0</formula1>
      <formula2>300</formula2>
    </dataValidation>
    <dataValidation errorStyle="information" type="textLength" allowBlank="1" showInputMessage="1" error="XLBVal:6=911.6&#13;&#10;" sqref="AT156">
      <formula1>0</formula1>
      <formula2>300</formula2>
    </dataValidation>
    <dataValidation errorStyle="information" type="textLength" allowBlank="1" showInputMessage="1" error="XLBVal:6=814.31&#13;&#10;" sqref="AU155">
      <formula1>0</formula1>
      <formula2>300</formula2>
    </dataValidation>
    <dataValidation errorStyle="information" type="textLength" allowBlank="1" showInputMessage="1" error="XLBVal:6=32.4&#13;&#10;" sqref="AT155">
      <formula1>0</formula1>
      <formula2>300</formula2>
    </dataValidation>
    <dataValidation errorStyle="information" type="textLength" allowBlank="1" showInputMessage="1" error="XLBVal:6=19.2&#13;&#10;" sqref="AT154">
      <formula1>0</formula1>
      <formula2>300</formula2>
    </dataValidation>
    <dataValidation errorStyle="information" type="textLength" allowBlank="1" showInputMessage="1" error="XLBVal:6=2812.5&#13;&#10;" sqref="AU153">
      <formula1>0</formula1>
      <formula2>300</formula2>
    </dataValidation>
    <dataValidation errorStyle="information" type="textLength" allowBlank="1" showInputMessage="1" error="XLBVal:6=2156.18&#13;&#10;" sqref="AT153">
      <formula1>0</formula1>
      <formula2>300</formula2>
    </dataValidation>
    <dataValidation errorStyle="information" type="textLength" allowBlank="1" showInputMessage="1" error="XLBVal:6=746&#13;&#10;" sqref="AV152">
      <formula1>0</formula1>
      <formula2>300</formula2>
    </dataValidation>
    <dataValidation errorStyle="information" type="textLength" allowBlank="1" showInputMessage="1" error="XLBVal:6=141.15&#13;&#10;" sqref="AU152">
      <formula1>0</formula1>
      <formula2>300</formula2>
    </dataValidation>
    <dataValidation errorStyle="information" type="textLength" allowBlank="1" showInputMessage="1" error="XLBVal:6=104.5&#13;&#10;" sqref="AT152">
      <formula1>0</formula1>
      <formula2>300</formula2>
    </dataValidation>
    <dataValidation errorStyle="information" type="textLength" allowBlank="1" showInputMessage="1" error="XLBVal:6=87.3&#13;&#10;" sqref="AV151">
      <formula1>0</formula1>
      <formula2>300</formula2>
    </dataValidation>
    <dataValidation errorStyle="information" type="textLength" allowBlank="1" showInputMessage="1" error="XLBVal:6=94.5&#13;&#10;" sqref="AT151">
      <formula1>0</formula1>
      <formula2>300</formula2>
    </dataValidation>
    <dataValidation errorStyle="information" type="textLength" allowBlank="1" showInputMessage="1" error="XLBVal:6=475.01&#13;&#10;" sqref="AV150">
      <formula1>0</formula1>
      <formula2>300</formula2>
    </dataValidation>
    <dataValidation errorStyle="information" type="textLength" allowBlank="1" showInputMessage="1" error="XLBVal:6=-46.86&#13;&#10;" sqref="AU150">
      <formula1>0</formula1>
      <formula2>300</formula2>
    </dataValidation>
    <dataValidation errorStyle="information" type="textLength" allowBlank="1" showInputMessage="1" error="XLBVal:6=440.89&#13;&#10;" sqref="AT150">
      <formula1>0</formula1>
      <formula2>300</formula2>
    </dataValidation>
    <dataValidation errorStyle="information" type="textLength" allowBlank="1" showInputMessage="1" error="XLBVal:6=716.85&#13;&#10;" sqref="AV149">
      <formula1>0</formula1>
      <formula2>300</formula2>
    </dataValidation>
    <dataValidation errorStyle="information" type="textLength" allowBlank="1" showInputMessage="1" error="XLBVal:6=208.88&#13;&#10;" sqref="AU149">
      <formula1>0</formula1>
      <formula2>300</formula2>
    </dataValidation>
    <dataValidation errorStyle="information" type="textLength" allowBlank="1" showInputMessage="1" error="XLBVal:6=2874.73&#13;&#10;" sqref="AT149">
      <formula1>0</formula1>
      <formula2>300</formula2>
    </dataValidation>
    <dataValidation errorStyle="information" type="textLength" allowBlank="1" showInputMessage="1" error="XLBVal:6=285.46&#13;&#10;" sqref="AV147">
      <formula1>0</formula1>
      <formula2>300</formula2>
    </dataValidation>
    <dataValidation errorStyle="information" type="textLength" allowBlank="1" showInputMessage="1" error="XLBVal:6=559.71&#13;&#10;" sqref="AV146">
      <formula1>0</formula1>
      <formula2>300</formula2>
    </dataValidation>
    <dataValidation errorStyle="information" type="textLength" allowBlank="1" showInputMessage="1" error="XLBVal:6=604.93&#13;&#10;" sqref="AU146">
      <formula1>0</formula1>
      <formula2>300</formula2>
    </dataValidation>
    <dataValidation errorStyle="information" type="textLength" allowBlank="1" showInputMessage="1" error="XLBVal:6=437.29&#13;&#10;" sqref="AT146">
      <formula1>0</formula1>
      <formula2>300</formula2>
    </dataValidation>
    <dataValidation errorStyle="information" type="textLength" allowBlank="1" showInputMessage="1" error="XLBVal:6=460.01&#13;&#10;" sqref="AV145">
      <formula1>0</formula1>
      <formula2>300</formula2>
    </dataValidation>
    <dataValidation errorStyle="information" type="textLength" allowBlank="1" showInputMessage="1" error="XLBVal:6=-2126.68&#13;&#10;" sqref="AT145">
      <formula1>0</formula1>
      <formula2>300</formula2>
    </dataValidation>
    <dataValidation errorStyle="information" type="textLength" allowBlank="1" showInputMessage="1" error="XLBVal:6=1849.49&#13;&#10;" sqref="AV144">
      <formula1>0</formula1>
      <formula2>300</formula2>
    </dataValidation>
    <dataValidation errorStyle="information" type="textLength" allowBlank="1" showInputMessage="1" error="XLBVal:6=434.51&#13;&#10;" sqref="AU144">
      <formula1>0</formula1>
      <formula2>300</formula2>
    </dataValidation>
    <dataValidation errorStyle="information" type="textLength" allowBlank="1" showInputMessage="1" error="XLBVal:6=225.94&#13;&#10;" sqref="AV143">
      <formula1>0</formula1>
      <formula2>300</formula2>
    </dataValidation>
    <dataValidation errorStyle="information" type="textLength" allowBlank="1" showInputMessage="1" error="XLBVal:6=283.15&#13;&#10;" sqref="AU143">
      <formula1>0</formula1>
      <formula2>300</formula2>
    </dataValidation>
    <dataValidation errorStyle="information" type="textLength" allowBlank="1" showInputMessage="1" error="XLBVal:6=235.8&#13;&#10;" sqref="AT143">
      <formula1>0</formula1>
      <formula2>300</formula2>
    </dataValidation>
    <dataValidation errorStyle="information" type="textLength" allowBlank="1" showInputMessage="1" error="XLBVal:6=500&#13;&#10;" sqref="AQ157 AT157">
      <formula1>0</formula1>
      <formula2>300</formula2>
    </dataValidation>
    <dataValidation errorStyle="information" type="textLength" allowBlank="1" showInputMessage="1" error="XLBVal:6=496.8&#13;&#10;" sqref="AR156">
      <formula1>0</formula1>
      <formula2>300</formula2>
    </dataValidation>
    <dataValidation errorStyle="information" type="textLength" allowBlank="1" showInputMessage="1" error="XLBVal:6=494.39&#13;&#10;" sqref="AP156">
      <formula1>0</formula1>
      <formula2>300</formula2>
    </dataValidation>
    <dataValidation errorStyle="information" type="textLength" allowBlank="1" showInputMessage="1" error="XLBVal:6=959.06&#13;&#10;" sqref="AR155">
      <formula1>0</formula1>
      <formula2>300</formula2>
    </dataValidation>
    <dataValidation errorStyle="information" type="textLength" allowBlank="1" showInputMessage="1" error="XLBVal:6=46.61&#13;&#10;" sqref="AQ155">
      <formula1>0</formula1>
      <formula2>300</formula2>
    </dataValidation>
    <dataValidation errorStyle="information" type="textLength" allowBlank="1" showInputMessage="1" error="XLBVal:6=1072.91&#13;&#10;" sqref="AP155">
      <formula1>0</formula1>
      <formula2>300</formula2>
    </dataValidation>
    <dataValidation errorStyle="information" type="textLength" allowBlank="1" showInputMessage="1" error="XLBVal:6=8&#13;&#10;" sqref="AR154">
      <formula1>0</formula1>
      <formula2>300</formula2>
    </dataValidation>
    <dataValidation errorStyle="information" type="textLength" allowBlank="1" showInputMessage="1" error="XLBVal:6=91.5&#13;&#10;" sqref="AQ154">
      <formula1>0</formula1>
      <formula2>300</formula2>
    </dataValidation>
    <dataValidation errorStyle="information" type="textLength" allowBlank="1" showInputMessage="1" error="XLBVal:6=100&#13;&#10;" sqref="AP154 AP157 BH95">
      <formula1>0</formula1>
      <formula2>300</formula2>
    </dataValidation>
    <dataValidation errorStyle="information" type="textLength" allowBlank="1" showInputMessage="1" error="XLBVal:6=184.41&#13;&#10;" sqref="AR152">
      <formula1>0</formula1>
      <formula2>300</formula2>
    </dataValidation>
    <dataValidation errorStyle="information" type="textLength" allowBlank="1" showInputMessage="1" error="XLBVal:6=102.28&#13;&#10;" sqref="AQ152">
      <formula1>0</formula1>
      <formula2>300</formula2>
    </dataValidation>
    <dataValidation errorStyle="information" type="textLength" allowBlank="1" showInputMessage="1" error="XLBVal:6=115.18&#13;&#10;" sqref="AP152">
      <formula1>0</formula1>
      <formula2>300</formula2>
    </dataValidation>
    <dataValidation errorStyle="information" type="textLength" allowBlank="1" showInputMessage="1" error="XLBVal:6=138.5&#13;&#10;" sqref="AP151">
      <formula1>0</formula1>
      <formula2>300</formula2>
    </dataValidation>
    <dataValidation errorStyle="information" type="textLength" allowBlank="1" showInputMessage="1" error="XLBVal:6=94.34&#13;&#10;" sqref="AR150">
      <formula1>0</formula1>
      <formula2>300</formula2>
    </dataValidation>
    <dataValidation errorStyle="information" type="textLength" allowBlank="1" showInputMessage="1" error="XLBVal:6=1011.99&#13;&#10;" sqref="AP150">
      <formula1>0</formula1>
      <formula2>300</formula2>
    </dataValidation>
    <dataValidation errorStyle="information" type="textLength" allowBlank="1" showInputMessage="1" error="XLBVal:6=628.75&#13;&#10;" sqref="AR149">
      <formula1>0</formula1>
      <formula2>300</formula2>
    </dataValidation>
    <dataValidation errorStyle="information" type="textLength" allowBlank="1" showInputMessage="1" error="XLBVal:6=7.7&#13;&#10;" sqref="AQ149">
      <formula1>0</formula1>
      <formula2>300</formula2>
    </dataValidation>
    <dataValidation errorStyle="information" type="textLength" allowBlank="1" showInputMessage="1" error="XLBVal:6=371.25&#13;&#10;" sqref="AP149">
      <formula1>0</formula1>
      <formula2>300</formula2>
    </dataValidation>
    <dataValidation errorStyle="information" type="textLength" allowBlank="1" showInputMessage="1" error="XLBVal:6=50.01&#13;&#10;" sqref="AQ148">
      <formula1>0</formula1>
      <formula2>300</formula2>
    </dataValidation>
    <dataValidation errorStyle="information" type="textLength" allowBlank="1" showInputMessage="1" error="XLBVal:6=188.51&#13;&#10;" sqref="AQ147">
      <formula1>0</formula1>
      <formula2>300</formula2>
    </dataValidation>
    <dataValidation errorStyle="information" type="textLength" allowBlank="1" showInputMessage="1" error="XLBVal:6=93&#13;&#10;" sqref="AP147">
      <formula1>0</formula1>
      <formula2>300</formula2>
    </dataValidation>
    <dataValidation errorStyle="information" type="textLength" allowBlank="1" showInputMessage="1" error="XLBVal:6=460.2&#13;&#10;" sqref="AR146">
      <formula1>0</formula1>
      <formula2>300</formula2>
    </dataValidation>
    <dataValidation errorStyle="information" type="textLength" allowBlank="1" showInputMessage="1" error="XLBVal:6=95.07&#13;&#10;" sqref="AQ146">
      <formula1>0</formula1>
      <formula2>300</formula2>
    </dataValidation>
    <dataValidation errorStyle="information" type="textLength" allowBlank="1" showInputMessage="1" error="XLBVal:6=271.71&#13;&#10;" sqref="AP146">
      <formula1>0</formula1>
      <formula2>300</formula2>
    </dataValidation>
    <dataValidation errorStyle="information" type="textLength" allowBlank="1" showInputMessage="1" error="XLBVal:6=421.95&#13;&#10;" sqref="AQ145">
      <formula1>0</formula1>
      <formula2>300</formula2>
    </dataValidation>
    <dataValidation errorStyle="information" type="textLength" allowBlank="1" showInputMessage="1" error="XLBVal:6=1479.8&#13;&#10;" sqref="AP145">
      <formula1>0</formula1>
      <formula2>300</formula2>
    </dataValidation>
    <dataValidation errorStyle="information" type="textLength" allowBlank="1" showInputMessage="1" error="XLBVal:6=447.01&#13;&#10;" sqref="AR144">
      <formula1>0</formula1>
      <formula2>300</formula2>
    </dataValidation>
    <dataValidation errorStyle="information" type="textLength" allowBlank="1" showInputMessage="1" error="XLBVal:6=10&#13;&#10;" sqref="AQ144 AT144">
      <formula1>0</formula1>
      <formula2>300</formula2>
    </dataValidation>
    <dataValidation errorStyle="information" type="textLength" allowBlank="1" showInputMessage="1" error="XLBVal:6=360.15&#13;&#10;" sqref="AR143">
      <formula1>0</formula1>
      <formula2>300</formula2>
    </dataValidation>
    <dataValidation errorStyle="information" type="textLength" allowBlank="1" showInputMessage="1" error="XLBVal:6=330.58&#13;&#10;" sqref="AP143">
      <formula1>0</formula1>
      <formula2>300</formula2>
    </dataValidation>
    <dataValidation errorStyle="information" type="textLength" allowBlank="1" showInputMessage="1" error="XLBVal:6=50&#13;&#10;" sqref="AM157 AP148 AR148 AR151">
      <formula1>0</formula1>
      <formula2>300</formula2>
    </dataValidation>
    <dataValidation errorStyle="information" type="textLength" allowBlank="1" showInputMessage="1" error="XLBVal:6=124.99&#13;&#10;" sqref="AL157">
      <formula1>0</formula1>
      <formula2>300</formula2>
    </dataValidation>
    <dataValidation errorStyle="information" type="textLength" allowBlank="1" showInputMessage="1" error="XLBVal:6=631.18&#13;&#10;" sqref="AM156">
      <formula1>0</formula1>
      <formula2>300</formula2>
    </dataValidation>
    <dataValidation errorStyle="information" type="textLength" allowBlank="1" showInputMessage="1" error="XLBVal:6=204&#13;&#10;" sqref="AL156 AQ156">
      <formula1>0</formula1>
      <formula2>300</formula2>
    </dataValidation>
    <dataValidation errorStyle="information" type="textLength" allowBlank="1" showInputMessage="1" error="XLBVal:6=1060&#13;&#10;" sqref="AK156">
      <formula1>0</formula1>
      <formula2>300</formula2>
    </dataValidation>
    <dataValidation errorStyle="information" type="textLength" allowBlank="1" showInputMessage="1" error="XLBVal:6=261.01&#13;&#10;" sqref="AL155">
      <formula1>0</formula1>
      <formula2>300</formula2>
    </dataValidation>
    <dataValidation errorStyle="information" type="textLength" allowBlank="1" showInputMessage="1" error="XLBVal:6=26.69&#13;&#10;" sqref="AM154">
      <formula1>0</formula1>
      <formula2>300</formula2>
    </dataValidation>
    <dataValidation errorStyle="information" type="textLength" allowBlank="1" showInputMessage="1" error="XLBVal:6=37&#13;&#10;" sqref="AL154">
      <formula1>0</formula1>
      <formula2>300</formula2>
    </dataValidation>
    <dataValidation errorStyle="information" type="textLength" allowBlank="1" showInputMessage="1" error="XLBVal:6=542.21&#13;&#10;" sqref="AL152">
      <formula1>0</formula1>
      <formula2>300</formula2>
    </dataValidation>
    <dataValidation errorStyle="information" type="textLength" allowBlank="1" showInputMessage="1" error="XLBVal:6=207.49&#13;&#10;" sqref="AM151">
      <formula1>0</formula1>
      <formula2>300</formula2>
    </dataValidation>
    <dataValidation errorStyle="information" type="textLength" allowBlank="1" showInputMessage="1" error="XLBVal:6=14.99&#13;&#10;" sqref="AL151">
      <formula1>0</formula1>
      <formula2>300</formula2>
    </dataValidation>
    <dataValidation errorStyle="information" type="textLength" allowBlank="1" showInputMessage="1" error="XLBVal:6=186&#13;&#10;" sqref="AL150">
      <formula1>0</formula1>
      <formula2>300</formula2>
    </dataValidation>
    <dataValidation errorStyle="information" type="textLength" allowBlank="1" showInputMessage="1" error="XLBVal:6=344.8&#13;&#10;" sqref="AM149">
      <formula1>0</formula1>
      <formula2>300</formula2>
    </dataValidation>
    <dataValidation errorStyle="information" type="textLength" allowBlank="1" showInputMessage="1" error="XLBVal:6=452.54&#13;&#10;" sqref="AL149">
      <formula1>0</formula1>
      <formula2>300</formula2>
    </dataValidation>
    <dataValidation errorStyle="information" type="textLength" allowBlank="1" showInputMessage="1" error="XLBVal:6=180&#13;&#10;" sqref="AM147 AU145">
      <formula1>0</formula1>
      <formula2>300</formula2>
    </dataValidation>
    <dataValidation errorStyle="information" type="textLength" allowBlank="1" showInputMessage="1" error="XLBVal:6=452.6&#13;&#10;" sqref="AL147">
      <formula1>0</formula1>
      <formula2>300</formula2>
    </dataValidation>
    <dataValidation errorStyle="information" type="textLength" allowBlank="1" showInputMessage="1" error="XLBVal:6=78.88&#13;&#10;" sqref="AM146">
      <formula1>0</formula1>
      <formula2>300</formula2>
    </dataValidation>
    <dataValidation errorStyle="information" type="textLength" allowBlank="1" showInputMessage="1" error="XLBVal:6=1884.23&#13;&#10;" sqref="AM145">
      <formula1>0</formula1>
      <formula2>300</formula2>
    </dataValidation>
    <dataValidation errorStyle="information" type="textLength" allowBlank="1" showInputMessage="1" error="XLBVal:6=318&#13;&#10;" sqref="AL145">
      <formula1>0</formula1>
      <formula2>300</formula2>
    </dataValidation>
    <dataValidation errorStyle="information" type="textLength" allowBlank="1" showInputMessage="1" error="XLBVal:6=11.99&#13;&#10;" sqref="AM144">
      <formula1>0</formula1>
      <formula2>300</formula2>
    </dataValidation>
    <dataValidation errorStyle="information" type="textLength" allowBlank="1" showInputMessage="1" error="XLBVal:6=204.01&#13;&#10;" sqref="AL144">
      <formula1>0</formula1>
      <formula2>300</formula2>
    </dataValidation>
    <dataValidation errorStyle="information" type="textLength" allowBlank="1" showInputMessage="1" error="XLBVal:6=446.32&#13;&#10;" sqref="AL143">
      <formula1>0</formula1>
      <formula2>300</formula2>
    </dataValidation>
    <dataValidation errorStyle="information" type="textLength" allowBlank="1" showInputMessage="1" error="XLBVal:6=432.51&#13;&#10;" sqref="AX142">
      <formula1>0</formula1>
      <formula2>300</formula2>
    </dataValidation>
    <dataValidation errorStyle="information" type="textLength" allowBlank="1" showInputMessage="1" error="XLBVal:6=687.48&#13;&#10;" sqref="AV142">
      <formula1>0</formula1>
      <formula2>300</formula2>
    </dataValidation>
    <dataValidation errorStyle="information" type="textLength" allowBlank="1" showInputMessage="1" error="XLBVal:6=483.45&#13;&#10;" sqref="AU142">
      <formula1>0</formula1>
      <formula2>300</formula2>
    </dataValidation>
    <dataValidation errorStyle="information" type="textLength" allowBlank="1" showInputMessage="1" error="XLBVal:6=209.58&#13;&#10;" sqref="AT142">
      <formula1>0</formula1>
      <formula2>300</formula2>
    </dataValidation>
    <dataValidation errorStyle="information" type="textLength" allowBlank="1" showInputMessage="1" error="XLBVal:6=342.24&#13;&#10;" sqref="AR142">
      <formula1>0</formula1>
      <formula2>300</formula2>
    </dataValidation>
    <dataValidation errorStyle="information" type="textLength" allowBlank="1" showInputMessage="1" error="XLBVal:6=341.63&#13;&#10;" sqref="AQ142">
      <formula1>0</formula1>
      <formula2>300</formula2>
    </dataValidation>
    <dataValidation errorStyle="information" type="textLength" allowBlank="1" showInputMessage="1" error="XLBVal:6=679.14&#13;&#10;" sqref="AP142">
      <formula1>0</formula1>
      <formula2>300</formula2>
    </dataValidation>
    <dataValidation errorStyle="information" type="textLength" allowBlank="1" showInputMessage="1" error="XLBVal:6=75.86&#13;&#10;" sqref="AM142">
      <formula1>0</formula1>
      <formula2>300</formula2>
    </dataValidation>
    <dataValidation errorStyle="information" type="textLength" allowBlank="1" showInputMessage="1" error="XLBVal:6=168.92&#13;&#10;" sqref="AL142">
      <formula1>0</formula1>
      <formula2>300</formula2>
    </dataValidation>
    <dataValidation errorStyle="information" type="textLength" allowBlank="1" showInputMessage="1" error="XLBVal:6=33715.3&#13;&#10;" sqref="AU138">
      <formula1>0</formula1>
      <formula2>300</formula2>
    </dataValidation>
    <dataValidation errorStyle="information" type="textLength" allowBlank="1" showInputMessage="1" error="XLBVal:6=1926.01&#13;&#10;" sqref="AX134">
      <formula1>0</formula1>
      <formula2>300</formula2>
    </dataValidation>
    <dataValidation errorStyle="information" type="textLength" allowBlank="1" showInputMessage="1" error="XLBVal:6=152.5&#13;&#10;" sqref="AV135">
      <formula1>0</formula1>
      <formula2>300</formula2>
    </dataValidation>
    <dataValidation errorStyle="information" type="textLength" allowBlank="1" showInputMessage="1" error="XLBVal:6=1.91&#13;&#10;" sqref="AU135">
      <formula1>0</formula1>
      <formula2>300</formula2>
    </dataValidation>
    <dataValidation errorStyle="information" type="textLength" allowBlank="1" showInputMessage="1" error="XLBVal:6=342.5&#13;&#10;" sqref="AV134">
      <formula1>0</formula1>
      <formula2>300</formula2>
    </dataValidation>
    <dataValidation errorStyle="information" type="textLength" allowBlank="1" showInputMessage="1" error="XLBVal:6=210.99&#13;&#10;" sqref="AU134">
      <formula1>0</formula1>
      <formula2>300</formula2>
    </dataValidation>
    <dataValidation errorStyle="information" type="textLength" allowBlank="1" showInputMessage="1" error="XLBVal:6=301.99&#13;&#10;" sqref="AT134">
      <formula1>0</formula1>
      <formula2>300</formula2>
    </dataValidation>
    <dataValidation errorStyle="information" type="textLength" allowBlank="1" showInputMessage="1" error="XLBVal:6=339.99&#13;&#10;" sqref="AR134">
      <formula1>0</formula1>
      <formula2>300</formula2>
    </dataValidation>
    <dataValidation errorStyle="information" type="textLength" allowBlank="1" showInputMessage="1" error="XLBVal:6=245.51&#13;&#10;" sqref="AQ134">
      <formula1>0</formula1>
      <formula2>300</formula2>
    </dataValidation>
    <dataValidation errorStyle="information" type="textLength" allowBlank="1" showInputMessage="1" error="XLBVal:6=175.98&#13;&#10;" sqref="AP134">
      <formula1>0</formula1>
      <formula2>300</formula2>
    </dataValidation>
    <dataValidation errorStyle="information" type="textLength" allowBlank="1" showInputMessage="1" error="XLBVal:6=70&#13;&#10;" sqref="AX127 AR157">
      <formula1>0</formula1>
      <formula2>300</formula2>
    </dataValidation>
    <dataValidation errorStyle="information" type="textLength" allowBlank="1" showInputMessage="1" error="XLBVal:6=756.86&#13;&#10;" sqref="AX120">
      <formula1>0</formula1>
      <formula2>300</formula2>
    </dataValidation>
    <dataValidation errorStyle="information" type="textLength" allowBlank="1" showInputMessage="1" error="XLBVal:6=1012.6&#13;&#10;" sqref="AX119">
      <formula1>0</formula1>
      <formula2>300</formula2>
    </dataValidation>
    <dataValidation errorStyle="information" type="textLength" allowBlank="1" showInputMessage="1" error="XLBVal:6=1034.15&#13;&#10;" sqref="AX118">
      <formula1>0</formula1>
      <formula2>300</formula2>
    </dataValidation>
    <dataValidation errorStyle="information" type="textLength" allowBlank="1" showInputMessage="1" error="XLBVal:6=312.74&#13;&#10;" sqref="AX117">
      <formula1>0</formula1>
      <formula2>300</formula2>
    </dataValidation>
    <dataValidation errorStyle="information" type="textLength" allowBlank="1" showInputMessage="1" error="XLBVal:6=193.01&#13;&#10;" sqref="AX116">
      <formula1>0</formula1>
      <formula2>300</formula2>
    </dataValidation>
    <dataValidation errorStyle="information" type="textLength" allowBlank="1" showInputMessage="1" error="XLBVal:6=257.53&#13;&#10;" sqref="AX115">
      <formula1>0</formula1>
      <formula2>300</formula2>
    </dataValidation>
    <dataValidation errorStyle="information" type="textLength" allowBlank="1" showInputMessage="1" error="XLBVal:6=1386.88&#13;&#10;" sqref="AX114">
      <formula1>0</formula1>
      <formula2>300</formula2>
    </dataValidation>
    <dataValidation errorStyle="information" type="textLength" allowBlank="1" showInputMessage="1" error="XLBVal:6=532.09&#13;&#10;" sqref="AX113">
      <formula1>0</formula1>
      <formula2>300</formula2>
    </dataValidation>
    <dataValidation errorStyle="information" type="textLength" allowBlank="1" showInputMessage="1" error="XLBVal:6=696.53&#13;&#10;" sqref="AX112">
      <formula1>0</formula1>
      <formula2>300</formula2>
    </dataValidation>
    <dataValidation errorStyle="information" type="textLength" allowBlank="1" showInputMessage="1" error="XLBVal:6=1287.38&#13;&#10;" sqref="AX111">
      <formula1>0</formula1>
      <formula2>300</formula2>
    </dataValidation>
    <dataValidation errorStyle="information" type="textLength" allowBlank="1" showInputMessage="1" error="XLBVal:6=2012.97&#13;&#10;" sqref="AX110">
      <formula1>0</formula1>
      <formula2>300</formula2>
    </dataValidation>
    <dataValidation errorStyle="information" type="textLength" allowBlank="1" showInputMessage="1" error="XLBVal:6=985.8&#13;&#10;" sqref="AT127">
      <formula1>0</formula1>
      <formula2>300</formula2>
    </dataValidation>
    <dataValidation errorStyle="information" type="textLength" allowBlank="1" showInputMessage="1" error="XLBVal:6=576.12&#13;&#10;" sqref="AV120">
      <formula1>0</formula1>
      <formula2>300</formula2>
    </dataValidation>
    <dataValidation errorStyle="information" type="textLength" allowBlank="1" showInputMessage="1" error="XLBVal:6=692.76&#13;&#10;" sqref="AU120">
      <formula1>0</formula1>
      <formula2>300</formula2>
    </dataValidation>
    <dataValidation errorStyle="information" type="textLength" allowBlank="1" showInputMessage="1" error="XLBVal:6=784.91&#13;&#10;" sqref="AT120">
      <formula1>0</formula1>
      <formula2>300</formula2>
    </dataValidation>
    <dataValidation errorStyle="information" type="textLength" allowBlank="1" showInputMessage="1" error="XLBVal:6=863.27&#13;&#10;" sqref="AV119">
      <formula1>0</formula1>
      <formula2>300</formula2>
    </dataValidation>
    <dataValidation errorStyle="information" type="textLength" allowBlank="1" showInputMessage="1" error="XLBVal:6=964.37&#13;&#10;" sqref="AU119">
      <formula1>0</formula1>
      <formula2>300</formula2>
    </dataValidation>
    <dataValidation errorStyle="information" type="textLength" allowBlank="1" showInputMessage="1" error="XLBVal:6=549.94&#13;&#10;" sqref="AT119">
      <formula1>0</formula1>
      <formula2>300</formula2>
    </dataValidation>
    <dataValidation errorStyle="information" type="textLength" allowBlank="1" showInputMessage="1" error="XLBVal:6=1998.46&#13;&#10;" sqref="AV118">
      <formula1>0</formula1>
      <formula2>300</formula2>
    </dataValidation>
    <dataValidation errorStyle="information" type="textLength" allowBlank="1" showInputMessage="1" error="XLBVal:6=1088.67&#13;&#10;" sqref="AU118">
      <formula1>0</formula1>
      <formula2>300</formula2>
    </dataValidation>
    <dataValidation errorStyle="information" type="textLength" allowBlank="1" showInputMessage="1" error="XLBVal:6=1360.19&#13;&#10;" sqref="AT118">
      <formula1>0</formula1>
      <formula2>300</formula2>
    </dataValidation>
    <dataValidation errorStyle="information" type="textLength" allowBlank="1" showInputMessage="1" error="XLBVal:6=232.59&#13;&#10;" sqref="AV117">
      <formula1>0</formula1>
      <formula2>300</formula2>
    </dataValidation>
    <dataValidation errorStyle="information" type="textLength" allowBlank="1" showInputMessage="1" error="XLBVal:6=215.78&#13;&#10;" sqref="AT117:AU117">
      <formula1>0</formula1>
      <formula2>300</formula2>
    </dataValidation>
    <dataValidation errorStyle="information" type="textLength" allowBlank="1" showInputMessage="1" error="XLBVal:6=68.39&#13;&#10;" sqref="AV115">
      <formula1>0</formula1>
      <formula2>300</formula2>
    </dataValidation>
    <dataValidation errorStyle="information" type="textLength" allowBlank="1" showInputMessage="1" error="XLBVal:6=70.8&#13;&#10;" sqref="AU115">
      <formula1>0</formula1>
      <formula2>300</formula2>
    </dataValidation>
    <dataValidation errorStyle="information" type="textLength" allowBlank="1" showInputMessage="1" error="XLBVal:6=80.92&#13;&#10;" sqref="AT115">
      <formula1>0</formula1>
      <formula2>300</formula2>
    </dataValidation>
    <dataValidation errorStyle="information" type="textLength" allowBlank="1" showInputMessage="1" error="XLBVal:6=639.24&#13;&#10;" sqref="AV114">
      <formula1>0</formula1>
      <formula2>300</formula2>
    </dataValidation>
    <dataValidation errorStyle="information" type="textLength" allowBlank="1" showInputMessage="1" error="XLBVal:6=575.09&#13;&#10;" sqref="AU114">
      <formula1>0</formula1>
      <formula2>300</formula2>
    </dataValidation>
    <dataValidation errorStyle="information" type="textLength" allowBlank="1" showInputMessage="1" error="XLBVal:6=573.51&#13;&#10;" sqref="AT114">
      <formula1>0</formula1>
      <formula2>300</formula2>
    </dataValidation>
    <dataValidation errorStyle="information" type="textLength" allowBlank="1" showInputMessage="1" error="XLBVal:6=130.85&#13;&#10;" sqref="AV113">
      <formula1>0</formula1>
      <formula2>300</formula2>
    </dataValidation>
    <dataValidation errorStyle="information" type="textLength" allowBlank="1" showInputMessage="1" error="XLBVal:6=128.45&#13;&#10;" sqref="AU113">
      <formula1>0</formula1>
      <formula2>300</formula2>
    </dataValidation>
    <dataValidation errorStyle="information" type="textLength" allowBlank="1" showInputMessage="1" error="XLBVal:6=149.65&#13;&#10;" sqref="AT113">
      <formula1>0</formula1>
      <formula2>300</formula2>
    </dataValidation>
    <dataValidation errorStyle="information" type="textLength" allowBlank="1" showInputMessage="1" error="XLBVal:6=202.78&#13;&#10;" sqref="AV112">
      <formula1>0</formula1>
      <formula2>300</formula2>
    </dataValidation>
    <dataValidation errorStyle="information" type="textLength" allowBlank="1" showInputMessage="1" error="XLBVal:6=197.53&#13;&#10;" sqref="AU112">
      <formula1>0</formula1>
      <formula2>300</formula2>
    </dataValidation>
    <dataValidation errorStyle="information" type="textLength" allowBlank="1" showInputMessage="1" error="XLBVal:6=223.18&#13;&#10;" sqref="AT112">
      <formula1>0</formula1>
      <formula2>300</formula2>
    </dataValidation>
    <dataValidation errorStyle="information" type="textLength" allowBlank="1" showInputMessage="1" error="XLBVal:6=350.51&#13;&#10;" sqref="AV111">
      <formula1>0</formula1>
      <formula2>300</formula2>
    </dataValidation>
    <dataValidation errorStyle="information" type="textLength" allowBlank="1" showInputMessage="1" error="XLBVal:6=349.91&#13;&#10;" sqref="AU111">
      <formula1>0</formula1>
      <formula2>300</formula2>
    </dataValidation>
    <dataValidation errorStyle="information" type="textLength" allowBlank="1" showInputMessage="1" error="XLBVal:6=397.25&#13;&#10;" sqref="AT111">
      <formula1>0</formula1>
      <formula2>300</formula2>
    </dataValidation>
    <dataValidation errorStyle="information" type="textLength" allowBlank="1" showInputMessage="1" error="XLBVal:6=321.06&#13;&#10;" sqref="AV110">
      <formula1>0</formula1>
      <formula2>300</formula2>
    </dataValidation>
    <dataValidation errorStyle="information" type="textLength" allowBlank="1" showInputMessage="1" error="XLBVal:6=320.44&#13;&#10;" sqref="AU110">
      <formula1>0</formula1>
      <formula2>300</formula2>
    </dataValidation>
    <dataValidation errorStyle="information" type="textLength" allowBlank="1" showInputMessage="1" error="XLBVal:6=321.03&#13;&#10;" sqref="AT110">
      <formula1>0</formula1>
      <formula2>300</formula2>
    </dataValidation>
    <dataValidation errorStyle="information" type="textLength" allowBlank="1" showInputMessage="1" error="XLBVal:6=411.58&#13;&#10;" sqref="AQ127">
      <formula1>0</formula1>
      <formula2>300</formula2>
    </dataValidation>
    <dataValidation errorStyle="information" type="textLength" allowBlank="1" showInputMessage="1" error="XLBVal:6=639.49&#13;&#10;" sqref="AR120">
      <formula1>0</formula1>
      <formula2>300</formula2>
    </dataValidation>
    <dataValidation errorStyle="information" type="textLength" allowBlank="1" showInputMessage="1" error="XLBVal:6=860.32&#13;&#10;" sqref="AQ120">
      <formula1>0</formula1>
      <formula2>300</formula2>
    </dataValidation>
    <dataValidation errorStyle="information" type="textLength" allowBlank="1" showInputMessage="1" error="XLBVal:6=531.38&#13;&#10;" sqref="AP120">
      <formula1>0</formula1>
      <formula2>300</formula2>
    </dataValidation>
    <dataValidation errorStyle="information" type="textLength" allowBlank="1" showInputMessage="1" error="XLBVal:6=109.43&#13;&#10;" sqref="AR119">
      <formula1>0</formula1>
      <formula2>300</formula2>
    </dataValidation>
    <dataValidation errorStyle="information" type="textLength" allowBlank="1" showInputMessage="1" error="XLBVal:6=2397.61&#13;&#10;" sqref="AQ119">
      <formula1>0</formula1>
      <formula2>300</formula2>
    </dataValidation>
    <dataValidation errorStyle="information" type="textLength" allowBlank="1" showInputMessage="1" error="XLBVal:6=756.53&#13;&#10;" sqref="AP119">
      <formula1>0</formula1>
      <formula2>300</formula2>
    </dataValidation>
    <dataValidation errorStyle="information" type="textLength" allowBlank="1" showInputMessage="1" error="XLBVal:6=897.58&#13;&#10;" sqref="AR118">
      <formula1>0</formula1>
      <formula2>300</formula2>
    </dataValidation>
    <dataValidation errorStyle="information" type="textLength" allowBlank="1" showInputMessage="1" error="XLBVal:6=721.87&#13;&#10;" sqref="AQ118">
      <formula1>0</formula1>
      <formula2>300</formula2>
    </dataValidation>
    <dataValidation errorStyle="information" type="textLength" allowBlank="1" showInputMessage="1" error="XLBVal:6=0.3&#13;&#10;" sqref="AP118">
      <formula1>0</formula1>
      <formula2>300</formula2>
    </dataValidation>
    <dataValidation errorStyle="information" type="textLength" allowBlank="1" showInputMessage="1" error="XLBVal:6=235.47&#13;&#10;" sqref="AR117">
      <formula1>0</formula1>
      <formula2>300</formula2>
    </dataValidation>
    <dataValidation errorStyle="information" type="textLength" allowBlank="1" showInputMessage="1" error="XLBVal:6=235.57&#13;&#10;" sqref="AQ117">
      <formula1>0</formula1>
      <formula2>300</formula2>
    </dataValidation>
    <dataValidation errorStyle="information" type="textLength" allowBlank="1" showInputMessage="1" error="XLBVal:6=181.12&#13;&#10;" sqref="AP117">
      <formula1>0</formula1>
      <formula2>300</formula2>
    </dataValidation>
    <dataValidation errorStyle="information" type="textLength" allowBlank="1" showInputMessage="1" error="XLBVal:6=1967.87&#13;&#10;" sqref="AR116">
      <formula1>0</formula1>
      <formula2>300</formula2>
    </dataValidation>
    <dataValidation errorStyle="information" type="textLength" allowBlank="1" showInputMessage="1" error="XLBVal:6=394.36&#13;&#10;" sqref="AQ116">
      <formula1>0</formula1>
      <formula2>300</formula2>
    </dataValidation>
    <dataValidation errorStyle="information" type="textLength" allowBlank="1" showInputMessage="1" error="XLBVal:6=986.94&#13;&#10;" sqref="AP116">
      <formula1>0</formula1>
      <formula2>300</formula2>
    </dataValidation>
    <dataValidation errorStyle="information" type="textLength" allowBlank="1" showInputMessage="1" error="XLBVal:6=82.92&#13;&#10;" sqref="AR115">
      <formula1>0</formula1>
      <formula2>300</formula2>
    </dataValidation>
    <dataValidation errorStyle="information" type="textLength" allowBlank="1" showInputMessage="1" error="XLBVal:6=97.56&#13;&#10;" sqref="AQ115">
      <formula1>0</formula1>
      <formula2>300</formula2>
    </dataValidation>
    <dataValidation errorStyle="information" type="textLength" allowBlank="1" showInputMessage="1" error="XLBVal:6=22.99&#13;&#10;" sqref="AP115">
      <formula1>0</formula1>
      <formula2>300</formula2>
    </dataValidation>
    <dataValidation errorStyle="information" type="textLength" allowBlank="1" showInputMessage="1" error="XLBVal:6=739.48&#13;&#10;" sqref="AR114">
      <formula1>0</formula1>
      <formula2>300</formula2>
    </dataValidation>
    <dataValidation errorStyle="information" type="textLength" allowBlank="1" showInputMessage="1" error="XLBVal:6=610.78&#13;&#10;" sqref="AQ114">
      <formula1>0</formula1>
      <formula2>300</formula2>
    </dataValidation>
    <dataValidation errorStyle="information" type="textLength" allowBlank="1" showInputMessage="1" error="XLBVal:6=443.8&#13;&#10;" sqref="AP114">
      <formula1>0</formula1>
      <formula2>300</formula2>
    </dataValidation>
    <dataValidation errorStyle="information" type="textLength" allowBlank="1" showInputMessage="1" error="XLBVal:6=11.47&#13;&#10;" sqref="AR113">
      <formula1>0</formula1>
      <formula2>300</formula2>
    </dataValidation>
    <dataValidation errorStyle="information" type="textLength" allowBlank="1" showInputMessage="1" error="XLBVal:6=145.37&#13;&#10;" sqref="AQ113">
      <formula1>0</formula1>
      <formula2>300</formula2>
    </dataValidation>
    <dataValidation errorStyle="information" type="textLength" allowBlank="1" showInputMessage="1" error="XLBVal:6=213.77&#13;&#10;" sqref="AP113">
      <formula1>0</formula1>
      <formula2>300</formula2>
    </dataValidation>
    <dataValidation errorStyle="information" type="textLength" allowBlank="1" showInputMessage="1" error="XLBVal:6=226.55&#13;&#10;" sqref="AR112">
      <formula1>0</formula1>
      <formula2>300</formula2>
    </dataValidation>
    <dataValidation errorStyle="information" type="textLength" allowBlank="1" showInputMessage="1" error="XLBVal:6=224.53&#13;&#10;" sqref="AQ112">
      <formula1>0</formula1>
      <formula2>300</formula2>
    </dataValidation>
    <dataValidation errorStyle="information" type="textLength" allowBlank="1" showInputMessage="1" error="XLBVal:6=262.56&#13;&#10;" sqref="AP112">
      <formula1>0</formula1>
      <formula2>300</formula2>
    </dataValidation>
    <dataValidation errorStyle="information" type="textLength" allowBlank="1" showInputMessage="1" error="XLBVal:6=395.19&#13;&#10;" sqref="AR111">
      <formula1>0</formula1>
      <formula2>300</formula2>
    </dataValidation>
    <dataValidation errorStyle="information" type="textLength" allowBlank="1" showInputMessage="1" error="XLBVal:6=397.92&#13;&#10;" sqref="AQ111">
      <formula1>0</formula1>
      <formula2>300</formula2>
    </dataValidation>
    <dataValidation errorStyle="information" type="textLength" allowBlank="1" showInputMessage="1" error="XLBVal:6=348.08&#13;&#10;" sqref="AP111">
      <formula1>0</formula1>
      <formula2>300</formula2>
    </dataValidation>
    <dataValidation errorStyle="information" type="textLength" allowBlank="1" showInputMessage="1" error="XLBVal:6=290.81&#13;&#10;" sqref="AR110">
      <formula1>0</formula1>
      <formula2>300</formula2>
    </dataValidation>
    <dataValidation errorStyle="information" type="textLength" allowBlank="1" showInputMessage="1" error="XLBVal:6=321.63&#13;&#10;" sqref="AQ110">
      <formula1>0</formula1>
      <formula2>300</formula2>
    </dataValidation>
    <dataValidation errorStyle="information" type="textLength" allowBlank="1" showInputMessage="1" error="XLBVal:6=555.92&#13;&#10;" sqref="AP110">
      <formula1>0</formula1>
      <formula2>300</formula2>
    </dataValidation>
    <dataValidation errorStyle="information" type="textLength" allowBlank="1" showInputMessage="1" error="XLBVal:6=2223.74&#13;&#10;" sqref="AQ109">
      <formula1>0</formula1>
      <formula2>300</formula2>
    </dataValidation>
    <dataValidation errorStyle="information" type="textLength" allowBlank="1" showInputMessage="1" error="XLBVal:6=1863.73&#13;&#10;" sqref="AP109">
      <formula1>0</formula1>
      <formula2>300</formula2>
    </dataValidation>
    <dataValidation errorStyle="information" type="textLength" allowBlank="1" showInputMessage="1" error="XLBVal:6=752.63&#13;&#10;" sqref="AM120">
      <formula1>0</formula1>
      <formula2>300</formula2>
    </dataValidation>
    <dataValidation errorStyle="information" type="textLength" allowBlank="1" showInputMessage="1" error="XLBVal:6=525.12&#13;&#10;" sqref="AL120">
      <formula1>0</formula1>
      <formula2>300</formula2>
    </dataValidation>
    <dataValidation errorStyle="information" type="textLength" allowBlank="1" showInputMessage="1" error="XLBVal:6=753.53&#13;&#10;" sqref="AM119">
      <formula1>0</formula1>
      <formula2>300</formula2>
    </dataValidation>
    <dataValidation errorStyle="information" type="textLength" allowBlank="1" showInputMessage="1" error="XLBVal:6=1000.17&#13;&#10;" sqref="AM118">
      <formula1>0</formula1>
      <formula2>300</formula2>
    </dataValidation>
    <dataValidation errorStyle="information" type="textLength" allowBlank="1" showInputMessage="1" error="XLBVal:6=42.94&#13;&#10;" sqref="AL118">
      <formula1>0</formula1>
      <formula2>300</formula2>
    </dataValidation>
    <dataValidation errorStyle="information" type="textLength" allowBlank="1" showInputMessage="1" error="XLBVal:6=366.02&#13;&#10;" sqref="AM117">
      <formula1>0</formula1>
      <formula2>300</formula2>
    </dataValidation>
    <dataValidation errorStyle="information" type="textLength" allowBlank="1" showInputMessage="1" error="XLBVal:6=195.04&#13;&#10;" sqref="AL117">
      <formula1>0</formula1>
      <formula2>300</formula2>
    </dataValidation>
    <dataValidation errorStyle="information" type="textLength" allowBlank="1" showInputMessage="1" error="XLBVal:6=235.39&#13;&#10;" sqref="AK117">
      <formula1>0</formula1>
      <formula2>300</formula2>
    </dataValidation>
    <dataValidation errorStyle="information" type="textLength" allowBlank="1" showInputMessage="1" error="XLBVal:6=1523.53&#13;&#10;" sqref="AM116">
      <formula1>0</formula1>
      <formula2>300</formula2>
    </dataValidation>
    <dataValidation errorStyle="information" type="textLength" allowBlank="1" showInputMessage="1" error="XLBVal:6=385.25&#13;&#10;" sqref="AL116">
      <formula1>0</formula1>
      <formula2>300</formula2>
    </dataValidation>
    <dataValidation errorStyle="information" type="textLength" allowBlank="1" showInputMessage="1" error="XLBVal:6=385.24&#13;&#10;" sqref="AK116">
      <formula1>0</formula1>
      <formula2>300</formula2>
    </dataValidation>
    <dataValidation errorStyle="information" type="textLength" allowBlank="1" showInputMessage="1" error="XLBVal:6=213.26&#13;&#10;" sqref="AM115">
      <formula1>0</formula1>
      <formula2>300</formula2>
    </dataValidation>
    <dataValidation errorStyle="information" type="textLength" allowBlank="1" showInputMessage="1" error="XLBVal:6=40.61&#13;&#10;" sqref="AL115">
      <formula1>0</formula1>
      <formula2>300</formula2>
    </dataValidation>
    <dataValidation errorStyle="information" type="textLength" allowBlank="1" showInputMessage="1" error="XLBVal:6=457.27&#13;&#10;" sqref="AM114">
      <formula1>0</formula1>
      <formula2>300</formula2>
    </dataValidation>
    <dataValidation errorStyle="information" type="textLength" allowBlank="1" showInputMessage="1" error="XLBVal:6=211.08&#13;&#10;" sqref="AL114">
      <formula1>0</formula1>
      <formula2>300</formula2>
    </dataValidation>
    <dataValidation errorStyle="information" type="textLength" allowBlank="1" showInputMessage="1" error="XLBVal:6=7.5&#13;&#10;" sqref="AL113 BN55">
      <formula1>0</formula1>
      <formula2>300</formula2>
    </dataValidation>
    <dataValidation errorStyle="information" type="textLength" allowBlank="1" showInputMessage="1" error="XLBVal:6=917.53&#13;&#10;" sqref="AM112">
      <formula1>0</formula1>
      <formula2>300</formula2>
    </dataValidation>
    <dataValidation errorStyle="information" type="textLength" allowBlank="1" showInputMessage="1" error="XLBVal:6=104.23&#13;&#10;" sqref="AL112">
      <formula1>0</formula1>
      <formula2>300</formula2>
    </dataValidation>
    <dataValidation errorStyle="information" type="textLength" allowBlank="1" showInputMessage="1" error="XLBVal:6=666.8&#13;&#10;" sqref="AM111">
      <formula1>0</formula1>
      <formula2>300</formula2>
    </dataValidation>
    <dataValidation errorStyle="information" type="textLength" allowBlank="1" showInputMessage="1" error="XLBVal:6=396.74&#13;&#10;" sqref="AL111">
      <formula1>0</formula1>
      <formula2>300</formula2>
    </dataValidation>
    <dataValidation errorStyle="information" type="textLength" allowBlank="1" showInputMessage="1" error="XLBVal:6=444.12&#13;&#10;" sqref="AM110">
      <formula1>0</formula1>
      <formula2>300</formula2>
    </dataValidation>
    <dataValidation errorStyle="information" type="textLength" allowBlank="1" showInputMessage="1" error="XLBVal:6=327.24&#13;&#10;" sqref="AL110">
      <formula1>0</formula1>
      <formula2>300</formula2>
    </dataValidation>
    <dataValidation errorStyle="information" type="textLength" allowBlank="1" showInputMessage="1" error="XLBVal:6=409.14&#13;&#10;" sqref="AK110">
      <formula1>0</formula1>
      <formula2>300</formula2>
    </dataValidation>
    <dataValidation errorStyle="information" type="textLength" allowBlank="1" showInputMessage="1" error="XLBVal:6=1613.73&#13;&#10;" sqref="AX102 AX109">
      <formula1>0</formula1>
      <formula2>300</formula2>
    </dataValidation>
    <dataValidation errorStyle="information" type="textLength" allowBlank="1" showInputMessage="1" error="XLBVal:6=2480.91&#13;&#10;" sqref="AX101">
      <formula1>0</formula1>
      <formula2>300</formula2>
    </dataValidation>
    <dataValidation errorStyle="information" type="textLength" allowBlank="1" showInputMessage="1" error="XLBVal:6=982.73&#13;&#10;" sqref="AX100">
      <formula1>0</formula1>
      <formula2>300</formula2>
    </dataValidation>
    <dataValidation errorStyle="information" type="textLength" allowBlank="1" showInputMessage="1" error="XLBVal:6=260.27&#13;&#10;" sqref="AX99">
      <formula1>0</formula1>
      <formula2>300</formula2>
    </dataValidation>
    <dataValidation errorStyle="information" type="textLength" allowBlank="1" showInputMessage="1" error="XLBVal:6=92&#13;&#10;" sqref="AX94">
      <formula1>0</formula1>
      <formula2>300</formula2>
    </dataValidation>
    <dataValidation errorStyle="information" type="textLength" allowBlank="1" showInputMessage="1" error="XLBVal:6=546.4&#13;&#10;" sqref="AX92">
      <formula1>0</formula1>
      <formula2>300</formula2>
    </dataValidation>
    <dataValidation errorStyle="information" type="textLength" allowBlank="1" showInputMessage="1" error="XLBVal:6=1622.03&#13;&#10;" sqref="AV102 AV109">
      <formula1>0</formula1>
      <formula2>300</formula2>
    </dataValidation>
    <dataValidation errorStyle="information" type="textLength" allowBlank="1" showInputMessage="1" error="XLBVal:6=1608.05&#13;&#10;" sqref="AU102 AU109">
      <formula1>0</formula1>
      <formula2>300</formula2>
    </dataValidation>
    <dataValidation errorStyle="information" type="textLength" allowBlank="1" showInputMessage="1" error="XLBVal:6=1619.76&#13;&#10;" sqref="AT102 AT109">
      <formula1>0</formula1>
      <formula2>300</formula2>
    </dataValidation>
    <dataValidation errorStyle="information" type="textLength" allowBlank="1" showInputMessage="1" error="XLBVal:6=2486.92&#13;&#10;" sqref="AV101 AY101">
      <formula1>0</formula1>
      <formula2>300</formula2>
    </dataValidation>
    <dataValidation errorStyle="information" type="textLength" allowBlank="1" showInputMessage="1" error="XLBVal:6=2454.91&#13;&#10;" sqref="AU101">
      <formula1>0</formula1>
      <formula2>300</formula2>
    </dataValidation>
    <dataValidation errorStyle="information" type="textLength" allowBlank="1" showInputMessage="1" error="XLBVal:6=2486.9&#13;&#10;" sqref="AT101">
      <formula1>0</formula1>
      <formula2>300</formula2>
    </dataValidation>
    <dataValidation errorStyle="information" type="textLength" allowBlank="1" showInputMessage="1" error="XLBVal:6=786.36&#13;&#10;" sqref="AT100">
      <formula1>0</formula1>
      <formula2>300</formula2>
    </dataValidation>
    <dataValidation errorStyle="information" type="textLength" allowBlank="1" showInputMessage="1" error="XLBVal:6=771.26&#13;&#10;" sqref="AV99">
      <formula1>0</formula1>
      <formula2>300</formula2>
    </dataValidation>
    <dataValidation errorStyle="information" type="textLength" allowBlank="1" showInputMessage="1" error="XLBVal:6=780.85&#13;&#10;" sqref="AU99">
      <formula1>0</formula1>
      <formula2>300</formula2>
    </dataValidation>
    <dataValidation errorStyle="information" type="textLength" allowBlank="1" showInputMessage="1" error="XLBVal:6=783.25&#13;&#10;" sqref="AT99">
      <formula1>0</formula1>
      <formula2>300</formula2>
    </dataValidation>
    <dataValidation errorStyle="information" type="textLength" allowBlank="1" showInputMessage="1" error="XLBVal:6=1837&#13;&#10;" sqref="AT96">
      <formula1>0</formula1>
      <formula2>300</formula2>
    </dataValidation>
    <dataValidation errorStyle="information" type="textLength" allowBlank="1" showInputMessage="1" error="XLBVal:6=25&#13;&#10;" sqref="AV95">
      <formula1>0</formula1>
      <formula2>300</formula2>
    </dataValidation>
    <dataValidation errorStyle="information" type="textLength" allowBlank="1" showInputMessage="1" error="XLBVal:6=470&#13;&#10;" sqref="AU95">
      <formula1>0</formula1>
      <formula2>300</formula2>
    </dataValidation>
    <dataValidation errorStyle="information" type="textLength" allowBlank="1" showInputMessage="1" error="XLBVal:6=873.01&#13;&#10;" sqref="AV94">
      <formula1>0</formula1>
      <formula2>300</formula2>
    </dataValidation>
    <dataValidation errorStyle="information" type="textLength" allowBlank="1" showInputMessage="1" error="XLBVal:6=359&#13;&#10;" sqref="AU94">
      <formula1>0</formula1>
      <formula2>300</formula2>
    </dataValidation>
    <dataValidation errorStyle="information" type="textLength" allowBlank="1" showInputMessage="1" error="XLBVal:6=458.5&#13;&#10;" sqref="AT94">
      <formula1>0</formula1>
      <formula2>300</formula2>
    </dataValidation>
    <dataValidation errorStyle="information" type="textLength" allowBlank="1" showInputMessage="1" error="XLBVal:6=5411.81&#13;&#10;" sqref="AU92">
      <formula1>0</formula1>
      <formula2>300</formula2>
    </dataValidation>
    <dataValidation errorStyle="information" type="textLength" allowBlank="1" showInputMessage="1" error="XLBVal:6=3356.8&#13;&#10;" sqref="AT92">
      <formula1>0</formula1>
      <formula2>300</formula2>
    </dataValidation>
    <dataValidation errorStyle="information" type="textLength" allowBlank="1" showInputMessage="1" error="XLBVal:6=1623.74&#13;&#10;" sqref="AR102 AR109">
      <formula1>0</formula1>
      <formula2>300</formula2>
    </dataValidation>
    <dataValidation errorStyle="information" type="textLength" allowBlank="1" showInputMessage="1" error="XLBVal:6=2148.74&#13;&#10;" sqref="AQ102">
      <formula1>0</formula1>
      <formula2>300</formula2>
    </dataValidation>
    <dataValidation errorStyle="information" type="textLength" allowBlank="1" showInputMessage="1" error="XLBVal:6=2013.73&#13;&#10;" sqref="AP102">
      <formula1>0</formula1>
      <formula2>300</formula2>
    </dataValidation>
    <dataValidation errorStyle="information" type="textLength" allowBlank="1" showInputMessage="1" error="XLBVal:6=2475.81&#13;&#10;" sqref="AR101">
      <formula1>0</formula1>
      <formula2>300</formula2>
    </dataValidation>
    <dataValidation errorStyle="information" type="textLength" allowBlank="1" showInputMessage="1" error="XLBVal:6=2490.91&#13;&#10;" sqref="AQ101 BD101">
      <formula1>0</formula1>
      <formula2>300</formula2>
    </dataValidation>
    <dataValidation errorStyle="information" type="textLength" allowBlank="1" showInputMessage="1" error="XLBVal:6=2486.02&#13;&#10;" sqref="AP101">
      <formula1>0</formula1>
      <formula2>300</formula2>
    </dataValidation>
    <dataValidation errorStyle="information" type="textLength" allowBlank="1" showInputMessage="1" error="XLBVal:6=779.22&#13;&#10;" sqref="AR100">
      <formula1>0</formula1>
      <formula2>300</formula2>
    </dataValidation>
    <dataValidation errorStyle="information" type="textLength" allowBlank="1" showInputMessage="1" error="XLBVal:6=1701.32&#13;&#10;" sqref="AQ100">
      <formula1>0</formula1>
      <formula2>300</formula2>
    </dataValidation>
    <dataValidation errorStyle="information" type="textLength" allowBlank="1" showInputMessage="1" error="XLBVal:6=1551.25&#13;&#10;" sqref="AP100">
      <formula1>0</formula1>
      <formula2>300</formula2>
    </dataValidation>
    <dataValidation errorStyle="information" type="textLength" allowBlank="1" showInputMessage="1" error="XLBVal:6=785.66&#13;&#10;" sqref="AR99">
      <formula1>0</formula1>
      <formula2>300</formula2>
    </dataValidation>
    <dataValidation errorStyle="information" type="textLength" allowBlank="1" showInputMessage="1" error="XLBVal:6=861.1&#13;&#10;" sqref="AQ99">
      <formula1>0</formula1>
      <formula2>300</formula2>
    </dataValidation>
    <dataValidation errorStyle="information" type="textLength" allowBlank="1" showInputMessage="1" error="XLBVal:6=416.6&#13;&#10;" sqref="AP99">
      <formula1>0</formula1>
      <formula2>300</formula2>
    </dataValidation>
    <dataValidation errorStyle="information" type="textLength" allowBlank="1" showInputMessage="1" error="XLBVal:6=2029&#13;&#10;" sqref="AQ96">
      <formula1>0</formula1>
      <formula2>300</formula2>
    </dataValidation>
    <dataValidation errorStyle="information" type="textLength" allowBlank="1" showInputMessage="1" error="XLBVal:6=175.51&#13;&#10;" sqref="AP96">
      <formula1>0</formula1>
      <formula2>300</formula2>
    </dataValidation>
    <dataValidation errorStyle="information" type="textLength" allowBlank="1" showInputMessage="1" error="XLBVal:6=17.4&#13;&#10;" sqref="AR95">
      <formula1>0</formula1>
      <formula2>300</formula2>
    </dataValidation>
    <dataValidation errorStyle="information" type="textLength" allowBlank="1" showInputMessage="1" error="XLBVal:6=917.97&#13;&#10;" sqref="AR94">
      <formula1>0</formula1>
      <formula2>300</formula2>
    </dataValidation>
    <dataValidation errorStyle="information" type="textLength" allowBlank="1" showInputMessage="1" error="XLBVal:6=1207&#13;&#10;" sqref="AQ94">
      <formula1>0</formula1>
      <formula2>300</formula2>
    </dataValidation>
    <dataValidation errorStyle="information" type="textLength" allowBlank="1" showInputMessage="1" error="XLBVal:6=3222.07&#13;&#10;" sqref="AR92">
      <formula1>0</formula1>
      <formula2>300</formula2>
    </dataValidation>
    <dataValidation errorStyle="information" type="textLength" allowBlank="1" showInputMessage="1" error="XLBVal:6=84.99&#13;&#10;" sqref="AQ92">
      <formula1>0</formula1>
      <formula2>300</formula2>
    </dataValidation>
    <dataValidation errorStyle="information" type="textLength" allowBlank="1" showInputMessage="1" error="XLBVal:6=1749.42&#13;&#10;" sqref="AM102 AM109">
      <formula1>0</formula1>
      <formula2>300</formula2>
    </dataValidation>
    <dataValidation errorStyle="information" type="textLength" allowBlank="1" showInputMessage="1" error="XLBVal:6=2587.29&#13;&#10;" sqref="AM101">
      <formula1>0</formula1>
      <formula2>300</formula2>
    </dataValidation>
    <dataValidation errorStyle="information" type="textLength" allowBlank="1" showInputMessage="1" error="XLBVal:6=2988.8&#13;&#10;" sqref="AM100">
      <formula1>0</formula1>
      <formula2>300</formula2>
    </dataValidation>
    <dataValidation errorStyle="information" type="textLength" allowBlank="1" showInputMessage="1" error="XLBVal:6=834.74&#13;&#10;" sqref="AL100">
      <formula1>0</formula1>
      <formula2>300</formula2>
    </dataValidation>
    <dataValidation errorStyle="information" type="textLength" allowBlank="1" showInputMessage="1" error="XLBVal:6=57&#13;&#10;" sqref="AL96">
      <formula1>0</formula1>
      <formula2>300</formula2>
    </dataValidation>
    <dataValidation errorStyle="information" type="textLength" allowBlank="1" showInputMessage="1" error="XLBVal:6=475&#13;&#10;" sqref="AM94">
      <formula1>0</formula1>
      <formula2>300</formula2>
    </dataValidation>
    <dataValidation errorStyle="information" type="textLength" allowBlank="1" showInputMessage="1" error="XLBVal:6=290&#13;&#10;" sqref="AL94">
      <formula1>0</formula1>
      <formula2>300</formula2>
    </dataValidation>
    <dataValidation errorStyle="information" type="textLength" allowBlank="1" showInputMessage="1" error="XLBVal:6=-1446.8&#13;&#10;" sqref="AN145">
      <formula1>0</formula1>
      <formula2>300</formula2>
    </dataValidation>
    <dataValidation errorStyle="information" type="textLength" allowBlank="1" showInputMessage="1" error="XLBVal:6=8465.18&#13;&#10;" sqref="AU86">
      <formula1>0</formula1>
      <formula2>300</formula2>
    </dataValidation>
    <dataValidation errorStyle="information" type="textLength" allowBlank="1" showInputMessage="1" error="XLBVal:6=-498.41&#13;&#10;" sqref="AM72">
      <formula1>0</formula1>
      <formula2>300</formula2>
    </dataValidation>
    <dataValidation errorStyle="information" type="textLength" allowBlank="1" showInputMessage="1" error="XLBVal:6=498.41&#13;&#10;" sqref="AL72">
      <formula1>0</formula1>
      <formula2>300</formula2>
    </dataValidation>
    <dataValidation errorStyle="information" type="textLength" allowBlank="1" showInputMessage="1" error="XLBVal:6=15345.16&#13;&#10;" sqref="AU64">
      <formula1>0</formula1>
      <formula2>300</formula2>
    </dataValidation>
    <dataValidation errorStyle="information" type="textLength" allowBlank="1" showInputMessage="1" error="XLBVal:6=213.5&#13;&#10;" sqref="AX53">
      <formula1>0</formula1>
      <formula2>300</formula2>
    </dataValidation>
    <dataValidation errorStyle="information" type="textLength" allowBlank="1" showInputMessage="1" error="XLBVal:6=461.85&#13;&#10;" sqref="AV49 AZ135">
      <formula1>0</formula1>
      <formula2>300</formula2>
    </dataValidation>
    <dataValidation errorStyle="information" type="textLength" allowBlank="1" showInputMessage="1" error="XLBVal:6=411.02&#13;&#10;" sqref="AX28">
      <formula1>0</formula1>
      <formula2>300</formula2>
    </dataValidation>
    <dataValidation errorStyle="information" type="textLength" allowBlank="1" showInputMessage="1" error="XLBVal:6=930.99&#13;&#10;" sqref="AV35 AZ33">
      <formula1>0</formula1>
      <formula2>300</formula2>
    </dataValidation>
    <dataValidation errorStyle="information" type="textLength" allowBlank="1" showInputMessage="1" error="XLBVal:6=1686&#13;&#10;" sqref="AU35">
      <formula1>0</formula1>
      <formula2>300</formula2>
    </dataValidation>
    <dataValidation errorStyle="information" type="textLength" allowBlank="1" showInputMessage="1" error="XLBVal:6=952.79&#13;&#10;" sqref="AU31">
      <formula1>0</formula1>
      <formula2>300</formula2>
    </dataValidation>
    <dataValidation errorStyle="information" type="textLength" allowBlank="1" showInputMessage="1" error="XLBVal:2=0&#13;&#10;" sqref="AX153:AX154 AQ161:AR161 AK161:AN161 AK28:AN39 AT161 AP28:AR39 AP41:AR45 AZ36:AZ39 AK41:AN45 AT41:AV45 AX29:AX39 AP47:AR49 AY30:AY39 AK47:AN49 AK53:AN58 AT53:AV58 AP53:AR58 AV47:AV48 AX54:AZ58 AK60:AN64 AP60:AR64 AP66:AR67 AX66:AZ67 AK66:AN67 AT66:AV67 AP71:AR86 AU60:AU63 AK88:AN88 AT88:AV88 AP88:AR88 AX88:AZ88 AU71:AU85 AM95:AM99 AX93 AU96:AV98 AX95:AX98 AY83:AY86 AR127 AY153 AT116:AV116 AT135 AK134:AN135 AV148 AP138:AR139 BQ134 AK138:AN139 AX135:AY135 AK157 AV153:AV155 AU139 BQ157 AK163 AN163 AX147:AX148 AT28:AT39 AU36:AV39 AU28:AU30 AU32:AU34 AV28:AV34 AY97:AZ98 AT47:AU49 AY48:AY49 AT60:AT64 AV60:AV64 AK71:AK86 AL73:AM86 AN71:AN86 AL71:AM71 AT71:AT86 AV71:AV86 AK92:AK102 AN92:AN102 AL101:AL102 AL92:AM93 AL95 AL97:AL99 AR96:AR98 AP97:AQ98 AQ93:AR93 AP92:AP95 AQ95 AU100:AV100 AT93:AU93 AV92:AV93 AT95 AT97:AT98 AK127:AN127 AK109:AL109 AM113 AK111:AK115 AL119 AK118:AK120 AN109:AN120 AP127 AU127:AV127 AP135:AR135 AY116 AT138:AT139 AV138:AV139 AM155">
      <formula1>0</formula1>
      <formula2>300</formula2>
    </dataValidation>
    <dataValidation errorStyle="information" type="textLength" allowBlank="1" showInputMessage="1" error="XLBVal:2=0&#13;&#10;" sqref="AU151 AK142:AK155 AN146:AN157 AP153:AR153 AU154 AM143 AN142:AN144 AL146 AL148:AM148 AM150 AL153 AM152:AM153 AQ143 AP144 AR145 AR147 AQ150:AQ151 AT147:AU148 BP120:BQ120 AY28 AX47:AX49 AZ42:AZ45 BP47:BR49 AX71:AX86 AZ71:AZ86 AY71:AY81 AY92:AZ93 AY95 AY110:AZ110 BP127:BR127 BM28 AY143 AX145:AY145 AY148 AY150:AZ150 AX161:AY161 BP153:BP154 BI153:BJ153 BP148:BQ148 AX41:AY45 BL138 BC135:BE135 BH41:BJ45 BP35:BP39 BC35:BE39 BN110 BN153:BN154 BI39:BJ39 BC53:BF58 BL43:BL45 BN47:BN49 BP60:BR64 BP43:BP45 BH49 BH66:BJ67 BP66:BR67 BC66:BF67 BL66:BN67 BH61:BH63 BM60:BM63 BC88:BF88 BL88:BN88 BH79:BH86 BP88:BR88 BL47:BL49 BD60:BE60 BP92:BP93 BN71:BN84 BP71:BP74 BP135:BQ135 BQ153 BL127 BN148 BN120 BE138 AX138:AY139 BC139 AY127 BM139 BQ138:BR139 BN161 BF163 BP138 BL28:BL39 BL60:BL64 BM30:BM35 BM39:BN39 BL53:BL55 BN60:BN64 BD62:BD63 BF71:BF86 BD71:BE72 BL71:BL86 BN56:BN58 BF92:BF102 BD73:BD77 BD79:BD86 BC95:BE96 BE62:BE64 BJ53:BJ55">
      <formula1>0</formula1>
      <formula2>300</formula2>
    </dataValidation>
    <dataValidation errorStyle="information" type="textLength" allowBlank="1" showInputMessage="1" error="XLBVal:2=0&#13;&#10;" sqref="BH92:BH94 BI93:BJ93 BI71:BJ86 BI95:BJ95 BM36:BN37 BL95:BN95 BC127:BF127 BC41:BD45 BD154:BE154 BD138:BD139 BF109:BF120 BH127:BJ127 BM53:BM58 BH135:BJ135 BN138:BN139 BD152:BE152 AZ152 BF142:BF143 BQ111:BQ119 BM154 BP145:BQ145 BF138:BF139 BH139 BC150:BE150 BD148:BE148 BD153 AZ147:AZ148 BF150:BF157 BF145:BF148 BJ145 BJ147 BI138:BJ139 BL147:BM148 BQ28:BR39 BP53:BP55 BQ71:BR86 BR163 BQ92:BR102 BR109:BR120 BP110:BQ110 BR134:BR135 BR142:BR157 BQ143 BQ150 AZ32 AZ34 BC152:BC154 BC28:BC33 BN35 BP28:BP33 BD47:BF49 BC47 BC49 AX60:AY64 AZ60:AZ63 BQ53:BR58 BM48:BM49 BC71:BC76 BC78:BC85 BM79:BM86 BC92:BC93 BD93:BE93 BC98 BE98 BD97 BF60:BF64 BI88:BJ88 BJ92 BH72:BH77 BJ57:BJ58 BH96:BJ96 BH98 BI97:BI98 BJ98 BI60:BJ64 BI47:BJ49 BI33:BI37 BI28:BI31 BH53:BI58 BJ161 BH28:BH39 BJ28:BJ37 BL92:BN93 BN86 BL96 BM72:BM77 BN97:BN98 BL41 BM41:BN45 BN100 BM96:BM98 BN28:BN33 BN53:BN54 BP76:BP86 BP98 BP95:BP96 BP41 BE73:BE86 BF41:BF45 BD28:BE32">
      <formula1>0</formula1>
      <formula2>300</formula2>
    </dataValidation>
    <dataValidation errorStyle="information" type="textLength" allowBlank="1" showInputMessage="1" error="XLBVal:2=0&#13;&#10;" sqref="BE43:BE45 BF28:BF39 BC60:BC64 BF134:BF135 BC145:BE145 BC116 BC147:BE147 BL135:BN135 BN127 BL111:BM111 BQ41:BR45 BQ109 BQ161:BR161">
      <formula1>0</formula1>
      <formula2>300</formula2>
    </dataValidation>
    <dataValidation allowBlank="1" showErrorMessage="1" sqref="A53:A64 A71:A88 A66:A67 B66 C29:C51 A28:A45 E100:N100 D104:BA105 C26 B28 B40:B41 C76:C77 B50:B51 B53 B87:C88 A91:C109 A47:A51 B47 B59:B60 C79:C85 B71 A151:C159 B111:C121 A161:C161 A111:A150 B123:C150 C89:C90 E60:N60 B65:C65 C66:C69 C71:C74 C53:C64 BC104:BS105"/>
    <dataValidation allowBlank="1" showInputMessage="1" showErrorMessage="1" promptTitle="Budget Holder" prompt="Name of the International Alert Budget Holder that holds the budget for this project.&#10;Please do NOT delete this row!" sqref="C9"/>
    <dataValidation allowBlank="1" showInputMessage="1" showErrorMessage="1" promptTitle="Currency Rate (from table)" prompt="Please do not change the rate here!&#10;&#10;Please fill in the countervalue of GBP 1 with an accuracy of up to 5 digits in the table to the extreme right (Starting at column IO)&#10;&#10;Please do not delete this row or any row below row 30!" sqref="C4"/>
    <dataValidation allowBlank="1" showInputMessage="1" showErrorMessage="1" promptTitle="Project Period" prompt="Don't change this cell.... it is done automatically for you when you change the Project Period at the top of the sheet." sqref="V25:X25 Z25:AB25 AD25:AF25 AH25:AI25 S25:T25"/>
    <dataValidation allowBlank="1" showInputMessage="1" showErrorMessage="1" promptTitle="Exchange Rate, Source and Policy" prompt="IA uses reliable sources, such as oanda.com and xe.com to base its exchange rates on.&#10;IA also takes into account factors such as the volatility of the currency exchange rate (against the GBP) over past periods with a duration comparable to the proposed." sqref="A4:B4"/>
    <dataValidation allowBlank="1" showInputMessage="1" showErrorMessage="1" promptTitle="Base Currency" prompt="Please do not change Base Currency&#10;Do NOT delete this row!" sqref="C2:C3"/>
    <dataValidation allowBlank="1" showInputMessage="1" showErrorMessage="1" promptTitle="Name Donor" prompt="Please fill in the name of the donor/funder.&#10;Do NOT delete this row or any other rows above row 30!" sqref="C1"/>
    <dataValidation type="decimal" allowBlank="1" showInputMessage="1" showErrorMessage="1" promptTitle="General Overheads Contribution" prompt="Please fill in the General contribution to overheads as a percentage of the total budget -before overheads-&#10;Do NOT delete this row!" sqref="C13">
      <formula1>0.05</formula1>
      <formula2>0.4</formula2>
    </dataValidation>
    <dataValidation operator="greaterThan" allowBlank="1" showInputMessage="1" showErrorMessage="1" promptTitle="Project Period" prompt="Please enter the project's implementation period into this cell.&#10;Please use the format MMM-YY-MMM-YY&#10;Do NOT delete this row!" sqref="C11"/>
    <dataValidation allowBlank="1" showInputMessage="1" showErrorMessage="1" promptTitle="Project Title" prompt="Name of the International Alert Project that is proposed to the donor with this budget.&#10;Please do NOT delete this row!" sqref="C10"/>
    <dataValidation allowBlank="1" showInputMessage="1" showErrorMessage="1" promptTitle="Programme Manager" prompt="Name of the International Alert Programme manager that implements this project.&#10;Please do NOT delete this row!" sqref="C8"/>
    <dataValidation allowBlank="1" showInputMessage="1" showErrorMessage="1" promptTitle="International Alert Programme" prompt="Please fill in the name of the International Alert Programme that carries out the project.&#10;Please do NOT delete the row!" sqref="C7"/>
    <dataValidation allowBlank="1" showInputMessage="1" showErrorMessage="1" promptTitle="Fund Code International Alert" prompt="Please fill in the allocated Fund Code after the project has been funded.&#10;During the application process this row can be grouped and collapsed.&#10;Please do NOT delete the row!" sqref="C6"/>
    <dataValidation allowBlank="1" showInputMessage="1" showErrorMessage="1" promptTitle="Project Code Funder" prompt="Usually allocated by the funder as part of the grant contract.&#10;During the application process this row can usually be grouped and collapsed.&#10;Please do NOT delete the row!" sqref="C5"/>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International Alert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Proposal Budget for International Alert</dc:title>
  <dc:subject>3-period Budget V7.8 - 12 April 2005</dc:subject>
  <dc:creator>Lisa Renard</dc:creator>
  <cp:keywords>Project Proposal Budget template</cp:keywords>
  <dc:description/>
  <cp:lastModifiedBy>Badesire Erasme Zagabe</cp:lastModifiedBy>
  <cp:lastPrinted>2005-02-16T15:09:17Z</cp:lastPrinted>
  <dcterms:created xsi:type="dcterms:W3CDTF">2003-02-11T13:17:26Z</dcterms:created>
  <dcterms:modified xsi:type="dcterms:W3CDTF">2018-10-02T07:39:43Z</dcterms:modified>
  <cp:category>Templates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y fmtid="{D5CDD505-2E9C-101B-9397-08002B2CF9AE}" pid="5" name="_dlc_DocId">
    <vt:lpwstr>TAW3QQHFY6DH-82-5</vt:lpwstr>
  </property>
  <property fmtid="{D5CDD505-2E9C-101B-9397-08002B2CF9AE}" pid="6" name="_dlc_DocIdItemGuid">
    <vt:lpwstr>12a1ff2a-4817-4f7f-861d-f88ef512c7bd</vt:lpwstr>
  </property>
  <property fmtid="{D5CDD505-2E9C-101B-9397-08002B2CF9AE}" pid="7" name="_dlc_DocIdUrl">
    <vt:lpwstr>https://portal.international-alert.org/organisation/templates/_layouts/DocIdRedir.aspx?ID=TAW3QQHFY6DH-82-5, TAW3QQHFY6DH-82-5</vt:lpwstr>
  </property>
  <property fmtid="{D5CDD505-2E9C-101B-9397-08002B2CF9AE}" pid="8" name="ContentTypeId">
    <vt:lpwstr>0x010100B8EF8BE78E886F449C337C12B13E0FC6</vt:lpwstr>
  </property>
</Properties>
</file>