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3"/>
  </bookViews>
  <sheets>
    <sheet name="justification narrative" sheetId="1" r:id="rId1"/>
    <sheet name="Budget_Detaille" sheetId="2" r:id="rId2"/>
    <sheet name="Feuil1" sheetId="3" r:id="rId3"/>
    <sheet name="Budget_Recapitulatif" sheetId="4" r:id="rId4"/>
    <sheet name="budget_réorienté" sheetId="5" r:id="rId5"/>
    <sheet name="explications_réorientations" sheetId="6" r:id="rId6"/>
  </sheets>
  <definedNames>
    <definedName name="_xlnm._FilterDatabase" localSheetId="1" hidden="1">'Budget_Detaille'!$C$9:$C$176</definedName>
    <definedName name="categories">'Budget_Detaille'!$A$187:$A$193</definedName>
    <definedName name="options">'Budget_Detaille'!#REF!</definedName>
    <definedName name="_xlnm.Print_Area" localSheetId="3">'Budget_Recapitulatif'!$A$2:$I$26</definedName>
  </definedNames>
  <calcPr fullCalcOnLoad="1"/>
</workbook>
</file>

<file path=xl/sharedStrings.xml><?xml version="1.0" encoding="utf-8"?>
<sst xmlns="http://schemas.openxmlformats.org/spreadsheetml/2006/main" count="1181" uniqueCount="399">
  <si>
    <t>Total</t>
  </si>
  <si>
    <t>CATEGORY</t>
  </si>
  <si>
    <t>GRAND TOTAL</t>
  </si>
  <si>
    <t>Year 1</t>
  </si>
  <si>
    <t>Notes:</t>
  </si>
  <si>
    <t>Quantite</t>
  </si>
  <si>
    <t>Cout Unitaire</t>
  </si>
  <si>
    <t>Duree/           Frequence</t>
  </si>
  <si>
    <t>PRODUITS</t>
  </si>
  <si>
    <t>ACTIVITES</t>
  </si>
  <si>
    <t>Personnel et autres employés</t>
  </si>
  <si>
    <t>Fournitures, produits de base, materiels</t>
  </si>
  <si>
    <t>Frais de deplacement</t>
  </si>
  <si>
    <t>Frais generaux de fonctionnement et autres couts directs</t>
  </si>
  <si>
    <t xml:space="preserve">(c) Pour la Periode: </t>
  </si>
  <si>
    <t>(d) Total du Budget (USD):</t>
  </si>
  <si>
    <t>(a) Nom de l'organisation:</t>
  </si>
  <si>
    <t>(b) Titre du Projet:</t>
  </si>
  <si>
    <t>% du Budget Genre**</t>
  </si>
  <si>
    <t xml:space="preserve">Inserer/Supprimer autant de lignes que necessaires pour adjuster le budget au resultats/produits/activites </t>
  </si>
  <si>
    <t xml:space="preserve">Fonds de Coherence pour la Stabilisation: Budget par Activité </t>
  </si>
  <si>
    <t>Fonds de Coherence pour la Stabilisation: Budget par Categorie de Dépense*</t>
  </si>
  <si>
    <t>Budget programmatique: Budget total/1.07</t>
  </si>
  <si>
    <t>SGG:  budget total/1.07*0.07</t>
  </si>
  <si>
    <t>Organisation Lead</t>
  </si>
  <si>
    <t>Equipements et mobilier</t>
  </si>
  <si>
    <t xml:space="preserve">(f) Budget TOTAL </t>
  </si>
  <si>
    <t>% Total Budget</t>
  </si>
  <si>
    <t>Budget Narrative</t>
  </si>
  <si>
    <t>Sous-total Objective Specifique 1</t>
  </si>
  <si>
    <t>CATEGORIES DE DEPENSE*</t>
  </si>
  <si>
    <t xml:space="preserve">* Il y a sept categories:  1) Personnel et autres employés 2) Fournitures, produits de base, materiels 3) Equipements et mobilier 4) Services Contractuels 5) Frais de deplacement 6) Transferts et subventions 7) Frais generaux de fonctionnement et autres couts directs (Voir la note explicative sur  l’élaboration d’un budget à soumettre au Fonds) </t>
  </si>
  <si>
    <t xml:space="preserve">Services Contractuels </t>
  </si>
  <si>
    <t xml:space="preserve">Transferts et subventions </t>
  </si>
  <si>
    <t>Formulas (ne pas supprimer):</t>
  </si>
  <si>
    <t>Sous-total Objective Specifique 2</t>
  </si>
  <si>
    <t>Sous-total Objective Specifique 3</t>
  </si>
  <si>
    <t>Cout Total Programme</t>
  </si>
  <si>
    <t>SOUS-TOTAL COUTS DIRECTS DE SOUTIEN (ne peuvent représentés plus de 35% du budget total)</t>
  </si>
  <si>
    <t xml:space="preserve">COUTS DIRECTS LIES AUX ACTIVITES </t>
  </si>
  <si>
    <t>SOUS-TOTAL COUTS DIRECTS LIES AUX ACTIVITES (au minimum 60% du budget total)</t>
  </si>
  <si>
    <t xml:space="preserve"> 1) Personnel et autres employés (lies au soutien)</t>
  </si>
  <si>
    <t xml:space="preserve"> 2) Fournitures, produits de base, materiels (lies au soutien)</t>
  </si>
  <si>
    <t>3) Equipements et mobilier (lies au soutien)</t>
  </si>
  <si>
    <t xml:space="preserve"> 4) Services Contractuels (lies au soutien)</t>
  </si>
  <si>
    <t>7) Frais généraux de fonctionnement et autres couts directs (lies au soutien)</t>
  </si>
  <si>
    <t>5) Frais de deplacement (lies au soutien)</t>
  </si>
  <si>
    <t xml:space="preserve"> 6) Transferts et subventions (lies au soutien)</t>
  </si>
  <si>
    <t xml:space="preserve">COUTS DIRECTS DE SOUTIEN </t>
  </si>
  <si>
    <t>Couts Indirects (7%)**</t>
  </si>
  <si>
    <t xml:space="preserve">** Ce sont des "Services Generaux de Gestion", qui sont calculés selon la formule suivante:  </t>
  </si>
  <si>
    <t>*** Chaque projet ISSSS doit assurer que 15% des fonds sont consacree a les objetifs sensible au genre (Voir les lignes directrices sur l'integration du Genre dans les programmes de stabilisation)</t>
  </si>
  <si>
    <t>* A completer par les agences des Nations Unies. Voir la note explicative sur l’élaboration d’un budget à soumettre au Fonds de Cohérence pour la Stabilisation.</t>
  </si>
  <si>
    <t>OBJECTIVE SPECIFIQUE 2: Performance améliorée des agents de l'Etat dans la fourniture de services.</t>
  </si>
  <si>
    <t>OBJECTIVE SPECIFIQUE 3: La cohésion sociale et la résilience des communautés sont renforcées grâce à des activités de réinsertion et de relance économique.</t>
  </si>
  <si>
    <t>OBJECTIVE SPECIFIQUE 1: Les acteurs locaux, provinciaux et nationaux soutiennent le processus de stabilisation</t>
  </si>
  <si>
    <t>Achat et transport du mobilier et fournitures de bureau ( table, chaises, étagères…)</t>
  </si>
  <si>
    <t>Résultat 2.1: Accès aux services pertinents de l’Etat amélioré. ( OIM et Pnud)</t>
  </si>
  <si>
    <t>OIM</t>
  </si>
  <si>
    <t>Elaborer des plans de maintenance détaillés selon les axes en collaboration avec les équipes constituées</t>
  </si>
  <si>
    <t>Identifier les secteurs économiques non agricoles porteurs dans la zone</t>
  </si>
  <si>
    <t>Sélectionner les bénéficiaires</t>
  </si>
  <si>
    <t xml:space="preserve">Tenir des réunions d'orientations dans le choix d'AGR </t>
  </si>
  <si>
    <t>Regrouper les bénéficiaires en OP</t>
  </si>
  <si>
    <t>Accompagner les bénéficiaires</t>
  </si>
  <si>
    <t>Résultat 3.1: Accès maintenu et accru au crédit</t>
  </si>
  <si>
    <t>Résultat 1.2: Les acteurs clés au niveau local, provincial et national mettent en œuvre les plans locaux de consolidation de la paix</t>
  </si>
  <si>
    <t>Assurer le suivi de la mise en œuvre des plans de maintenance élaborés selon les axes</t>
  </si>
  <si>
    <t>Office supply</t>
  </si>
  <si>
    <t xml:space="preserve">Office support/Bank charges </t>
  </si>
  <si>
    <t>Fuel + Maintenance</t>
  </si>
  <si>
    <t>IOM Communication (phone ;internet and post mail)</t>
  </si>
  <si>
    <t xml:space="preserve">IOM MOSS </t>
  </si>
  <si>
    <t>IOM Duty travel</t>
  </si>
  <si>
    <t xml:space="preserve">Frais de Gestion OIM </t>
  </si>
  <si>
    <t>IOM Chief of Mission (4%)</t>
  </si>
  <si>
    <t xml:space="preserve"> IOM SRMO (3%)</t>
  </si>
  <si>
    <t>Projet Manager(5%)</t>
  </si>
  <si>
    <t>Project Field Coordinator (G6, 100%)</t>
  </si>
  <si>
    <t>Project Assistant-Responsible Mining (G4,50%)</t>
  </si>
  <si>
    <t>Admin &amp; Fin Assit(G5,10%)</t>
  </si>
  <si>
    <t>Driver (80%, G2)</t>
  </si>
  <si>
    <t>Logistic and Proc Assit(30%)</t>
  </si>
  <si>
    <t>Produit 2.1.2. L'Entretien et la maintenance des ouvrages et batiments publics sont assurés.</t>
  </si>
  <si>
    <t>Produit 2.1.1. La réhabilitation des nouveaux ouvrages de franchissement sur le troncons de route Kalungu-Numbi est enforcée.</t>
  </si>
  <si>
    <t>Réaliser des travaux d'entretien courants des ouvrages en maconnerie sur l'axe Kalungu-Numbi</t>
  </si>
  <si>
    <t>b. Résultat 2.2 : Meilleure conscience des agents de l’Etat par rapport à leurs devoirs et responsabilités formels et aux effets destructeurs de la corruption.</t>
  </si>
  <si>
    <t>Produit 2.2.1 : Les agents de l'Etat et membres de la société civile sont formés</t>
  </si>
  <si>
    <t>Produit 2.2.2 : L'accompagnement technique des cadres de concertation et agents de l'Etat est assuré.</t>
  </si>
  <si>
    <t>Résultat 2.3: La présence des agents de l'Etat est renforcée</t>
  </si>
  <si>
    <t>Produit 2.3.1: Le déploiement des services de l'Etat (Services spécialisés, Police des Mines et PNC est assuré)</t>
  </si>
  <si>
    <t>PNUD</t>
  </si>
  <si>
    <t>Produit 2.3.2: L'Equipement de la police des mines est assuré pour la sécurisation des sites miniers</t>
  </si>
  <si>
    <t>Produit 2.3.3: Appui aux services techniques spécialisés provinciaux du ministère provincial des mines est maintenu</t>
  </si>
  <si>
    <t>Renforcer les capacités de 16 agents sélectionnés (SAESSCAM, Division des Mines, Société Civile et la Coopérative) sur l'opérationnalisation du Point de vente</t>
  </si>
  <si>
    <t>Produit 2.3.4: L'opérationnalisation du point de vente des minerais est assurée</t>
  </si>
  <si>
    <t xml:space="preserve"> Produit 3.1.2: Mise en place des MUSO additionnelles est assurée</t>
  </si>
  <si>
    <t>Résultat 3.2: Les gains/avantages des initiatives économiques de la phase 1 sont assurés</t>
  </si>
  <si>
    <t>Réaliser des dalots  sur l'axe Kalungu-Numbi et autres travaux d'amenagement de la chaussée selon les plans de maintenance</t>
  </si>
  <si>
    <t>Réaliser de nouveaux  passages sous routes sur l'axe Kalungu-Numbi et autres travaux d'amenagement de la chaussée selon les plans de maintenance</t>
  </si>
  <si>
    <t>Equiper 10 équipes de maintenance en materiels de cantonnage</t>
  </si>
  <si>
    <t>Payer 10 chefs d.équipes de maintenance pendant 3 Mois</t>
  </si>
  <si>
    <t>Atelier de formation des éléments de la police des mines déployés dans la zone sur la chaine d'approvisionnement des minerais et sur la contrebande des minerais</t>
  </si>
  <si>
    <t xml:space="preserve"> acheter et doter les éléménts de la police des mines en équipements opérationnels</t>
  </si>
  <si>
    <t>Payer 10 équipes de maintenance, soit 190 ouvriers pendant 3 Mois</t>
  </si>
  <si>
    <t>Résultat 1.1: les acteurs clés au niveau local, provincial et national s'engagent dans la réduction de la violence liée aux conflits.</t>
  </si>
  <si>
    <t>Produit 1.1.1 : La conscience des parties prenantes est accrue sur les méfaits de l'activisme des groupes armés.</t>
  </si>
  <si>
    <t>Produit 1.2.1: Les priorités des plans locaux de consolidation de la paix sont définies et exécutées.</t>
  </si>
  <si>
    <t>Résultat 1.3: La capacité des plates formes communautaires est renforcée pour poursuivre les actions de dialogue et de transformation des conflits locaux et fonciers</t>
  </si>
  <si>
    <t>Produit 1.3.1: Les plates formes et structures locales ciblées ont de meilleures connaissances sur différents thématiques retenues.</t>
  </si>
  <si>
    <t>Produit 1.3.2: Les mécanismes de survie et de pérennisation des CDM sont assurés.</t>
  </si>
  <si>
    <t>Produit 2.1.3 :Les bâtiments de la PNC sont équipés</t>
  </si>
  <si>
    <t>Mener des discussions avec les responsables de la PNC au niveau provincial et National et l’UNPOL, sélection des participants sur base des critères de la PNC, identification des formateurs, préparation des modules et du programme de la formation, signature de la lettre d’entente avec la DGEF, organisation d’un près test des connaissances</t>
  </si>
  <si>
    <t>organiser un atelier de recyclage de 30 autres policiers</t>
  </si>
  <si>
    <t>Appuyer la réaffectation des policiers recyclés dans la zone du projet</t>
  </si>
  <si>
    <t>Développer des guides d’opérationnalisation du Point de Vente des minerais en collaboation avec les services des mines</t>
  </si>
  <si>
    <t>Organiser une mission de sensibilisation des agents de l’état et de redynamisation  des cadres de concertation et préparation des ateliers de formation ; identification et sélection des participants…)</t>
  </si>
  <si>
    <t>Organiser un atelier d’élaboration du règlement d’ordre intérieur pour les cadres de concertation (TDR)</t>
  </si>
  <si>
    <t xml:space="preserve"> Produit 3.1.1: L'octroi des subventions est assuré aux vulnérables et ex-combattants</t>
  </si>
  <si>
    <t>Organiser des atelier de formation en gestion d'AGR</t>
  </si>
  <si>
    <t>Structurer les bénéficiaires en MUSO</t>
  </si>
  <si>
    <t>Organiser des ateliers de formation des bénéficiaires en techniques d’organisation, de fonctionnement et de gestion d’une MUSO</t>
  </si>
  <si>
    <t>Equiper les MUSO en matériel (caissettes et registres)</t>
  </si>
  <si>
    <t>Accompagner les MUSO en appui conseils.</t>
  </si>
  <si>
    <t>Organiser des séances de sensibilisation des bénéficiaires à s’organiser en MUSO</t>
  </si>
  <si>
    <t>Evaluer la performance de 60 MUSO mises en place lors de la phase 1 et sélection de 10 meilleures</t>
  </si>
  <si>
    <t>Accompagner les MUSO avec des appuis-conseils</t>
  </si>
  <si>
    <t>Produit 3.2.1: La redynamisation et l'accompagnement des MUSO et des Coopératives Minières sont assurés</t>
  </si>
  <si>
    <t xml:space="preserve">Organiser des  voyages d'échanges d'expérience entre 10 MUSO performantes de l'axe Kalungu-Numbi-Lumbishi et l'axe Lumbishi-Tushunguti
</t>
  </si>
  <si>
    <t>Engager un consultant (expert en diagnostic et appui institutionnel aux organisations coopératives) en appui à la coopérative </t>
  </si>
  <si>
    <t>Mettre à disposition un manuel de procédure et termes de références pour la coopérative </t>
  </si>
  <si>
    <t>Accompagner la coopérative dans la mise en œuvre de son manuel de procédures </t>
  </si>
  <si>
    <t>Organiser des reunions de structuration et de sensibilisation des équipes de maintenance de la route en collaboration avec le ministère provincial des travaux publics</t>
  </si>
  <si>
    <t>Visites de suivi (CTS et autres)</t>
  </si>
  <si>
    <t xml:space="preserve">1.3.1.2. Former les membres des  plateformes y compris les CDM sur les techniques de dialogue et de transformation des conflits locaux, les textes réglementaires en matière foncière, agricole, minière, de succession, des modes d’accès à la terre et des mécanismes de sécurisation foncière, </t>
  </si>
  <si>
    <t>1.3.1.2. Mettre à la disposition des CDM, pour un accompagnement et un coaching technique un Assistant Terrain par  le partenaire de mis en œuvre ;</t>
  </si>
  <si>
    <t>1.3.1.3. Assurer mensuellement l’accompagnement institutionnel (location et fonctionnement bureaux des  CDM, transport pour les animateurs des CDM lors des descentes de sensibilisation et médiation dans le sites  lointains des CDM Minova, Numbi, Chambombo, Lumbishi et Tushunguti );</t>
  </si>
  <si>
    <t>1.3.2.1. Mettre à la disposition des CDM des moyens nécessaires (Activités génératrices de revenus, AGR) pour leur permettre  l’auto-prise en charge après le projet ;</t>
  </si>
  <si>
    <t>1.3.2.2. Former les membres des CDM sur les techniques de gestion des AGR ;</t>
  </si>
  <si>
    <t>Chauffeur (100%)</t>
  </si>
  <si>
    <t>UNHABITAT Duty travel</t>
  </si>
  <si>
    <t>PRODUIT SUR LA SECURISATION FONCIERE ICI</t>
  </si>
  <si>
    <t>1.1.1.2. Tenir une journée participative d'analyse et d'identification d'enjeux et des acteurs clés pour les 3 territoires</t>
  </si>
  <si>
    <t>UNHABITAT</t>
  </si>
  <si>
    <t>Organiser une visite de suivi des agents de l’Etat formés durant la première phase (préparation des TDR de la mission et des outils de suivi, réunions entre les parties prenantes, descentes sur terrain et élaboration des rapports)</t>
  </si>
  <si>
    <t>Organiser une visite de monitoring des cadres de concertation (préparation des TDR de la mission et des outils de suivi, réunions entre les parties prenantes, descentes sur terrain et élaboration des rapports)</t>
  </si>
  <si>
    <t>Installation de l'énergie solaire dans 2 bâtiments de la pnc( Numbi , Minova )</t>
  </si>
  <si>
    <t>Fuel+Maintenance</t>
  </si>
  <si>
    <t>Mise en œuvre des activités programmatiques</t>
  </si>
  <si>
    <t xml:space="preserve">Consultant pour l'évaluation finale </t>
  </si>
  <si>
    <t xml:space="preserve">Frais de Gestion UNHABITAT </t>
  </si>
  <si>
    <t xml:space="preserve"> Seances de mobilisation et sensibilisation  des communautés pour leur engagement lié à l'entretien et maintenances de la route</t>
  </si>
  <si>
    <t>1.1.1.3. Organiser un atelier provincial de présentation des résultats d’analyse en vue de restitution et de prise de conscience au niveau provincial et déterminer les besoins à prendre en compte dans la gouvernance provincial ;</t>
  </si>
  <si>
    <t>1.1.1.4 Accompagner la mise en œuvre des recommandations prioritaires issues du diagnostic dans les trois territoires et à Goma, Bukavu et Kinshasa.</t>
  </si>
  <si>
    <t xml:space="preserve">1.1.1.5 Organiser une rencontre d’échange  entre autorités- CDM- Commissions d’Enquêtes- Commission territoriale de  Plaidoyer -le cadre de concertation   sur   la recolte des desideratas en vue du la proposition d'un édit provincial;  </t>
  </si>
  <si>
    <t xml:space="preserve">1.1.1.6 Organiser au niveau provincial, un atelier de présentation des résultats des données du terrain et d'enrichissement de la proposition de l'edit  </t>
  </si>
  <si>
    <t xml:space="preserve">1.1.1.8 Tenir des séances d’échange avec les députés provinciaux, le Gouverneur de Province, les ministères clés  sur la proposition de l’édit pour amendement avant adoption et promulgation. </t>
  </si>
  <si>
    <t>1.1.1.9. Multiplier le projet de l’édit au bureau du président de l’assemblée provinciale pour approbation et suivi au niveau du cabinet du gouverneur pour promulgation ;</t>
  </si>
  <si>
    <t>PNUD_ UNHABITAT_OIM</t>
  </si>
  <si>
    <t>Organiser une mission de sondage auprès de la population de la façon dont les   agents de l’Etat et des membres de la société civile exécutent leur mission</t>
  </si>
  <si>
    <t>Acheter, transporter  et distribuer les kits aux ex-combattants</t>
  </si>
  <si>
    <t>Acheter, transporter  et distribuer les kits aux vulnérables</t>
  </si>
  <si>
    <t>VNU animateur rural (100%)</t>
  </si>
  <si>
    <t>Evaluer et valider 6 nouveaux sites miniers dans la zone du projet, en collaboration avec l’equipe provinciale de certification</t>
  </si>
  <si>
    <t>Mettre en place et activer un système de monitoring des sites miniers qualifiés depuis la première  phase</t>
  </si>
  <si>
    <t>catégorie des dépenses</t>
  </si>
  <si>
    <t>Chargé de l'administration et finances( 25%)</t>
  </si>
  <si>
    <t>Base line du projet par Harvard Humanitarian Initiative (HHI)</t>
  </si>
  <si>
    <t>Organiser une mission de sensibilisation des agents de l'Etat sur la maintenance des bâtiments et des équipements publics et d'identication des participants à l'atelier d'élaboration du plan de maintenance</t>
  </si>
  <si>
    <t>Frais de harvard Humanitarian initiative (HHI) pour Baseline</t>
  </si>
  <si>
    <t>Frais consultant pour évaluation finale</t>
  </si>
  <si>
    <t>PNUD (coordination)</t>
  </si>
  <si>
    <t>PNUD ( coordination)</t>
  </si>
  <si>
    <t>Organiser un atelier de formation des 30  animateurs des MUSO dans les domaines de l'Organisation, fonctionnement et gestion d'une MUSO et de plaidoyer</t>
  </si>
  <si>
    <t>Total Budget</t>
  </si>
  <si>
    <t>Projet de Consolidation du projet integré de stabilisation du Nord Kalehe</t>
  </si>
  <si>
    <t>Mai 2017- Avril 2018</t>
  </si>
  <si>
    <t>PROJET DE CONSOLIDATION DU PROJET INTEGRE DE STABILISATION DU NORD KALEHE</t>
  </si>
  <si>
    <t>Justification narrative des coûts et des dépenses</t>
  </si>
  <si>
    <t xml:space="preserve">Le coût du personnel est </t>
  </si>
  <si>
    <t>Présentation et justification des coûts liés au personnel, au programme et à la coordination.</t>
  </si>
  <si>
    <t>1.2.1.2. Atelier provincial multi acteurs de consolidation &amp; d’appropriation des priorités identifiées pour les 3 sites dans un seul document et identification des rôles des acteurs ;</t>
  </si>
  <si>
    <t>1.2.1.1  Organiser 3 ateliers de 1 jour (en raison de 1 par site) regroupant chacun 40 participants pour la priorisation des actions parmi les recommandations définies dans les plans locaux de consolidation de la paix et de revue des stratégies opérationnelles de leurs mises en œuvre ;</t>
  </si>
  <si>
    <r>
      <t>1.3.1.4.Tenir des rencontres avec les autorités locales et les leaders des communautés pour rendre compte et solliciter leur appui dans les actions de transformation des conflits locaux ;</t>
    </r>
    <r>
      <rPr>
        <u val="single"/>
        <sz val="11"/>
        <rFont val="Times New Roman"/>
        <family val="1"/>
      </rPr>
      <t xml:space="preserve"> </t>
    </r>
  </si>
  <si>
    <t xml:space="preserve">Organiser un atelier de formation des agents de l’état et des leaders de la société civile sur leurs rôles et responsabilités (Thèmes : Nomenclature des taxes, taux de taxation, mode de recouvrement, responsable du recouvrement, périodicité, code de bonne conduite, techniques de plaidoyer…) </t>
  </si>
  <si>
    <t>1.1.1.1Organiser un dialogue social de 2 jours d’identification des causes profondes liées à l’émergence des groupes armés dans les territoires de  Masisi et Walikale y compris la définition des actions concrètes pour la reinseertion socio-économiques des ex combattants ;</t>
  </si>
  <si>
    <t>Tout compte fait, en arrondissant les chiffres, 70% du budget sont dédiés aux activités programmatiques et de coordination.</t>
  </si>
  <si>
    <t xml:space="preserve"> Les coûts directs de soutien sont évalués au tour de 23% et les coûts indirects (frais administratifs) à environ 7%.</t>
  </si>
  <si>
    <t>Frais de déplacement des participants, service contractuel, location salle</t>
  </si>
  <si>
    <t>Atelier</t>
  </si>
  <si>
    <t>Frais de déplacement, services contactuels</t>
  </si>
  <si>
    <t>1.1.1.7 Sur base des résultats des ateliers ci hauts, mettre en place une équipe de plaidoyer mixte  de rédaction du projet de l’édit avec l’appui d’un consultant</t>
  </si>
  <si>
    <t>Service contractuel avec un consultant</t>
  </si>
  <si>
    <t xml:space="preserve">Frais de réunion, </t>
  </si>
  <si>
    <t>Frais de reproduction de documents</t>
  </si>
  <si>
    <t>Ateliers</t>
  </si>
  <si>
    <t>Services contractuels</t>
  </si>
  <si>
    <t>service contractuel</t>
  </si>
  <si>
    <t>services contractuels, frais de fonctionnement des CDM et frais de déplacement pour les animateurs de terrain</t>
  </si>
  <si>
    <t>Subventions pour la durabilité financière des CDM</t>
  </si>
  <si>
    <t>1.3.2.4. Mener des missions de plaidoyer au niveau de la chefferie et de la province pour une allocation institutionnelle aux CDM dans le budget des ETD ;</t>
  </si>
  <si>
    <t>Frais de déplacement et de séjour</t>
  </si>
  <si>
    <t>Frais des réunions et de missions. DSA</t>
  </si>
  <si>
    <t>Achat et transport des matériaux de construction et Services contractuels avec les prestataires des services</t>
  </si>
  <si>
    <t>Achat, entreposage et tranport des équipements</t>
  </si>
  <si>
    <t xml:space="preserve">Prime pour les ouviers </t>
  </si>
  <si>
    <t>DSA pour l'équipe de suivi et de coaching</t>
  </si>
  <si>
    <t>DSA pour les experts chargés de la mise en œuvre du projet</t>
  </si>
  <si>
    <t>Services contractuels, manutention et frais de transport du mobilier</t>
  </si>
  <si>
    <t>Frais de transport des policiers recyclés vers leurs lieux d'affectation.</t>
  </si>
  <si>
    <t>Services contractuels pour la restauration des participants à l'atelier et achat des fournitures diverses.</t>
  </si>
  <si>
    <t>Services contractuels pour la restauration des participants durant 26 jours et achat des fournitures diverses.</t>
  </si>
  <si>
    <t>Services contractuels et frais de transport des équipements.</t>
  </si>
  <si>
    <t>Services contractuels pour la restauration des participants à l'atelier de formation et frais de transport et delogement des participants et des fournitures.</t>
  </si>
  <si>
    <t>Service contractuel avec un consultant individuel</t>
  </si>
  <si>
    <t>Frais de mission pour les experts gouvernementaux habilités</t>
  </si>
  <si>
    <t>Mise en place des outils de monitoring et frais des missions</t>
  </si>
  <si>
    <t>Etude rapide par les contractants et production du rapport</t>
  </si>
  <si>
    <t>Frais d'itinerance dans les sites</t>
  </si>
  <si>
    <t>Achat des Casse-coûte pour les participants aux réunions</t>
  </si>
  <si>
    <t>Ateliers sur la structuration des bénéficiaires</t>
  </si>
  <si>
    <t>Coûts de revient pour les kits destinés aux ex-combattants</t>
  </si>
  <si>
    <t>Coûts de revient pour les kits destinés aux autres vulnérables de la communauté</t>
  </si>
  <si>
    <t xml:space="preserve">Frais pour les animateurs recrutés par les partenaires </t>
  </si>
  <si>
    <t>Réunion des structuration des Mutuelles des solidarités</t>
  </si>
  <si>
    <t>Atelier de renforcement des capacités techniques</t>
  </si>
  <si>
    <t>Achat des outils de travail pour les MUSOS</t>
  </si>
  <si>
    <t>Frais pour les experts des MUSOS</t>
  </si>
  <si>
    <t>Frais de la mission d'évaluation des MUSO et de production du rapport</t>
  </si>
  <si>
    <t>Frais de voyages d'échanges d'expériences des membres de MUSO</t>
  </si>
  <si>
    <t>Service contractuel pour l'atelier de formation des animateurs locaux des MUSOS</t>
  </si>
  <si>
    <t>Services contractuels pour les animateurs chargés du suivi des MUSO</t>
  </si>
  <si>
    <t>Service contractuel pour un consultant expert en accompagnement des coopératives minières</t>
  </si>
  <si>
    <t>Frais pour l'élaboration et la reproduction du manuel de procédure pour une coopérative minière.</t>
  </si>
  <si>
    <t xml:space="preserve">Frais de missions de suivi technique effectuées par les experts </t>
  </si>
  <si>
    <t>Frais du base line du projet par HHI</t>
  </si>
  <si>
    <t>Service contractuel avec un consultant externe pour l'évaluation finale du projet</t>
  </si>
  <si>
    <t>Frais de déplacement des participants au dialogue social, service contractuel pour la restauration et le logement des participants, location salle et achat des fournitures</t>
  </si>
  <si>
    <t>Services contractuels et appui technique</t>
  </si>
  <si>
    <t>Frais des réunions avec les autorités et leaders locaux</t>
  </si>
  <si>
    <t>MONTANT PAR ACTIVITE liee au genre ***</t>
  </si>
  <si>
    <t>Budget total lie au genre (&gt;15% du budget total)</t>
  </si>
  <si>
    <r>
      <t xml:space="preserve">(e) GMS 7% </t>
    </r>
    <r>
      <rPr>
        <b/>
        <sz val="10"/>
        <color indexed="10"/>
        <rFont val="Calibri"/>
        <family val="2"/>
      </rPr>
      <t>couts indirect</t>
    </r>
    <r>
      <rPr>
        <b/>
        <sz val="10"/>
        <rFont val="Calibri"/>
        <family val="2"/>
      </rPr>
      <t xml:space="preserve"> (USD):</t>
    </r>
  </si>
  <si>
    <r>
      <t xml:space="preserve">Couts GMS 7% </t>
    </r>
    <r>
      <rPr>
        <sz val="10"/>
        <color indexed="10"/>
        <rFont val="Calibri"/>
        <family val="2"/>
      </rPr>
      <t>couts indirects</t>
    </r>
  </si>
  <si>
    <t>Service contractuel avec un prestataire spécialisé</t>
  </si>
  <si>
    <t>OBS1</t>
  </si>
  <si>
    <t>OBS2</t>
  </si>
  <si>
    <t>OBS3</t>
  </si>
  <si>
    <t>Ce montant lié au genre correspond à 18% du budget total.</t>
  </si>
  <si>
    <t>Coordonnateur du projet ( 100%), grade SC8 (SB4)_step 4</t>
  </si>
  <si>
    <t>le salaire du coordonnateur correspond à son salaire actuel au pnud. Il est SC8 ou SB4 échelon 4 car il a plus de 16 ans d'expériences professionnelles</t>
  </si>
  <si>
    <t>1.2.1.3. Mettre en œuvre des actions prioritaires des plans d’actions, essentiellement relatives aux conflits fonciers et  aux groupes armés, relevant de la compétence locale : appui financier à hauteur de 13.000 dollars par plan d’action </t>
  </si>
  <si>
    <t>Associé au programme_SC7 (100% de son salaire mensuel)</t>
  </si>
  <si>
    <t>cela s'explique par le fait que ce projet qui est multisectoriel exige la collaboration des experts des différents domaines dont certains seront basés sur terrain avec droit aux dangers pays.</t>
  </si>
  <si>
    <t>PNUD(coordination)</t>
  </si>
  <si>
    <t xml:space="preserve">Le PNUD en sa qualité d'agence lead a incorporé dans son budget les frais de coordination du consortium. </t>
  </si>
  <si>
    <t>Frais de Gestion PNUD</t>
  </si>
  <si>
    <t>Mission de collecte des données de base</t>
  </si>
  <si>
    <t>Le budget total dédié au genre tourne autour de 18%. Il a été calculé sur base du nombre des bénéficiaires femmes de chaque activité.</t>
  </si>
  <si>
    <t>Pour assurer la présence du consortium sur terrain, un bureau y sera loué pour une période de 8 mois. UNHABITAT se chargera de la contractualisation avec le propriétaire.</t>
  </si>
  <si>
    <t>Frais de missions pour l'équipe d'experts de suivi  et évaluation</t>
  </si>
  <si>
    <t>1.009.345</t>
  </si>
  <si>
    <t>1.080.000</t>
  </si>
  <si>
    <t>(e) GMS 7% Agent de Gestion (USD):70654.15</t>
  </si>
  <si>
    <t>Frais de loyers sur terrain pour le consortium.</t>
  </si>
  <si>
    <t xml:space="preserve">Dépenses de sécurité, télécommunications, Internet, </t>
  </si>
  <si>
    <t>Place sur le terrain pour le suivi des activites</t>
  </si>
  <si>
    <t>Soutenir les deplacements des equipes de projets pour le compte du PNUD.</t>
  </si>
  <si>
    <t>Charge du volet Dialogue Democratique dans le cadre du projet</t>
  </si>
  <si>
    <t>Soutenir l'equipe dans l'administration des fonds du projet</t>
  </si>
  <si>
    <t>Soutenir les deplacements des equipes de projets pour le compte de ONU HABITAT</t>
  </si>
  <si>
    <t xml:space="preserve">Fournit de l'expertise en matiere miniere. </t>
  </si>
  <si>
    <t>Soutenir les deplacements des equipes de projets pour le compte de OIM</t>
  </si>
  <si>
    <t>Frais de suivi par les membres du CTS</t>
  </si>
  <si>
    <t>consommables et entretien du véhicule</t>
  </si>
  <si>
    <t>contrats avec les partenaires de mise en œuvre</t>
  </si>
  <si>
    <t>Contrat avec le consultant chargé de l'évaluation finale</t>
  </si>
  <si>
    <t>Contrat avec HHI pour les études de perception</t>
  </si>
  <si>
    <t>Contrat avec les partenaires de mise en œuvre et les fournisseursdesbiens</t>
  </si>
  <si>
    <t>Contrat avec le partenaire de mise en œuvre</t>
  </si>
  <si>
    <t>Equipement bureau du terrain à Minova</t>
  </si>
  <si>
    <t>cartes d'appel téléphonique et internet pour le staff du terrain</t>
  </si>
  <si>
    <t>Consommables</t>
  </si>
  <si>
    <t>estimé à 215.164$ pour les 3 agences, soit 19,9% du budget total.</t>
  </si>
  <si>
    <t xml:space="preserve">Un associé au programme foncier, un field  coordonnator, un coordonnateur du consortium, deux chauffeurs et un animateur rural seront pris en charge par le projet à 100%.  </t>
  </si>
  <si>
    <t>Le personnel de support tels que les logisticiens et les chargés de l'administration et finance et un chauffeur seront pris partiellement en charge par le projet.</t>
  </si>
  <si>
    <t>Comme pour la première phase , le coordonnateur coordonnera à la fois les activités du PNUD et celles du consortium. Les  partenaires de mise en œuvre recruteront des animateurs qui seront tous basés sur terrain.</t>
  </si>
  <si>
    <t>Ces frais couvrent le salaire du coordonnateur et de l'animateur rural, les frais des missions du CTS et de collecte des données suplémentaires du base line, les frais de collecte de données de perception par HHI et les frais de l'évaluation finale.</t>
  </si>
  <si>
    <t>Contribution au salaire du chef de mission</t>
  </si>
  <si>
    <t>Contribution au salaire du SRMO</t>
  </si>
  <si>
    <t>Contribution au salaire du project manager</t>
  </si>
  <si>
    <t>Chargé de la mise en oeuvre des aspects routes et mines</t>
  </si>
  <si>
    <t>Contribue à la gestion des ressources du projet</t>
  </si>
  <si>
    <t xml:space="preserve">Chargé des achats et de la logistique pour OIM </t>
  </si>
  <si>
    <t>Frais des missions de suivi et de coaching des partenaires</t>
  </si>
  <si>
    <t xml:space="preserve">Tranche 1 </t>
  </si>
  <si>
    <t xml:space="preserve">Tranche 2 </t>
  </si>
  <si>
    <t xml:space="preserve">Total </t>
  </si>
  <si>
    <r>
      <t xml:space="preserve">1. Personnel et autres employés </t>
    </r>
    <r>
      <rPr>
        <sz val="10"/>
        <color indexed="10"/>
        <rFont val="Calibri"/>
        <family val="2"/>
      </rPr>
      <t xml:space="preserve">(max 15%) </t>
    </r>
  </si>
  <si>
    <t>2. Fournitures, produits de base, materiels</t>
  </si>
  <si>
    <t>3. Equipements et mobilier</t>
  </si>
  <si>
    <t>4. Services Contractuels</t>
  </si>
  <si>
    <t>5. Frais de deplacement</t>
  </si>
  <si>
    <t>6. Transferts et subventions</t>
  </si>
  <si>
    <r>
      <t xml:space="preserve">7. Frais generaux de fonctionnement et autres couts directs </t>
    </r>
    <r>
      <rPr>
        <sz val="10"/>
        <color indexed="10"/>
        <rFont val="Calibri"/>
        <family val="2"/>
      </rPr>
      <t>(max 10%)</t>
    </r>
    <r>
      <rPr>
        <sz val="10"/>
        <rFont val="Calibri"/>
        <family val="2"/>
      </rPr>
      <t xml:space="preserve"> </t>
    </r>
  </si>
  <si>
    <t>Total des Couts liés au Programme = Total 7 categories</t>
  </si>
  <si>
    <t>Tranche 2</t>
  </si>
  <si>
    <t xml:space="preserve">TOTAL </t>
  </si>
  <si>
    <t xml:space="preserve">Budget Detaille trois catégories de dépenses </t>
  </si>
  <si>
    <t xml:space="preserve">Budget Total  </t>
  </si>
  <si>
    <t xml:space="preserve">% Total Budget </t>
  </si>
  <si>
    <r>
      <t xml:space="preserve">SOUS-TOTAL COUTS DIRECTS LIES AUX ACTIVITES </t>
    </r>
    <r>
      <rPr>
        <sz val="11"/>
        <color indexed="10"/>
        <rFont val="Calibri"/>
        <family val="2"/>
      </rPr>
      <t>(au minimum 60% du budget total)</t>
    </r>
  </si>
  <si>
    <r>
      <t xml:space="preserve">SOUS-TOTAL COUTS DIRECTS DE SOUTIEN </t>
    </r>
    <r>
      <rPr>
        <sz val="11"/>
        <color indexed="10"/>
        <rFont val="Calibri"/>
        <family val="2"/>
      </rPr>
      <t>(ne peuvent représentés plus de 35% du budget total)</t>
    </r>
  </si>
  <si>
    <r>
      <t xml:space="preserve">Cout GMS </t>
    </r>
    <r>
      <rPr>
        <sz val="11"/>
        <color indexed="10"/>
        <rFont val="Calibri"/>
        <family val="2"/>
      </rPr>
      <t>7%</t>
    </r>
  </si>
  <si>
    <t xml:space="preserve">Total Global Couts Indirets </t>
  </si>
  <si>
    <t xml:space="preserve">Total Global </t>
  </si>
  <si>
    <t>budget depense</t>
  </si>
  <si>
    <t xml:space="preserve">% des depenses par rapport au budget approuve </t>
  </si>
  <si>
    <t>JUILLET 2017-  SEPTEMBRE  2018</t>
  </si>
  <si>
    <t>b. Résultat 2.2 : Meilleure conscience des agents de l’Etat par rapport à leurs devoirs et responsabilités formels et aux effets destructeurs de la corruption ( réorienté vers la réinsertion des ex-combattants ).</t>
  </si>
  <si>
    <t>Frais de collecte des données de perception</t>
  </si>
  <si>
    <t>Frais de mission pour l'équipe de suivi et évaluation</t>
  </si>
  <si>
    <t>Explication du budget réorienté</t>
  </si>
  <si>
    <t>PNUD:</t>
  </si>
  <si>
    <t>Après avoir supprimé les activités du résultat 2.2 dans le budget initial, un montant de 22.000$ a été récupré et reparti comme suit:</t>
  </si>
  <si>
    <t>12.000$ affecté aux activités de réinsertion. Ici , la cible des ex-combattants à appuyer est passée de 120 à 200</t>
  </si>
  <si>
    <t>3.000$ ont été affectés aux activités des formations de 80 nouveaux ex-combattants</t>
  </si>
  <si>
    <t>500$ ont été affectés à l'équipement des MUSO.</t>
  </si>
  <si>
    <t>N.B: Les frais opérationnels n'ont pas été bougés.</t>
  </si>
  <si>
    <t>5000$ ont été affectés à la collecte des données de perception par les staffs de suivi et évaluation</t>
  </si>
  <si>
    <t>Dépense déjà réalisée</t>
  </si>
  <si>
    <t>Dépense déjà realisée</t>
  </si>
  <si>
    <t>Sous Total</t>
  </si>
  <si>
    <t>Sous total</t>
  </si>
  <si>
    <t>dépenses déjà réalisées</t>
  </si>
  <si>
    <t>1.1.1.1. Tenir une journée participative d'analyse et d'identification d'enjeux et des acteurs clés pour les 3 territoires</t>
  </si>
  <si>
    <t>1.1.1.2. Organiser un atelier provincial de présentation des résultats d’analyse en vue de restitution et de prise de conscience au niveau provincial et déterminer les besoins à prendre en compte dans la gouvernance provincial ;</t>
  </si>
  <si>
    <t>1.500$ ont été affectés aux activités de structuration de cette nouvelle cible en MUSO</t>
  </si>
  <si>
    <t xml:space="preserve"> Pour la ligne intitulee ''Payer 10 équipes de maintenance, soit 190 ouvriers pendant 3 Mois'' qui a comme budget 44460usd; nous allons reaffecté</t>
  </si>
  <si>
    <t>1). 6000usd sera utilisés pour payer l'Ir consultant pendant 5mois(de Mai-Septembre 2018) qui n'avait pas était planifié au départ</t>
  </si>
  <si>
    <t>2).9100usd seront reaffectés pour suppléer  au salaire du coordinateur terrain car le salaire était payé des le debut du projet</t>
  </si>
  <si>
    <t>Budget initial</t>
  </si>
  <si>
    <t>Budget revise</t>
  </si>
  <si>
    <t>activité supprimée, budget orientée vers la réinsertion des ex-combattants</t>
  </si>
  <si>
    <t>activité supprimée,budget orienté vers la réinsertion des ex-combattants</t>
  </si>
  <si>
    <t>activité supprimée, budget orienté vers la collecte des données</t>
  </si>
  <si>
    <t>activité supprimée,budget orienté vers la collecte des données</t>
  </si>
  <si>
    <t>Acheter, transporter  et distribuer les kits aux ex-combattants( 120+80)</t>
  </si>
  <si>
    <t>Budget revisé</t>
  </si>
  <si>
    <t xml:space="preserve"> Budget initial</t>
  </si>
  <si>
    <t>activité supprimée et budget orienté vers la réinsertion des ex-combattants</t>
  </si>
  <si>
    <t>Chargé de la mise en oeuvre des aspects routes et mines. Initialement prévu pour 12 mois, on est passé à 15 mois conformément à l'extension sans coût</t>
  </si>
  <si>
    <t xml:space="preserve">initialement prevu pour assurer les primes pour les ouviers HIMO, cette ligne a été reduite de 6681$ $ pour suppléer aux depenses liees aux salaires de personnel tehnique </t>
  </si>
  <si>
    <t>Organiser un dialogue social de 2 jours d’identification des causes profondes liées à l’émergence des groupes armés dans les territoires de  Masisi et Walikale y compris la définition des actions concrètes pour la reinseertion socio-économiques des ex combattants ;</t>
  </si>
  <si>
    <t>Réunion technique et pédagogique des experts interprovinciaux pour la préparation du forum interprovincial sur la persistance des groupes armés</t>
  </si>
  <si>
    <t xml:space="preserve">Mision de consultation et de plaidoyer à Kishasa pour l'obtention de l' implication des acteurs du niveau national au forum interprovincial </t>
  </si>
  <si>
    <t xml:space="preserve">Organiser le forum interprovincial sur la persistance des groupes armés et la réinsertion des démobilisés afin de valider une feuille de route  ayant des actions claires, précises et des responsabilités étatiques touchant le cadre politico-stratégique en termes de réponse durable à la persistance des groupes armés et la réinsertion des démobilisés au Nord et Sud-Kivu. </t>
  </si>
  <si>
    <t>Mission de contacts préparatoires des acteurs du Nord Kivu pour le dialogue interprovincial</t>
  </si>
  <si>
    <t>Atelier d'explication et de consultation des acteurs clés de Masisi , Walikale et Kalehe sur la persistance des groupes armés prévu à Minova</t>
  </si>
  <si>
    <t>Mission préparatoire du Gouvernement provincial du Sud Kivu à Goma pour l'organisation du forum interprovincial</t>
  </si>
  <si>
    <t xml:space="preserve">Organiser une rencontre d’échange  entre autorités- CDM- Commissions d’Enquêtes- Commission territoriale de  Plaidoyer -le cadre de concertation   sur   la recolte des desideratas en vue du la proposition d'un édit provincial;  </t>
  </si>
  <si>
    <t>Frais de déplacement et de séjour des participants, services contractuels, primes des facilitateurs.</t>
  </si>
  <si>
    <t>Atelier provincial multi acteurs de consolidation &amp; d’appropriation des priorités identifiées pour les 3 sites dans un seul document et identification des rôles des acteurs ;</t>
  </si>
  <si>
    <t>Mener des missions de plaidoyer au niveau de la chefferie et de la province pour une allocation institutionnelle aux CDM dans le budget des ETD ;</t>
  </si>
  <si>
    <t>supprimée et réorienté vers le forum</t>
  </si>
  <si>
    <t>Supprimé et reaffecté au forum</t>
  </si>
  <si>
    <t>Activité préalable au recyclage. A executer par les experts du projet</t>
  </si>
  <si>
    <t>Coûts de revient pour les kits destinés à 200 ex-combattants. 120 de la première phase + 80 supplémentaires après réorientation</t>
  </si>
  <si>
    <t>Achat des outils de travail pour 28  MUSOS</t>
  </si>
  <si>
    <t>Frais de suivi par les membres du CTS. Une mission déjà réalisée</t>
  </si>
  <si>
    <t>Produit 1.3.1: Les plates formes de supervision des dialogues sont mises en place</t>
  </si>
  <si>
    <t>Activité de structuration effectuée par les animateurs du projet</t>
  </si>
  <si>
    <t>Produit 1.3.3: Les mécanismes de survie et de pérennisation des CDM sont assurés.</t>
  </si>
  <si>
    <t>Produit 1.3.2: Les  structures locales ciblées/CDM ont de meilleures connaissances sur différents thématiques retenues.</t>
  </si>
  <si>
    <t>Budget reorientee conformement aux recommandations du CAP</t>
  </si>
  <si>
    <t>Frais de transport, sejour, restauration et facilitation et reunions focus group</t>
  </si>
  <si>
    <t xml:space="preserve">Frais de transport, sejour, restauration et facilitation et reunions focus group </t>
  </si>
  <si>
    <t>Frais de transport, sejour et reunions focus group</t>
  </si>
  <si>
    <t xml:space="preserve">Frais de transport, sejour et reunions focus group </t>
  </si>
  <si>
    <t>Budget a determiner dans le cadre de l'allocation pour la mise en oeuvre de la feuille de route</t>
  </si>
  <si>
    <t xml:space="preserve">Budget reoriente vers l'organisation du Forum interprovincial </t>
  </si>
  <si>
    <t xml:space="preserve">Accompagner la mise en œuvre des recommandations  de la feuille de route issue du Forum interprovincial </t>
  </si>
  <si>
    <t>Activite suprime vu que l'avant projet d'Edit est deja sur la table du gouvernement</t>
  </si>
  <si>
    <t xml:space="preserve">Tenir 4 séances d’échange avec les députés provinciaux, le Gouverneur de Province, les ministères clés  sur la proposition de l’édit pour amendement avant adoption et promulgation. </t>
  </si>
  <si>
    <t xml:space="preserve">Appuyer le ministère des affaires foncières pour organiser un atelier des acteurs impliqués dans le processus pour l’intégration des recommandations issues du conseil de ministre dans la proposition </t>
  </si>
  <si>
    <t>Activite suprimee vu que l'avant projet d'Edit est deja sur la table du gouvernement</t>
  </si>
  <si>
    <t>Reproduction de documents</t>
  </si>
  <si>
    <t>Budget a completer par SSU GOMA</t>
  </si>
  <si>
    <t>Transport, restauration, location salle, couverture media.</t>
  </si>
  <si>
    <t>1.2.1.2. Mettre en œuvre des actions prioritaires des plans d’actions, essentiellement relatives aux conflits fonciers et  aux groupes armés, relevant de la compétence locale : appui financier à hauteur de 12.000 dollars par plan d’action </t>
  </si>
  <si>
    <t>Après ajustement conformément à la reoritentation, certaines activités du résultat 1.1  ont été réorientées et leurs budgets affectés au forum interprovincial  sur la persistance des groupes armés au Nord et au Sud Kivu. Son budget est de 34520$ .Dans le cadre de la préparation de ce forum, il est prévu quatre sous activités dont une mission de plaidoyer à Kinshasa dont le complement du budget est à la charge de SSU. Pour la mise en oeuvre de la feuille de route qui sera issue du forum precité, les fonds seront mobilisés ailleurs car le projet n'en dispose pas.</t>
  </si>
  <si>
    <t>1.3.1.1. Mettre en place les plates formes de supervision des dialogues</t>
  </si>
  <si>
    <t>1.3.1.3. Mettre à la disposition des CDM, pour un accompagnement et un coaching technique un Assistant Terrain par  le partenaire de mis en œuvre ;</t>
  </si>
  <si>
    <t>1.3.1.4. Assurer mensuellement l’accompagnement institutionnel (location et fonctionnement bureaux des  CDM, transport pour les animateurs des CDM lors des descentes de sensibilisation et médiation dans le sites  lointains des CDM Minova, Numbi, Chambombo, Lumbishi et Tushunguti );</t>
  </si>
  <si>
    <t xml:space="preserve">1.3.1.5.Tenir des rencontres avec les autorités locales et les leaders des communautés pour rendre compte et solliciter leur appui dans les actions de transformation des conflits locaux ; </t>
  </si>
  <si>
    <t>budget depensé</t>
  </si>
  <si>
    <t>dépenses en cours de realisation et ce jusq'en sept 018</t>
  </si>
  <si>
    <t>en cours</t>
  </si>
  <si>
    <t>AGR en cours de fonctionnement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</si>
</sst>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_ * \-#,##0.00_ ;_ * &quot;-&quot;??_ ;_ @_ "/>
    <numFmt numFmtId="173" formatCode="#,##0.00_ ;\-#,##0.00\ "/>
    <numFmt numFmtId="174" formatCode="&quot;Yes&quot;;&quot;Yes&quot;;&quot;No&quot;"/>
    <numFmt numFmtId="175" formatCode="&quot;True&quot;;&quot;True&quot;;&quot;False&quot;"/>
    <numFmt numFmtId="176" formatCode="&quot;On&quot;;&quot;On&quot;;&quot;Off&quot;"/>
    <numFmt numFmtId="177" formatCode="[$€-2]\ #,##0.00_);[Red]\([$€-2]\ #,##0.00\)"/>
    <numFmt numFmtId="178" formatCode="[$-40C]dddd\ d\ mmmm\ yyyy"/>
  </numFmts>
  <fonts count="76">
    <font>
      <sz val="10"/>
      <name val="Arial"/>
      <family val="0"/>
    </font>
    <font>
      <sz val="11"/>
      <color indexed="8"/>
      <name val="Calibri"/>
      <family val="2"/>
    </font>
    <font>
      <sz val="10"/>
      <name val="Calibri"/>
      <family val="2"/>
    </font>
    <font>
      <b/>
      <sz val="10"/>
      <name val="Calibri"/>
      <family val="2"/>
    </font>
    <font>
      <b/>
      <sz val="10"/>
      <name val="Arial Narrow"/>
      <family val="2"/>
    </font>
    <font>
      <sz val="10"/>
      <color indexed="10"/>
      <name val="Calibri"/>
      <family val="2"/>
    </font>
    <font>
      <b/>
      <sz val="10"/>
      <name val="Arial"/>
      <family val="2"/>
    </font>
    <font>
      <sz val="9"/>
      <name val="Arial"/>
      <family val="2"/>
    </font>
    <font>
      <sz val="11"/>
      <name val="Times New Roman"/>
      <family val="1"/>
    </font>
    <font>
      <u val="single"/>
      <sz val="11"/>
      <name val="Times New Roman"/>
      <family val="1"/>
    </font>
    <font>
      <i/>
      <sz val="11"/>
      <name val="Times New Roman"/>
      <family val="1"/>
    </font>
    <font>
      <b/>
      <sz val="10"/>
      <color indexed="10"/>
      <name val="Calibri"/>
      <family val="2"/>
    </font>
    <font>
      <b/>
      <sz val="12"/>
      <name val="Arial"/>
      <family val="2"/>
    </font>
    <font>
      <sz val="12"/>
      <name val="Arial"/>
      <family val="2"/>
    </font>
    <font>
      <sz val="11"/>
      <color indexed="10"/>
      <name val="Calibri"/>
      <family val="2"/>
    </font>
    <font>
      <b/>
      <sz val="11"/>
      <name val="Times New Roman"/>
      <family val="1"/>
    </font>
    <font>
      <b/>
      <i/>
      <sz val="11"/>
      <name val="Times New Roman"/>
      <family val="1"/>
    </font>
    <font>
      <b/>
      <sz val="12"/>
      <name val="Times New Roman"/>
      <family val="1"/>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8"/>
      <name val="Calibri"/>
      <family val="2"/>
    </font>
    <font>
      <b/>
      <sz val="10"/>
      <color indexed="8"/>
      <name val="Calibri"/>
      <family val="2"/>
    </font>
    <font>
      <b/>
      <sz val="10"/>
      <color indexed="9"/>
      <name val="Arial"/>
      <family val="2"/>
    </font>
    <font>
      <b/>
      <sz val="12"/>
      <name val="Calibri"/>
      <family val="2"/>
    </font>
    <font>
      <b/>
      <sz val="14"/>
      <name val="Calibri"/>
      <family val="2"/>
    </font>
    <font>
      <sz val="11"/>
      <color indexed="8"/>
      <name val="Times New Roman"/>
      <family val="1"/>
    </font>
    <font>
      <i/>
      <sz val="11"/>
      <color indexed="8"/>
      <name val="Times New Roman"/>
      <family val="1"/>
    </font>
    <font>
      <sz val="11"/>
      <color indexed="10"/>
      <name val="Times New Roman"/>
      <family val="1"/>
    </font>
    <font>
      <sz val="11"/>
      <color indexed="9"/>
      <name val="Times New Roman"/>
      <family val="1"/>
    </font>
    <font>
      <i/>
      <sz val="11"/>
      <color indexed="21"/>
      <name val="Times New Roman"/>
      <family val="1"/>
    </font>
    <font>
      <sz val="11"/>
      <color indexed="21"/>
      <name val="Times New Roman"/>
      <family val="1"/>
    </font>
    <font>
      <sz val="12"/>
      <name val="Calibri"/>
      <family val="2"/>
    </font>
    <font>
      <i/>
      <sz val="11"/>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rgb="FFFF0000"/>
      <name val="Calibri"/>
      <family val="2"/>
    </font>
    <font>
      <b/>
      <sz val="10"/>
      <color theme="0"/>
      <name val="Arial"/>
      <family val="2"/>
    </font>
    <font>
      <sz val="11"/>
      <color theme="1"/>
      <name val="Times New Roman"/>
      <family val="1"/>
    </font>
    <font>
      <i/>
      <sz val="11"/>
      <color theme="1"/>
      <name val="Times New Roman"/>
      <family val="1"/>
    </font>
    <font>
      <sz val="11"/>
      <color rgb="FFFF0000"/>
      <name val="Times New Roman"/>
      <family val="1"/>
    </font>
    <font>
      <sz val="11"/>
      <color theme="0"/>
      <name val="Times New Roman"/>
      <family val="1"/>
    </font>
    <font>
      <i/>
      <sz val="11"/>
      <color rgb="FF00B050"/>
      <name val="Times New Roman"/>
      <family val="1"/>
    </font>
    <font>
      <sz val="11"/>
      <color rgb="FF00B050"/>
      <name val="Times New Roman"/>
      <family val="1"/>
    </font>
    <font>
      <i/>
      <sz val="11"/>
      <color rgb="FFFF0000"/>
      <name val="Times New Roman"/>
      <family val="1"/>
    </font>
    <font>
      <b/>
      <sz val="10"/>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8D8D8"/>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FFC000"/>
        <bgColor indexed="64"/>
      </patternFill>
    </fill>
    <fill>
      <patternFill patternType="solid">
        <fgColor theme="0" tint="-0.3499799966812134"/>
        <bgColor indexed="64"/>
      </patternFill>
    </fill>
    <fill>
      <patternFill patternType="solid">
        <fgColor rgb="FF92D050"/>
        <bgColor indexed="64"/>
      </patternFill>
    </fill>
    <fill>
      <patternFill patternType="solid">
        <fgColor theme="3" tint="0.39998000860214233"/>
        <bgColor indexed="64"/>
      </patternFill>
    </fill>
    <fill>
      <patternFill patternType="solid">
        <fgColor theme="2"/>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border>
    <border>
      <left/>
      <right/>
      <top style="thin"/>
      <bottom/>
    </border>
    <border>
      <left style="thin"/>
      <right/>
      <top/>
      <bottom style="thin"/>
    </border>
    <border>
      <left/>
      <right style="thin"/>
      <top/>
      <bottom/>
    </border>
    <border>
      <left/>
      <right style="thin"/>
      <top/>
      <bottom style="thin"/>
    </border>
    <border>
      <left/>
      <right style="thin"/>
      <top style="thin"/>
      <bottom/>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style="medium"/>
      <top style="thin"/>
      <bottom style="thin"/>
    </border>
    <border>
      <left style="thin"/>
      <right/>
      <top/>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2"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0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Fill="1" applyAlignment="1">
      <alignment/>
    </xf>
    <xf numFmtId="0" fontId="64" fillId="0" borderId="10" xfId="0" applyFont="1" applyFill="1" applyBorder="1" applyAlignment="1">
      <alignment horizontal="left" vertical="top" wrapText="1"/>
    </xf>
    <xf numFmtId="0" fontId="64" fillId="0" borderId="10" xfId="0" applyFont="1" applyBorder="1" applyAlignment="1">
      <alignment vertical="top" wrapText="1"/>
    </xf>
    <xf numFmtId="0" fontId="2" fillId="0" borderId="10" xfId="0" applyFont="1" applyBorder="1" applyAlignment="1">
      <alignment wrapText="1"/>
    </xf>
    <xf numFmtId="0" fontId="3" fillId="0" borderId="0" xfId="0" applyFont="1" applyFill="1" applyAlignment="1">
      <alignment/>
    </xf>
    <xf numFmtId="0" fontId="65" fillId="33" borderId="10" xfId="0" applyFont="1" applyFill="1" applyBorder="1" applyAlignment="1">
      <alignment horizontal="center" wrapText="1"/>
    </xf>
    <xf numFmtId="0" fontId="2" fillId="0" borderId="0" xfId="0" applyFont="1" applyBorder="1" applyAlignment="1">
      <alignment/>
    </xf>
    <xf numFmtId="0" fontId="2" fillId="0" borderId="0" xfId="0" applyFont="1" applyFill="1" applyBorder="1" applyAlignment="1">
      <alignment/>
    </xf>
    <xf numFmtId="0" fontId="4" fillId="0" borderId="0" xfId="0" applyFont="1" applyBorder="1" applyAlignment="1">
      <alignment/>
    </xf>
    <xf numFmtId="0" fontId="66" fillId="0" borderId="10" xfId="0" applyFont="1" applyBorder="1" applyAlignment="1">
      <alignment wrapText="1"/>
    </xf>
    <xf numFmtId="0" fontId="3" fillId="0" borderId="0" xfId="0" applyFont="1" applyBorder="1" applyAlignment="1">
      <alignment/>
    </xf>
    <xf numFmtId="0" fontId="2" fillId="0" borderId="11" xfId="0" applyFont="1" applyFill="1" applyBorder="1" applyAlignment="1">
      <alignment/>
    </xf>
    <xf numFmtId="0" fontId="2" fillId="0" borderId="11" xfId="0" applyFont="1" applyBorder="1" applyAlignment="1">
      <alignment/>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34" borderId="0" xfId="0" applyFont="1" applyFill="1" applyAlignment="1">
      <alignment/>
    </xf>
    <xf numFmtId="0" fontId="3" fillId="34" borderId="0" xfId="0" applyFont="1" applyFill="1" applyBorder="1" applyAlignment="1">
      <alignment/>
    </xf>
    <xf numFmtId="0" fontId="3" fillId="0" borderId="0" xfId="0" applyFont="1" applyFill="1" applyBorder="1" applyAlignment="1">
      <alignment vertical="center" wrapText="1"/>
    </xf>
    <xf numFmtId="0" fontId="3" fillId="34" borderId="0" xfId="0" applyFont="1" applyFill="1" applyBorder="1" applyAlignment="1">
      <alignment horizontal="left"/>
    </xf>
    <xf numFmtId="0" fontId="3" fillId="34" borderId="0" xfId="0" applyFont="1" applyFill="1" applyAlignment="1">
      <alignment horizontal="left"/>
    </xf>
    <xf numFmtId="0" fontId="6" fillId="34" borderId="0" xfId="0" applyFont="1" applyFill="1" applyBorder="1" applyAlignment="1">
      <alignment vertical="center" wrapText="1"/>
    </xf>
    <xf numFmtId="0" fontId="6" fillId="34" borderId="11" xfId="0" applyFont="1" applyFill="1" applyBorder="1" applyAlignment="1">
      <alignment vertical="center" wrapText="1"/>
    </xf>
    <xf numFmtId="0" fontId="6" fillId="34" borderId="14" xfId="0" applyFont="1" applyFill="1" applyBorder="1" applyAlignment="1">
      <alignment vertical="center" wrapText="1"/>
    </xf>
    <xf numFmtId="0" fontId="67" fillId="34" borderId="0" xfId="0" applyFont="1" applyFill="1" applyBorder="1" applyAlignment="1">
      <alignment vertical="center" wrapText="1"/>
    </xf>
    <xf numFmtId="0" fontId="67" fillId="17" borderId="11" xfId="0" applyFont="1" applyFill="1" applyBorder="1" applyAlignment="1">
      <alignment vertical="center" wrapText="1"/>
    </xf>
    <xf numFmtId="0" fontId="67" fillId="17" borderId="14" xfId="0" applyFont="1" applyFill="1" applyBorder="1" applyAlignment="1">
      <alignment vertical="center" wrapText="1"/>
    </xf>
    <xf numFmtId="0" fontId="36" fillId="0" borderId="0" xfId="0" applyFont="1" applyAlignment="1">
      <alignment/>
    </xf>
    <xf numFmtId="0" fontId="2" fillId="0" borderId="0" xfId="0" applyFont="1" applyFill="1" applyAlignment="1">
      <alignment vertical="top"/>
    </xf>
    <xf numFmtId="0" fontId="37" fillId="0" borderId="0" xfId="0" applyFont="1" applyBorder="1" applyAlignment="1">
      <alignment horizontal="right"/>
    </xf>
    <xf numFmtId="0" fontId="2" fillId="0" borderId="0" xfId="0" applyFont="1" applyAlignment="1">
      <alignment horizontal="right"/>
    </xf>
    <xf numFmtId="0" fontId="37" fillId="0" borderId="0" xfId="0" applyFont="1" applyBorder="1" applyAlignment="1">
      <alignment/>
    </xf>
    <xf numFmtId="0" fontId="2" fillId="0" borderId="0" xfId="0" applyFont="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Fill="1" applyBorder="1" applyAlignment="1">
      <alignment vertical="top"/>
    </xf>
    <xf numFmtId="0" fontId="2" fillId="0" borderId="11" xfId="0" applyFont="1" applyFill="1" applyBorder="1" applyAlignment="1">
      <alignment vertical="top"/>
    </xf>
    <xf numFmtId="0" fontId="37" fillId="0" borderId="0"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7" fillId="0" borderId="0" xfId="0" applyFont="1" applyAlignment="1">
      <alignment/>
    </xf>
    <xf numFmtId="0" fontId="8" fillId="0" borderId="10" xfId="0" applyFont="1" applyFill="1" applyBorder="1" applyAlignment="1">
      <alignment horizontal="left" vertical="top" wrapText="1"/>
    </xf>
    <xf numFmtId="0" fontId="8" fillId="0" borderId="10" xfId="0" applyFont="1" applyBorder="1" applyAlignment="1">
      <alignment horizontal="left" vertical="top"/>
    </xf>
    <xf numFmtId="0" fontId="8" fillId="0" borderId="0" xfId="0" applyFont="1" applyAlignment="1">
      <alignment horizontal="left" vertical="top"/>
    </xf>
    <xf numFmtId="0" fontId="8" fillId="0" borderId="17" xfId="0" applyFont="1" applyFill="1" applyBorder="1" applyAlignment="1">
      <alignment horizontal="left" vertical="top"/>
    </xf>
    <xf numFmtId="0" fontId="8" fillId="0" borderId="0" xfId="0" applyFont="1" applyAlignment="1">
      <alignment horizontal="left" vertical="top" wrapText="1"/>
    </xf>
    <xf numFmtId="0" fontId="68" fillId="0" borderId="10" xfId="0" applyFont="1" applyBorder="1" applyAlignment="1">
      <alignment horizontal="left" vertical="top" wrapText="1"/>
    </xf>
    <xf numFmtId="39" fontId="8" fillId="0" borderId="10" xfId="42" applyNumberFormat="1" applyFont="1" applyFill="1" applyBorder="1" applyAlignment="1">
      <alignment horizontal="left" vertical="top"/>
    </xf>
    <xf numFmtId="0" fontId="68" fillId="35" borderId="10" xfId="0" applyFont="1" applyFill="1" applyBorder="1" applyAlignment="1">
      <alignment horizontal="left" vertical="top" wrapText="1"/>
    </xf>
    <xf numFmtId="39" fontId="8" fillId="35" borderId="10" xfId="42" applyNumberFormat="1" applyFont="1" applyFill="1" applyBorder="1" applyAlignment="1">
      <alignment horizontal="left" vertical="top"/>
    </xf>
    <xf numFmtId="0" fontId="69" fillId="35" borderId="10" xfId="0" applyFont="1" applyFill="1" applyBorder="1" applyAlignment="1">
      <alignment horizontal="left" vertical="top" wrapText="1"/>
    </xf>
    <xf numFmtId="39" fontId="10" fillId="35" borderId="10" xfId="42" applyNumberFormat="1" applyFont="1" applyFill="1" applyBorder="1" applyAlignment="1">
      <alignment horizontal="left" vertical="top"/>
    </xf>
    <xf numFmtId="0" fontId="68"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39" fontId="10" fillId="0" borderId="10" xfId="42" applyNumberFormat="1" applyFont="1" applyFill="1" applyBorder="1" applyAlignment="1">
      <alignment horizontal="left" vertical="top"/>
    </xf>
    <xf numFmtId="0" fontId="8" fillId="0" borderId="10" xfId="0" applyFont="1" applyBorder="1" applyAlignment="1">
      <alignment horizontal="left" vertical="top" wrapText="1"/>
    </xf>
    <xf numFmtId="0" fontId="8" fillId="35" borderId="10" xfId="0" applyFont="1" applyFill="1" applyBorder="1" applyAlignment="1">
      <alignment horizontal="left" vertical="top" wrapText="1"/>
    </xf>
    <xf numFmtId="0" fontId="8" fillId="36" borderId="18" xfId="0" applyFont="1" applyFill="1" applyBorder="1" applyAlignment="1">
      <alignment horizontal="left" vertical="top"/>
    </xf>
    <xf numFmtId="0" fontId="8" fillId="36" borderId="10" xfId="0" applyFont="1" applyFill="1" applyBorder="1" applyAlignment="1">
      <alignment horizontal="left" vertical="top" wrapText="1"/>
    </xf>
    <xf numFmtId="0" fontId="10" fillId="36" borderId="10" xfId="0" applyFont="1" applyFill="1" applyBorder="1" applyAlignment="1">
      <alignment horizontal="left" vertical="top" wrapText="1"/>
    </xf>
    <xf numFmtId="39" fontId="10" fillId="36" borderId="10" xfId="42" applyNumberFormat="1" applyFont="1" applyFill="1" applyBorder="1" applyAlignment="1">
      <alignment horizontal="left" vertical="top"/>
    </xf>
    <xf numFmtId="0" fontId="8" fillId="0" borderId="18" xfId="0" applyFont="1" applyFill="1" applyBorder="1" applyAlignment="1">
      <alignment horizontal="left" vertical="top" wrapText="1"/>
    </xf>
    <xf numFmtId="0" fontId="8" fillId="34" borderId="10" xfId="0" applyFont="1" applyFill="1" applyBorder="1" applyAlignment="1">
      <alignment horizontal="left" vertical="top" wrapText="1"/>
    </xf>
    <xf numFmtId="39" fontId="8" fillId="34" borderId="10" xfId="42" applyNumberFormat="1" applyFont="1" applyFill="1" applyBorder="1" applyAlignment="1">
      <alignment horizontal="left" vertical="top"/>
    </xf>
    <xf numFmtId="0" fontId="10" fillId="35" borderId="10" xfId="0" applyFont="1" applyFill="1" applyBorder="1" applyAlignment="1">
      <alignment horizontal="left" vertical="top" wrapText="1"/>
    </xf>
    <xf numFmtId="39" fontId="10" fillId="34" borderId="10" xfId="42" applyNumberFormat="1" applyFont="1" applyFill="1" applyBorder="1" applyAlignment="1">
      <alignment horizontal="left" vertical="top"/>
    </xf>
    <xf numFmtId="0" fontId="8" fillId="34" borderId="10" xfId="0" applyFont="1" applyFill="1" applyBorder="1" applyAlignment="1">
      <alignment horizontal="left" vertical="top"/>
    </xf>
    <xf numFmtId="0" fontId="8" fillId="34" borderId="0" xfId="0" applyFont="1" applyFill="1" applyAlignment="1">
      <alignment horizontal="left" vertical="top"/>
    </xf>
    <xf numFmtId="0" fontId="10" fillId="0" borderId="10" xfId="0" applyFont="1" applyFill="1" applyBorder="1" applyAlignment="1">
      <alignment horizontal="left" vertical="top" wrapText="1"/>
    </xf>
    <xf numFmtId="0" fontId="10" fillId="0" borderId="0" xfId="0" applyFont="1" applyBorder="1" applyAlignment="1">
      <alignment horizontal="left" vertical="top" wrapText="1"/>
    </xf>
    <xf numFmtId="0" fontId="8" fillId="25" borderId="0" xfId="0" applyFont="1" applyFill="1" applyBorder="1" applyAlignment="1">
      <alignment horizontal="left" vertical="top" wrapText="1"/>
    </xf>
    <xf numFmtId="0" fontId="8" fillId="25" borderId="18" xfId="0" applyFont="1" applyFill="1" applyBorder="1" applyAlignment="1">
      <alignment horizontal="left" vertical="top" wrapText="1"/>
    </xf>
    <xf numFmtId="0" fontId="8" fillId="25" borderId="10" xfId="0" applyFont="1" applyFill="1" applyBorder="1" applyAlignment="1">
      <alignment horizontal="left" vertical="top" wrapText="1"/>
    </xf>
    <xf numFmtId="0" fontId="10" fillId="25" borderId="10" xfId="0" applyFont="1" applyFill="1" applyBorder="1" applyAlignment="1">
      <alignment horizontal="left" vertical="top" wrapText="1"/>
    </xf>
    <xf numFmtId="39" fontId="10" fillId="25" borderId="10" xfId="42" applyNumberFormat="1" applyFont="1" applyFill="1" applyBorder="1" applyAlignment="1">
      <alignment horizontal="left" vertical="top"/>
    </xf>
    <xf numFmtId="0" fontId="8" fillId="0" borderId="10" xfId="0" applyFont="1" applyFill="1" applyBorder="1" applyAlignment="1">
      <alignment horizontal="left" vertical="top"/>
    </xf>
    <xf numFmtId="39" fontId="8" fillId="36" borderId="10" xfId="42" applyNumberFormat="1" applyFont="1" applyFill="1" applyBorder="1" applyAlignment="1">
      <alignment horizontal="left" vertical="top"/>
    </xf>
    <xf numFmtId="0" fontId="8" fillId="25" borderId="19" xfId="0" applyFont="1" applyFill="1" applyBorder="1" applyAlignment="1">
      <alignment horizontal="left" vertical="top" wrapText="1"/>
    </xf>
    <xf numFmtId="0" fontId="8" fillId="0" borderId="0" xfId="0" applyFont="1" applyFill="1" applyAlignment="1">
      <alignment horizontal="left" vertical="top"/>
    </xf>
    <xf numFmtId="0" fontId="8" fillId="0" borderId="0" xfId="0" applyFont="1" applyFill="1" applyBorder="1" applyAlignment="1">
      <alignment horizontal="left" vertical="top" wrapText="1"/>
    </xf>
    <xf numFmtId="0" fontId="8" fillId="25" borderId="10" xfId="0" applyFont="1" applyFill="1" applyBorder="1" applyAlignment="1">
      <alignment horizontal="left" vertical="top"/>
    </xf>
    <xf numFmtId="39" fontId="10" fillId="37" borderId="10" xfId="42" applyNumberFormat="1" applyFont="1" applyFill="1" applyBorder="1" applyAlignment="1">
      <alignment horizontal="left" vertical="top"/>
    </xf>
    <xf numFmtId="0" fontId="8" fillId="0" borderId="14" xfId="0" applyFont="1" applyBorder="1" applyAlignment="1">
      <alignment horizontal="left" vertical="top" wrapText="1"/>
    </xf>
    <xf numFmtId="0" fontId="8" fillId="0" borderId="18" xfId="0" applyFont="1" applyBorder="1" applyAlignment="1">
      <alignment horizontal="left" vertical="top"/>
    </xf>
    <xf numFmtId="0" fontId="8" fillId="36" borderId="20" xfId="0" applyFont="1" applyFill="1" applyBorder="1" applyAlignment="1">
      <alignment horizontal="left" vertical="top"/>
    </xf>
    <xf numFmtId="0" fontId="8" fillId="17" borderId="0" xfId="0" applyFont="1" applyFill="1" applyBorder="1" applyAlignment="1">
      <alignment horizontal="left" vertical="top" wrapText="1"/>
    </xf>
    <xf numFmtId="0" fontId="8" fillId="17" borderId="15" xfId="0" applyFont="1" applyFill="1" applyBorder="1" applyAlignment="1">
      <alignment horizontal="left" vertical="top" wrapText="1"/>
    </xf>
    <xf numFmtId="0" fontId="8" fillId="38" borderId="18" xfId="0" applyFont="1" applyFill="1" applyBorder="1" applyAlignment="1">
      <alignment horizontal="left" vertical="top" wrapText="1"/>
    </xf>
    <xf numFmtId="0" fontId="8" fillId="38" borderId="20" xfId="0" applyFont="1" applyFill="1" applyBorder="1" applyAlignment="1">
      <alignment horizontal="left" vertical="top" wrapText="1"/>
    </xf>
    <xf numFmtId="0" fontId="8" fillId="0" borderId="21" xfId="0" applyFont="1" applyFill="1" applyBorder="1" applyAlignment="1">
      <alignment horizontal="left" vertical="top"/>
    </xf>
    <xf numFmtId="0" fontId="8" fillId="0" borderId="17" xfId="0" applyFont="1" applyFill="1" applyBorder="1" applyAlignment="1">
      <alignment horizontal="left" vertical="top" wrapText="1"/>
    </xf>
    <xf numFmtId="0" fontId="8" fillId="0" borderId="13" xfId="0" applyFont="1" applyFill="1" applyBorder="1" applyAlignment="1">
      <alignment horizontal="left" vertical="top"/>
    </xf>
    <xf numFmtId="0" fontId="8" fillId="0" borderId="22" xfId="0" applyFont="1" applyFill="1" applyBorder="1" applyAlignment="1">
      <alignment horizontal="left" vertical="top" wrapText="1"/>
    </xf>
    <xf numFmtId="0" fontId="8" fillId="0" borderId="20" xfId="0" applyFont="1" applyFill="1" applyBorder="1" applyAlignment="1">
      <alignment horizontal="left" vertical="top"/>
    </xf>
    <xf numFmtId="0" fontId="8" fillId="39" borderId="13" xfId="0" applyFont="1" applyFill="1" applyBorder="1" applyAlignment="1">
      <alignment horizontal="left" vertical="top"/>
    </xf>
    <xf numFmtId="0" fontId="8" fillId="39" borderId="10" xfId="0" applyFont="1" applyFill="1" applyBorder="1" applyAlignment="1">
      <alignment horizontal="left" vertical="top"/>
    </xf>
    <xf numFmtId="0" fontId="8" fillId="39" borderId="10" xfId="0" applyFont="1" applyFill="1" applyBorder="1" applyAlignment="1">
      <alignment horizontal="left" vertical="top" wrapText="1"/>
    </xf>
    <xf numFmtId="0" fontId="8" fillId="40" borderId="14" xfId="0" applyFont="1" applyFill="1" applyBorder="1" applyAlignment="1">
      <alignment horizontal="left" vertical="top"/>
    </xf>
    <xf numFmtId="0" fontId="8" fillId="40" borderId="11" xfId="0" applyFont="1" applyFill="1" applyBorder="1" applyAlignment="1">
      <alignment horizontal="left" vertical="top"/>
    </xf>
    <xf numFmtId="0" fontId="8" fillId="40" borderId="10" xfId="0" applyFont="1" applyFill="1" applyBorder="1" applyAlignment="1">
      <alignment horizontal="left" vertical="top" wrapText="1"/>
    </xf>
    <xf numFmtId="0" fontId="8" fillId="40" borderId="10" xfId="0" applyFont="1" applyFill="1" applyBorder="1" applyAlignment="1">
      <alignment horizontal="left" vertical="top"/>
    </xf>
    <xf numFmtId="0" fontId="8" fillId="40" borderId="20" xfId="0" applyFont="1" applyFill="1" applyBorder="1" applyAlignment="1">
      <alignment horizontal="left" vertical="top"/>
    </xf>
    <xf numFmtId="39" fontId="8" fillId="40" borderId="10" xfId="0" applyNumberFormat="1" applyFont="1" applyFill="1" applyBorder="1" applyAlignment="1">
      <alignment horizontal="left" vertical="top"/>
    </xf>
    <xf numFmtId="0" fontId="8" fillId="40" borderId="18" xfId="0"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xf>
    <xf numFmtId="0" fontId="8" fillId="0" borderId="0" xfId="0" applyFont="1" applyBorder="1" applyAlignment="1">
      <alignment horizontal="center"/>
    </xf>
    <xf numFmtId="0" fontId="8" fillId="0" borderId="0" xfId="0" applyFont="1" applyBorder="1" applyAlignment="1">
      <alignment/>
    </xf>
    <xf numFmtId="0" fontId="8" fillId="0" borderId="0" xfId="0" applyFont="1" applyBorder="1" applyAlignment="1">
      <alignment horizontal="right"/>
    </xf>
    <xf numFmtId="0" fontId="8" fillId="0" borderId="0" xfId="0" applyFont="1" applyAlignment="1">
      <alignment/>
    </xf>
    <xf numFmtId="0" fontId="8" fillId="0" borderId="0" xfId="0" applyFont="1" applyFill="1" applyAlignment="1">
      <alignment/>
    </xf>
    <xf numFmtId="0" fontId="8" fillId="0" borderId="0" xfId="0" applyFont="1" applyBorder="1" applyAlignment="1">
      <alignment/>
    </xf>
    <xf numFmtId="0" fontId="8" fillId="0" borderId="0" xfId="0" applyFont="1" applyFill="1" applyAlignment="1">
      <alignment vertical="top"/>
    </xf>
    <xf numFmtId="0" fontId="8" fillId="0" borderId="0" xfId="0" applyFont="1" applyAlignment="1">
      <alignment horizontal="center"/>
    </xf>
    <xf numFmtId="0" fontId="8" fillId="0" borderId="0" xfId="0" applyFont="1" applyAlignment="1">
      <alignment/>
    </xf>
    <xf numFmtId="0" fontId="8" fillId="0" borderId="0" xfId="0" applyFont="1" applyAlignment="1">
      <alignment horizontal="right"/>
    </xf>
    <xf numFmtId="0" fontId="8" fillId="0" borderId="23" xfId="0" applyFont="1" applyBorder="1" applyAlignment="1">
      <alignment/>
    </xf>
    <xf numFmtId="0" fontId="8" fillId="0" borderId="0" xfId="0" applyFont="1" applyBorder="1" applyAlignment="1">
      <alignment vertical="top"/>
    </xf>
    <xf numFmtId="0" fontId="8" fillId="0" borderId="15" xfId="0" applyFont="1" applyBorder="1" applyAlignment="1">
      <alignment/>
    </xf>
    <xf numFmtId="173" fontId="8" fillId="0" borderId="0" xfId="0" applyNumberFormat="1" applyFont="1" applyBorder="1" applyAlignment="1">
      <alignment/>
    </xf>
    <xf numFmtId="0" fontId="8" fillId="0" borderId="13" xfId="0" applyFont="1" applyFill="1" applyBorder="1" applyAlignment="1">
      <alignment vertical="top"/>
    </xf>
    <xf numFmtId="0" fontId="8" fillId="0" borderId="13" xfId="0" applyFont="1" applyFill="1" applyBorder="1" applyAlignment="1">
      <alignment/>
    </xf>
    <xf numFmtId="0" fontId="8" fillId="0" borderId="13" xfId="0" applyFont="1" applyBorder="1" applyAlignment="1">
      <alignment horizontal="center"/>
    </xf>
    <xf numFmtId="0" fontId="8" fillId="0" borderId="17" xfId="0" applyFont="1" applyBorder="1" applyAlignment="1">
      <alignment/>
    </xf>
    <xf numFmtId="0" fontId="8" fillId="0" borderId="0" xfId="0" applyFont="1" applyBorder="1" applyAlignment="1">
      <alignment horizontal="left" vertical="top"/>
    </xf>
    <xf numFmtId="0" fontId="70" fillId="0" borderId="0" xfId="0" applyFont="1" applyBorder="1" applyAlignment="1">
      <alignment horizontal="center"/>
    </xf>
    <xf numFmtId="0" fontId="70" fillId="0" borderId="0" xfId="0" applyFont="1" applyBorder="1" applyAlignment="1">
      <alignment/>
    </xf>
    <xf numFmtId="0" fontId="70" fillId="0" borderId="0" xfId="0" applyFont="1" applyBorder="1" applyAlignment="1">
      <alignment horizontal="right"/>
    </xf>
    <xf numFmtId="0" fontId="70" fillId="0" borderId="0" xfId="0" applyFont="1" applyBorder="1" applyAlignment="1">
      <alignment horizontal="center" vertical="top"/>
    </xf>
    <xf numFmtId="0" fontId="71" fillId="41" borderId="24" xfId="0" applyFont="1" applyFill="1" applyBorder="1" applyAlignment="1">
      <alignment horizontal="center" vertical="center" wrapText="1"/>
    </xf>
    <xf numFmtId="0" fontId="71" fillId="41" borderId="24" xfId="0" applyFont="1" applyFill="1" applyBorder="1" applyAlignment="1">
      <alignment horizontal="center" vertical="top" wrapText="1"/>
    </xf>
    <xf numFmtId="0" fontId="71" fillId="41" borderId="24" xfId="0" applyFont="1" applyFill="1" applyBorder="1" applyAlignment="1">
      <alignment vertical="center" wrapText="1"/>
    </xf>
    <xf numFmtId="0" fontId="71" fillId="41" borderId="24" xfId="0" applyFont="1" applyFill="1" applyBorder="1" applyAlignment="1">
      <alignment horizontal="right" vertical="center" wrapText="1"/>
    </xf>
    <xf numFmtId="0" fontId="71" fillId="41" borderId="24" xfId="56" applyNumberFormat="1" applyFont="1" applyFill="1" applyBorder="1" applyAlignment="1">
      <alignment horizontal="center" vertical="center" wrapText="1"/>
      <protection/>
    </xf>
    <xf numFmtId="0" fontId="8" fillId="25" borderId="18" xfId="0" applyFont="1" applyFill="1" applyBorder="1" applyAlignment="1">
      <alignment horizontal="left" vertical="center" wrapText="1"/>
    </xf>
    <xf numFmtId="0" fontId="8" fillId="25" borderId="18" xfId="0" applyFont="1" applyFill="1" applyBorder="1" applyAlignment="1">
      <alignment horizontal="center" vertical="center" wrapText="1"/>
    </xf>
    <xf numFmtId="0" fontId="8" fillId="25" borderId="18" xfId="0" applyFont="1" applyFill="1" applyBorder="1" applyAlignment="1">
      <alignment vertical="center" wrapText="1"/>
    </xf>
    <xf numFmtId="0" fontId="8" fillId="25" borderId="18" xfId="0" applyFont="1" applyFill="1" applyBorder="1" applyAlignment="1">
      <alignment horizontal="right" vertical="center" wrapText="1"/>
    </xf>
    <xf numFmtId="0" fontId="8" fillId="25" borderId="20" xfId="0" applyFont="1" applyFill="1" applyBorder="1" applyAlignment="1">
      <alignment horizontal="left" vertical="center" wrapText="1"/>
    </xf>
    <xf numFmtId="0" fontId="8" fillId="0" borderId="13" xfId="0" applyFont="1" applyBorder="1" applyAlignment="1">
      <alignment/>
    </xf>
    <xf numFmtId="39" fontId="8" fillId="34" borderId="10" xfId="42" applyNumberFormat="1" applyFont="1" applyFill="1" applyBorder="1" applyAlignment="1">
      <alignment horizontal="left" vertical="top" wrapText="1"/>
    </xf>
    <xf numFmtId="0" fontId="8" fillId="39" borderId="12" xfId="0" applyFont="1" applyFill="1" applyBorder="1" applyAlignment="1">
      <alignment horizontal="left" vertical="top"/>
    </xf>
    <xf numFmtId="0" fontId="8" fillId="39" borderId="13" xfId="0" applyFont="1" applyFill="1" applyBorder="1" applyAlignment="1">
      <alignment horizontal="left" vertical="top"/>
    </xf>
    <xf numFmtId="0" fontId="8" fillId="39" borderId="21" xfId="0" applyFont="1" applyFill="1" applyBorder="1" applyAlignment="1">
      <alignment horizontal="left" vertical="top"/>
    </xf>
    <xf numFmtId="0" fontId="8" fillId="39" borderId="0" xfId="0" applyFont="1" applyFill="1" applyBorder="1" applyAlignment="1">
      <alignment horizontal="left" vertical="top"/>
    </xf>
    <xf numFmtId="0" fontId="8" fillId="9" borderId="10" xfId="0" applyFont="1" applyFill="1" applyBorder="1" applyAlignment="1">
      <alignment horizontal="left" vertical="top" wrapText="1"/>
    </xf>
    <xf numFmtId="0" fontId="8" fillId="39" borderId="23" xfId="0" applyFont="1" applyFill="1" applyBorder="1" applyAlignment="1">
      <alignment horizontal="left" vertical="top"/>
    </xf>
    <xf numFmtId="0" fontId="8" fillId="39" borderId="21" xfId="0" applyFont="1" applyFill="1" applyBorder="1" applyAlignment="1">
      <alignment horizontal="left" vertical="top" wrapText="1"/>
    </xf>
    <xf numFmtId="0" fontId="8" fillId="9" borderId="19" xfId="0" applyFont="1" applyFill="1" applyBorder="1" applyAlignment="1">
      <alignment horizontal="left" vertical="top"/>
    </xf>
    <xf numFmtId="0" fontId="8" fillId="9" borderId="18" xfId="0" applyFont="1" applyFill="1" applyBorder="1" applyAlignment="1">
      <alignment horizontal="left" vertical="top"/>
    </xf>
    <xf numFmtId="0" fontId="8" fillId="39" borderId="18" xfId="0" applyFont="1" applyFill="1" applyBorder="1" applyAlignment="1">
      <alignment horizontal="left" vertical="top"/>
    </xf>
    <xf numFmtId="0" fontId="2" fillId="9" borderId="13" xfId="0" applyFont="1" applyFill="1" applyBorder="1" applyAlignment="1">
      <alignment/>
    </xf>
    <xf numFmtId="0" fontId="8" fillId="35" borderId="10" xfId="0" applyFont="1" applyFill="1" applyBorder="1" applyAlignment="1">
      <alignment horizontal="left" vertical="top"/>
    </xf>
    <xf numFmtId="39" fontId="8" fillId="0" borderId="10" xfId="42" applyNumberFormat="1" applyFont="1" applyFill="1" applyBorder="1" applyAlignment="1">
      <alignment horizontal="left" vertical="top" wrapText="1"/>
    </xf>
    <xf numFmtId="39" fontId="8" fillId="25" borderId="10" xfId="42" applyNumberFormat="1" applyFont="1" applyFill="1" applyBorder="1" applyAlignment="1">
      <alignment horizontal="left" vertical="top"/>
    </xf>
    <xf numFmtId="0" fontId="12" fillId="0" borderId="0" xfId="0" applyFont="1" applyAlignment="1">
      <alignment/>
    </xf>
    <xf numFmtId="0" fontId="13" fillId="0" borderId="0" xfId="0" applyFont="1" applyAlignment="1">
      <alignment/>
    </xf>
    <xf numFmtId="0" fontId="70" fillId="0" borderId="10" xfId="0" applyFont="1" applyBorder="1" applyAlignment="1">
      <alignment horizontal="left" vertical="top" wrapText="1"/>
    </xf>
    <xf numFmtId="39" fontId="72" fillId="0" borderId="10" xfId="42" applyNumberFormat="1" applyFont="1" applyFill="1" applyBorder="1" applyAlignment="1">
      <alignment horizontal="left" vertical="top"/>
    </xf>
    <xf numFmtId="39" fontId="73" fillId="0" borderId="10" xfId="42" applyNumberFormat="1" applyFont="1" applyFill="1" applyBorder="1" applyAlignment="1">
      <alignment horizontal="left" vertical="top" wrapText="1"/>
    </xf>
    <xf numFmtId="0" fontId="13" fillId="35" borderId="0" xfId="0" applyFont="1" applyFill="1" applyAlignment="1">
      <alignment/>
    </xf>
    <xf numFmtId="39" fontId="8" fillId="39" borderId="10" xfId="0" applyNumberFormat="1" applyFont="1" applyFill="1" applyBorder="1" applyAlignment="1">
      <alignment horizontal="left" vertical="top" wrapText="1"/>
    </xf>
    <xf numFmtId="0" fontId="8" fillId="9" borderId="19" xfId="0" applyFont="1" applyFill="1" applyBorder="1" applyAlignment="1">
      <alignment vertical="top"/>
    </xf>
    <xf numFmtId="0" fontId="8" fillId="9" borderId="20" xfId="0" applyFont="1" applyFill="1" applyBorder="1" applyAlignment="1">
      <alignment vertical="top"/>
    </xf>
    <xf numFmtId="0" fontId="8" fillId="9" borderId="10" xfId="0" applyFont="1" applyFill="1" applyBorder="1" applyAlignment="1">
      <alignment horizontal="left" vertical="top"/>
    </xf>
    <xf numFmtId="39" fontId="8" fillId="9" borderId="10" xfId="0" applyNumberFormat="1" applyFont="1" applyFill="1" applyBorder="1" applyAlignment="1">
      <alignment horizontal="left" vertical="top" wrapText="1"/>
    </xf>
    <xf numFmtId="0" fontId="8" fillId="0" borderId="13" xfId="0" applyFont="1" applyFill="1" applyBorder="1" applyAlignment="1">
      <alignment horizontal="left" vertical="top" wrapText="1"/>
    </xf>
    <xf numFmtId="0" fontId="8" fillId="25" borderId="18" xfId="0" applyFont="1" applyFill="1" applyBorder="1" applyAlignment="1">
      <alignment horizontal="left" vertical="top" wrapText="1"/>
    </xf>
    <xf numFmtId="39" fontId="8" fillId="0" borderId="12" xfId="42" applyNumberFormat="1" applyFont="1" applyFill="1" applyBorder="1" applyAlignment="1">
      <alignment horizontal="left" vertical="top"/>
    </xf>
    <xf numFmtId="39" fontId="8" fillId="0" borderId="13" xfId="42" applyNumberFormat="1" applyFont="1" applyFill="1" applyBorder="1" applyAlignment="1">
      <alignment horizontal="left" vertical="top"/>
    </xf>
    <xf numFmtId="39" fontId="8" fillId="0" borderId="17" xfId="42" applyNumberFormat="1" applyFont="1" applyFill="1" applyBorder="1" applyAlignment="1">
      <alignment horizontal="left" vertical="top"/>
    </xf>
    <xf numFmtId="0" fontId="3" fillId="0" borderId="0" xfId="0" applyFont="1" applyAlignment="1">
      <alignment wrapText="1"/>
    </xf>
    <xf numFmtId="0" fontId="13" fillId="34" borderId="0" xfId="0" applyFont="1" applyFill="1" applyAlignment="1">
      <alignment/>
    </xf>
    <xf numFmtId="0" fontId="8" fillId="41" borderId="24" xfId="56" applyNumberFormat="1" applyFont="1" applyFill="1" applyBorder="1" applyAlignment="1">
      <alignment horizontal="center" vertical="center" wrapText="1"/>
      <protection/>
    </xf>
    <xf numFmtId="9" fontId="2" fillId="0" borderId="10" xfId="59" applyFont="1" applyBorder="1" applyAlignment="1">
      <alignment/>
    </xf>
    <xf numFmtId="172" fontId="2" fillId="0" borderId="10" xfId="42" applyFont="1" applyBorder="1" applyAlignment="1">
      <alignment/>
    </xf>
    <xf numFmtId="9" fontId="66" fillId="0" borderId="10" xfId="59" applyFont="1" applyBorder="1" applyAlignment="1">
      <alignment/>
    </xf>
    <xf numFmtId="172" fontId="3" fillId="0" borderId="0" xfId="42" applyFont="1" applyAlignment="1">
      <alignment horizontal="center"/>
    </xf>
    <xf numFmtId="172" fontId="4" fillId="0" borderId="0" xfId="42" applyFont="1" applyBorder="1" applyAlignment="1">
      <alignment horizontal="center"/>
    </xf>
    <xf numFmtId="0" fontId="65" fillId="35" borderId="10" xfId="0" applyFont="1" applyFill="1" applyBorder="1" applyAlignment="1">
      <alignment wrapText="1"/>
    </xf>
    <xf numFmtId="172" fontId="2" fillId="24" borderId="10" xfId="42" applyFont="1" applyFill="1" applyBorder="1" applyAlignment="1">
      <alignment/>
    </xf>
    <xf numFmtId="9" fontId="2" fillId="24" borderId="10" xfId="59" applyFont="1" applyFill="1" applyBorder="1" applyAlignment="1">
      <alignment/>
    </xf>
    <xf numFmtId="0" fontId="2" fillId="38" borderId="10" xfId="0" applyFont="1" applyFill="1" applyBorder="1" applyAlignment="1">
      <alignment/>
    </xf>
    <xf numFmtId="172" fontId="2" fillId="38" borderId="10" xfId="42" applyFont="1" applyFill="1" applyBorder="1" applyAlignment="1">
      <alignment/>
    </xf>
    <xf numFmtId="9" fontId="2" fillId="38" borderId="10" xfId="59" applyFont="1" applyFill="1" applyBorder="1" applyAlignment="1">
      <alignment/>
    </xf>
    <xf numFmtId="0" fontId="65" fillId="24" borderId="10" xfId="0" applyFont="1" applyFill="1" applyBorder="1" applyAlignment="1">
      <alignment wrapText="1"/>
    </xf>
    <xf numFmtId="172" fontId="3" fillId="35" borderId="10" xfId="42" applyFont="1" applyFill="1" applyBorder="1" applyAlignment="1">
      <alignment horizontal="right"/>
    </xf>
    <xf numFmtId="172" fontId="2" fillId="24" borderId="10" xfId="42" applyFont="1" applyFill="1" applyBorder="1" applyAlignment="1">
      <alignment horizontal="right"/>
    </xf>
    <xf numFmtId="9" fontId="3" fillId="35" borderId="10" xfId="0" applyNumberFormat="1" applyFont="1" applyFill="1" applyBorder="1" applyAlignment="1">
      <alignment/>
    </xf>
    <xf numFmtId="0" fontId="65" fillId="40" borderId="10" xfId="0" applyFont="1" applyFill="1" applyBorder="1" applyAlignment="1">
      <alignment horizontal="center" wrapText="1"/>
    </xf>
    <xf numFmtId="172" fontId="2" fillId="40" borderId="10" xfId="42" applyFont="1" applyFill="1" applyBorder="1" applyAlignment="1">
      <alignment horizontal="right"/>
    </xf>
    <xf numFmtId="172" fontId="2" fillId="34" borderId="10" xfId="42" applyFont="1" applyFill="1" applyBorder="1" applyAlignment="1">
      <alignment horizontal="right"/>
    </xf>
    <xf numFmtId="0" fontId="66" fillId="0" borderId="10" xfId="0" applyFont="1" applyBorder="1" applyAlignment="1">
      <alignment vertical="top" wrapText="1"/>
    </xf>
    <xf numFmtId="172" fontId="3" fillId="34" borderId="10" xfId="42" applyFont="1" applyFill="1" applyBorder="1" applyAlignment="1">
      <alignment horizontal="right"/>
    </xf>
    <xf numFmtId="0" fontId="15" fillId="25" borderId="19" xfId="0" applyFont="1" applyFill="1" applyBorder="1" applyAlignment="1">
      <alignment horizontal="left" vertical="center"/>
    </xf>
    <xf numFmtId="0" fontId="62" fillId="42" borderId="10" xfId="0" applyFont="1" applyFill="1" applyBorder="1" applyAlignment="1">
      <alignment wrapText="1"/>
    </xf>
    <xf numFmtId="0" fontId="0" fillId="0" borderId="10" xfId="0" applyFont="1" applyBorder="1" applyAlignment="1">
      <alignment wrapText="1"/>
    </xf>
    <xf numFmtId="0" fontId="62" fillId="0" borderId="10" xfId="0" applyFont="1" applyBorder="1" applyAlignment="1">
      <alignment wrapText="1"/>
    </xf>
    <xf numFmtId="172" fontId="0" fillId="0" borderId="10" xfId="42" applyFont="1" applyBorder="1" applyAlignment="1">
      <alignment wrapText="1"/>
    </xf>
    <xf numFmtId="9" fontId="0" fillId="0" borderId="10" xfId="59" applyFont="1" applyBorder="1" applyAlignment="1">
      <alignment wrapText="1"/>
    </xf>
    <xf numFmtId="9" fontId="10" fillId="36" borderId="10" xfId="59" applyFont="1" applyFill="1" applyBorder="1" applyAlignment="1">
      <alignment horizontal="left" vertical="top"/>
    </xf>
    <xf numFmtId="0" fontId="8" fillId="40" borderId="20" xfId="0" applyFont="1" applyFill="1" applyBorder="1" applyAlignment="1">
      <alignment horizontal="left" vertical="top" wrapText="1"/>
    </xf>
    <xf numFmtId="0" fontId="15" fillId="35" borderId="10" xfId="0" applyFont="1" applyFill="1" applyBorder="1" applyAlignment="1">
      <alignment/>
    </xf>
    <xf numFmtId="0" fontId="15" fillId="35" borderId="10" xfId="0" applyFont="1" applyFill="1" applyBorder="1" applyAlignment="1">
      <alignment vertical="top"/>
    </xf>
    <xf numFmtId="0" fontId="15" fillId="35" borderId="10" xfId="0" applyFont="1" applyFill="1" applyBorder="1" applyAlignment="1">
      <alignment horizontal="center"/>
    </xf>
    <xf numFmtId="0" fontId="15" fillId="35" borderId="10" xfId="0" applyFont="1" applyFill="1" applyBorder="1" applyAlignment="1">
      <alignment/>
    </xf>
    <xf numFmtId="0" fontId="15" fillId="35" borderId="10" xfId="0" applyFont="1" applyFill="1" applyBorder="1" applyAlignment="1">
      <alignment horizontal="right"/>
    </xf>
    <xf numFmtId="39" fontId="15" fillId="35" borderId="10" xfId="0" applyNumberFormat="1" applyFont="1" applyFill="1" applyBorder="1" applyAlignment="1">
      <alignment horizontal="left" vertical="top"/>
    </xf>
    <xf numFmtId="9" fontId="15" fillId="35" borderId="10" xfId="59" applyNumberFormat="1" applyFont="1" applyFill="1" applyBorder="1" applyAlignment="1">
      <alignment/>
    </xf>
    <xf numFmtId="172" fontId="62" fillId="0" borderId="10" xfId="0" applyNumberFormat="1" applyFont="1" applyBorder="1" applyAlignment="1">
      <alignment wrapText="1"/>
    </xf>
    <xf numFmtId="9" fontId="62" fillId="0" borderId="10" xfId="0" applyNumberFormat="1" applyFont="1" applyBorder="1" applyAlignment="1">
      <alignment wrapText="1"/>
    </xf>
    <xf numFmtId="43" fontId="2" fillId="0" borderId="0" xfId="0" applyNumberFormat="1" applyFont="1" applyAlignment="1">
      <alignment/>
    </xf>
    <xf numFmtId="0" fontId="8" fillId="25" borderId="18" xfId="0" applyFont="1" applyFill="1" applyBorder="1" applyAlignment="1">
      <alignment horizontal="left" vertical="center" wrapText="1"/>
    </xf>
    <xf numFmtId="0" fontId="8" fillId="25" borderId="18" xfId="0" applyFont="1" applyFill="1" applyBorder="1" applyAlignment="1">
      <alignment horizontal="left" vertical="top" wrapText="1"/>
    </xf>
    <xf numFmtId="0" fontId="8" fillId="38" borderId="18" xfId="0" applyFont="1" applyFill="1" applyBorder="1" applyAlignment="1">
      <alignment horizontal="left" vertical="top" wrapText="1"/>
    </xf>
    <xf numFmtId="0" fontId="8" fillId="35" borderId="24" xfId="56" applyNumberFormat="1" applyFont="1" applyFill="1" applyBorder="1" applyAlignment="1">
      <alignment horizontal="center" vertical="center" wrapText="1"/>
      <protection/>
    </xf>
    <xf numFmtId="0" fontId="2" fillId="0" borderId="10" xfId="0" applyFont="1" applyBorder="1" applyAlignment="1">
      <alignment/>
    </xf>
    <xf numFmtId="9" fontId="3" fillId="0" borderId="10" xfId="59" applyFont="1" applyFill="1" applyBorder="1" applyAlignment="1">
      <alignment/>
    </xf>
    <xf numFmtId="0" fontId="3" fillId="0" borderId="10" xfId="0" applyFont="1" applyFill="1" applyBorder="1" applyAlignment="1">
      <alignment/>
    </xf>
    <xf numFmtId="0" fontId="44" fillId="35" borderId="10" xfId="0" applyFont="1" applyFill="1" applyBorder="1" applyAlignment="1">
      <alignment/>
    </xf>
    <xf numFmtId="39" fontId="8" fillId="0" borderId="10" xfId="42" applyNumberFormat="1" applyFont="1" applyFill="1" applyBorder="1" applyAlignment="1">
      <alignment horizontal="right" vertical="top"/>
    </xf>
    <xf numFmtId="0" fontId="3" fillId="36" borderId="10" xfId="0" applyFont="1" applyFill="1" applyBorder="1" applyAlignment="1">
      <alignment horizontal="right" vertical="top"/>
    </xf>
    <xf numFmtId="39" fontId="68" fillId="0" borderId="10" xfId="42" applyNumberFormat="1" applyFont="1" applyFill="1" applyBorder="1" applyAlignment="1">
      <alignment horizontal="right" vertical="top"/>
    </xf>
    <xf numFmtId="3" fontId="3" fillId="36" borderId="10" xfId="0" applyNumberFormat="1" applyFont="1" applyFill="1" applyBorder="1" applyAlignment="1">
      <alignment horizontal="left" vertical="top"/>
    </xf>
    <xf numFmtId="0" fontId="2" fillId="40" borderId="10" xfId="0" applyFont="1" applyFill="1" applyBorder="1" applyAlignment="1">
      <alignment/>
    </xf>
    <xf numFmtId="9" fontId="3" fillId="40" borderId="10" xfId="59" applyFont="1" applyFill="1" applyBorder="1" applyAlignment="1">
      <alignment/>
    </xf>
    <xf numFmtId="0" fontId="70" fillId="0" borderId="0" xfId="0" applyFont="1" applyAlignment="1">
      <alignment horizontal="left" vertical="top" wrapText="1"/>
    </xf>
    <xf numFmtId="0" fontId="70" fillId="0" borderId="18" xfId="0" applyFont="1" applyFill="1" applyBorder="1" applyAlignment="1">
      <alignment horizontal="left" vertical="top" wrapText="1"/>
    </xf>
    <xf numFmtId="0" fontId="70" fillId="34" borderId="10" xfId="0" applyFont="1" applyFill="1" applyBorder="1" applyAlignment="1">
      <alignment horizontal="left" vertical="top" wrapText="1"/>
    </xf>
    <xf numFmtId="39" fontId="70" fillId="34" borderId="10" xfId="42" applyNumberFormat="1" applyFont="1" applyFill="1" applyBorder="1" applyAlignment="1">
      <alignment horizontal="left" vertical="top"/>
    </xf>
    <xf numFmtId="39" fontId="74" fillId="34" borderId="10" xfId="42" applyNumberFormat="1" applyFont="1" applyFill="1" applyBorder="1" applyAlignment="1">
      <alignment horizontal="left" vertical="top"/>
    </xf>
    <xf numFmtId="39" fontId="70" fillId="34" borderId="10" xfId="42" applyNumberFormat="1" applyFont="1" applyFill="1" applyBorder="1" applyAlignment="1">
      <alignment horizontal="left" vertical="top" wrapText="1"/>
    </xf>
    <xf numFmtId="0" fontId="75" fillId="0" borderId="0" xfId="0" applyFont="1" applyAlignment="1">
      <alignment/>
    </xf>
    <xf numFmtId="0" fontId="70" fillId="0" borderId="0" xfId="0" applyFont="1" applyBorder="1" applyAlignment="1">
      <alignment horizontal="left" vertical="top" wrapText="1"/>
    </xf>
    <xf numFmtId="0" fontId="70" fillId="35" borderId="10" xfId="0" applyFont="1" applyFill="1" applyBorder="1" applyAlignment="1">
      <alignment horizontal="left" vertical="top" wrapText="1"/>
    </xf>
    <xf numFmtId="0" fontId="74" fillId="35" borderId="10" xfId="0" applyFont="1" applyFill="1" applyBorder="1" applyAlignment="1">
      <alignment horizontal="left" vertical="top" wrapText="1"/>
    </xf>
    <xf numFmtId="39" fontId="70" fillId="35" borderId="10" xfId="42" applyNumberFormat="1" applyFont="1" applyFill="1" applyBorder="1" applyAlignment="1">
      <alignment horizontal="left" vertical="top"/>
    </xf>
    <xf numFmtId="39" fontId="74" fillId="35" borderId="10" xfId="42" applyNumberFormat="1" applyFont="1" applyFill="1" applyBorder="1" applyAlignment="1">
      <alignment horizontal="left" vertical="top"/>
    </xf>
    <xf numFmtId="0" fontId="0" fillId="0" borderId="0" xfId="0" applyFont="1" applyAlignment="1">
      <alignment/>
    </xf>
    <xf numFmtId="0" fontId="0" fillId="35" borderId="0" xfId="0" applyFont="1" applyFill="1" applyAlignment="1">
      <alignment/>
    </xf>
    <xf numFmtId="0" fontId="0" fillId="35" borderId="0" xfId="0" applyFill="1" applyAlignment="1">
      <alignment/>
    </xf>
    <xf numFmtId="0" fontId="8" fillId="0" borderId="0" xfId="0" applyFont="1" applyFill="1" applyBorder="1" applyAlignment="1">
      <alignment vertical="top" wrapText="1"/>
    </xf>
    <xf numFmtId="0" fontId="0" fillId="0" borderId="0" xfId="0" applyFont="1" applyAlignment="1">
      <alignment/>
    </xf>
    <xf numFmtId="0" fontId="2" fillId="0" borderId="0" xfId="0" applyFont="1" applyFill="1" applyBorder="1" applyAlignment="1">
      <alignment/>
    </xf>
    <xf numFmtId="0" fontId="37" fillId="0" borderId="0" xfId="0" applyFont="1" applyBorder="1" applyAlignment="1">
      <alignment horizontal="center"/>
    </xf>
    <xf numFmtId="0" fontId="37" fillId="0" borderId="0" xfId="0" applyFont="1" applyBorder="1" applyAlignment="1">
      <alignment/>
    </xf>
    <xf numFmtId="0" fontId="37" fillId="0" borderId="0" xfId="0" applyFont="1" applyBorder="1" applyAlignment="1">
      <alignment horizontal="right"/>
    </xf>
    <xf numFmtId="0" fontId="8" fillId="0" borderId="0" xfId="0" applyFont="1" applyBorder="1" applyAlignment="1">
      <alignment/>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Border="1" applyAlignment="1">
      <alignment horizontal="left" vertical="top"/>
    </xf>
    <xf numFmtId="0" fontId="8" fillId="0" borderId="0" xfId="0" applyFont="1" applyAlignment="1">
      <alignment horizontal="left" vertical="top"/>
    </xf>
    <xf numFmtId="0" fontId="70" fillId="0" borderId="0" xfId="0" applyFont="1" applyBorder="1" applyAlignment="1">
      <alignment horizontal="center" vertical="top"/>
    </xf>
    <xf numFmtId="0" fontId="71" fillId="41" borderId="24" xfId="0" applyFont="1" applyFill="1" applyBorder="1" applyAlignment="1">
      <alignment horizontal="center" vertical="center" wrapText="1"/>
    </xf>
    <xf numFmtId="0" fontId="71" fillId="41" borderId="24" xfId="0" applyFont="1" applyFill="1" applyBorder="1" applyAlignment="1">
      <alignment vertical="center" wrapText="1"/>
    </xf>
    <xf numFmtId="0" fontId="71" fillId="41" borderId="24" xfId="0" applyFont="1" applyFill="1" applyBorder="1" applyAlignment="1">
      <alignment horizontal="right" vertical="center" wrapText="1"/>
    </xf>
    <xf numFmtId="0" fontId="71" fillId="41" borderId="24" xfId="56" applyNumberFormat="1" applyFont="1" applyFill="1" applyBorder="1" applyAlignment="1">
      <alignment horizontal="center" vertical="center" wrapText="1"/>
      <protection/>
    </xf>
    <xf numFmtId="0" fontId="8" fillId="25" borderId="18" xfId="0" applyFont="1" applyFill="1" applyBorder="1" applyAlignment="1">
      <alignment horizontal="left" vertical="center" wrapText="1"/>
    </xf>
    <xf numFmtId="0" fontId="8" fillId="25" borderId="18" xfId="0" applyFont="1" applyFill="1" applyBorder="1" applyAlignment="1">
      <alignment horizontal="center" vertical="center" wrapText="1"/>
    </xf>
    <xf numFmtId="0" fontId="8" fillId="25" borderId="18" xfId="0" applyFont="1" applyFill="1" applyBorder="1" applyAlignment="1">
      <alignment vertical="center" wrapText="1"/>
    </xf>
    <xf numFmtId="0" fontId="8" fillId="25" borderId="18" xfId="0" applyFont="1" applyFill="1" applyBorder="1" applyAlignment="1">
      <alignment horizontal="right" vertical="center" wrapText="1"/>
    </xf>
    <xf numFmtId="0" fontId="8" fillId="25" borderId="20" xfId="0" applyFont="1" applyFill="1" applyBorder="1" applyAlignment="1">
      <alignment horizontal="left" vertical="center" wrapText="1"/>
    </xf>
    <xf numFmtId="0" fontId="68" fillId="0" borderId="10" xfId="0" applyFont="1" applyBorder="1" applyAlignment="1">
      <alignment horizontal="left" vertical="top" wrapText="1"/>
    </xf>
    <xf numFmtId="0" fontId="0" fillId="0" borderId="0" xfId="0" applyFont="1" applyFill="1" applyAlignment="1">
      <alignment/>
    </xf>
    <xf numFmtId="0" fontId="2" fillId="0" borderId="0" xfId="0" applyFont="1" applyFill="1" applyAlignment="1">
      <alignment/>
    </xf>
    <xf numFmtId="39" fontId="16" fillId="35" borderId="10" xfId="42" applyNumberFormat="1" applyFont="1" applyFill="1" applyBorder="1" applyAlignment="1">
      <alignment horizontal="left" vertical="top"/>
    </xf>
    <xf numFmtId="39" fontId="17" fillId="35" borderId="10" xfId="42" applyNumberFormat="1" applyFont="1" applyFill="1" applyBorder="1" applyAlignment="1">
      <alignment horizontal="left" vertical="top"/>
    </xf>
    <xf numFmtId="0" fontId="0" fillId="35" borderId="0" xfId="0" applyFont="1" applyFill="1" applyAlignment="1">
      <alignment/>
    </xf>
    <xf numFmtId="39" fontId="16" fillId="9" borderId="10" xfId="42" applyNumberFormat="1" applyFont="1" applyFill="1" applyBorder="1" applyAlignment="1">
      <alignment horizontal="left" vertical="top"/>
    </xf>
    <xf numFmtId="0" fontId="6" fillId="9" borderId="0" xfId="0" applyFont="1" applyFill="1" applyAlignment="1">
      <alignment/>
    </xf>
    <xf numFmtId="39" fontId="17" fillId="24" borderId="10" xfId="42" applyNumberFormat="1" applyFont="1" applyFill="1" applyBorder="1" applyAlignment="1">
      <alignment horizontal="left" vertical="top"/>
    </xf>
    <xf numFmtId="0" fontId="3" fillId="36" borderId="10" xfId="0" applyFont="1" applyFill="1" applyBorder="1" applyAlignment="1">
      <alignment horizontal="right" vertical="top"/>
    </xf>
    <xf numFmtId="0" fontId="2" fillId="9" borderId="13" xfId="0" applyFont="1" applyFill="1" applyBorder="1" applyAlignment="1">
      <alignment/>
    </xf>
    <xf numFmtId="0" fontId="15" fillId="35" borderId="10" xfId="0" applyFont="1" applyFill="1" applyBorder="1" applyAlignment="1">
      <alignment/>
    </xf>
    <xf numFmtId="0" fontId="15" fillId="35" borderId="10" xfId="0" applyFont="1" applyFill="1" applyBorder="1" applyAlignment="1">
      <alignment vertical="top"/>
    </xf>
    <xf numFmtId="0" fontId="15" fillId="35" borderId="10" xfId="0" applyFont="1" applyFill="1" applyBorder="1" applyAlignment="1">
      <alignment horizontal="center"/>
    </xf>
    <xf numFmtId="0" fontId="15" fillId="35" borderId="10" xfId="0" applyFont="1" applyFill="1" applyBorder="1" applyAlignment="1">
      <alignment/>
    </xf>
    <xf numFmtId="0" fontId="15" fillId="35" borderId="10" xfId="0" applyFont="1" applyFill="1" applyBorder="1" applyAlignment="1">
      <alignment horizontal="right"/>
    </xf>
    <xf numFmtId="39" fontId="15" fillId="35" borderId="10" xfId="0" applyNumberFormat="1" applyFont="1" applyFill="1" applyBorder="1" applyAlignment="1">
      <alignment horizontal="left" vertical="top"/>
    </xf>
    <xf numFmtId="0" fontId="44" fillId="35" borderId="10" xfId="0" applyFont="1" applyFill="1" applyBorder="1" applyAlignment="1">
      <alignment/>
    </xf>
    <xf numFmtId="9" fontId="15" fillId="35" borderId="10" xfId="59" applyNumberFormat="1" applyFont="1" applyFill="1" applyBorder="1" applyAlignment="1">
      <alignment/>
    </xf>
    <xf numFmtId="0" fontId="8" fillId="0" borderId="23" xfId="0" applyFont="1" applyBorder="1" applyAlignment="1">
      <alignment/>
    </xf>
    <xf numFmtId="0" fontId="8" fillId="0" borderId="0" xfId="0" applyFont="1" applyBorder="1" applyAlignment="1">
      <alignment vertical="top"/>
    </xf>
    <xf numFmtId="0" fontId="8" fillId="0" borderId="0" xfId="0" applyFont="1" applyBorder="1" applyAlignment="1">
      <alignment horizontal="center"/>
    </xf>
    <xf numFmtId="0" fontId="8" fillId="0" borderId="15" xfId="0" applyFont="1" applyBorder="1" applyAlignment="1">
      <alignment/>
    </xf>
    <xf numFmtId="0" fontId="8" fillId="0" borderId="0" xfId="0" applyFont="1" applyAlignment="1">
      <alignment horizontal="right"/>
    </xf>
    <xf numFmtId="0" fontId="8" fillId="0" borderId="0" xfId="0" applyFont="1" applyAlignment="1">
      <alignment/>
    </xf>
    <xf numFmtId="0" fontId="0" fillId="0" borderId="0" xfId="0" applyFont="1" applyAlignment="1">
      <alignment vertical="top" wrapText="1"/>
    </xf>
    <xf numFmtId="0" fontId="0" fillId="0" borderId="0" xfId="0" applyAlignment="1">
      <alignment wrapText="1"/>
    </xf>
    <xf numFmtId="0" fontId="8" fillId="25" borderId="18" xfId="0" applyFont="1" applyFill="1" applyBorder="1" applyAlignment="1">
      <alignment horizontal="left" vertical="top" wrapText="1"/>
    </xf>
    <xf numFmtId="0" fontId="8" fillId="38" borderId="18" xfId="0" applyFont="1" applyFill="1" applyBorder="1" applyAlignment="1">
      <alignment horizontal="left" vertical="top" wrapText="1"/>
    </xf>
    <xf numFmtId="0" fontId="8" fillId="25" borderId="18" xfId="0" applyFont="1" applyFill="1" applyBorder="1" applyAlignment="1">
      <alignment horizontal="left" vertical="center" wrapText="1"/>
    </xf>
    <xf numFmtId="0" fontId="0" fillId="0" borderId="0" xfId="0" applyAlignment="1">
      <alignment vertical="top" wrapText="1"/>
    </xf>
    <xf numFmtId="39" fontId="8" fillId="39" borderId="21" xfId="0" applyNumberFormat="1" applyFont="1" applyFill="1" applyBorder="1" applyAlignment="1">
      <alignment horizontal="left" vertical="top" wrapText="1"/>
    </xf>
    <xf numFmtId="0" fontId="70" fillId="41" borderId="24" xfId="56" applyNumberFormat="1" applyFont="1" applyFill="1" applyBorder="1" applyAlignment="1">
      <alignment horizontal="center" vertical="center" wrapText="1"/>
      <protection/>
    </xf>
    <xf numFmtId="0" fontId="8" fillId="25" borderId="18" xfId="0" applyFont="1" applyFill="1" applyBorder="1" applyAlignment="1">
      <alignment horizontal="left" vertical="center" wrapText="1"/>
    </xf>
    <xf numFmtId="39" fontId="70" fillId="0" borderId="10" xfId="42" applyNumberFormat="1" applyFont="1" applyFill="1" applyBorder="1" applyAlignment="1">
      <alignment horizontal="left" vertical="top"/>
    </xf>
    <xf numFmtId="39" fontId="10" fillId="35" borderId="10" xfId="42" applyNumberFormat="1" applyFont="1" applyFill="1" applyBorder="1" applyAlignment="1">
      <alignment horizontal="left" vertical="top" wrapText="1"/>
    </xf>
    <xf numFmtId="39" fontId="10" fillId="34" borderId="10" xfId="42" applyNumberFormat="1" applyFont="1" applyFill="1" applyBorder="1" applyAlignment="1">
      <alignment horizontal="left" vertical="top" wrapText="1"/>
    </xf>
    <xf numFmtId="0" fontId="15" fillId="34" borderId="0" xfId="0" applyFont="1" applyFill="1" applyBorder="1" applyAlignment="1">
      <alignment horizontal="left" vertical="center" wrapText="1"/>
    </xf>
    <xf numFmtId="0" fontId="8" fillId="43" borderId="10" xfId="0" applyFont="1" applyFill="1" applyBorder="1" applyAlignment="1">
      <alignment horizontal="left" vertical="top" wrapText="1"/>
    </xf>
    <xf numFmtId="39" fontId="8" fillId="43" borderId="10" xfId="42" applyNumberFormat="1" applyFont="1" applyFill="1" applyBorder="1" applyAlignment="1">
      <alignment horizontal="left" vertical="top"/>
    </xf>
    <xf numFmtId="0" fontId="8" fillId="43" borderId="10" xfId="0" applyFont="1" applyFill="1" applyBorder="1" applyAlignment="1">
      <alignment horizontal="left" vertical="top"/>
    </xf>
    <xf numFmtId="0" fontId="0" fillId="34" borderId="0" xfId="0" applyFont="1" applyFill="1" applyAlignment="1">
      <alignment/>
    </xf>
    <xf numFmtId="0" fontId="6" fillId="34" borderId="0" xfId="0" applyFont="1" applyFill="1" applyAlignment="1">
      <alignment/>
    </xf>
    <xf numFmtId="39" fontId="0" fillId="34" borderId="0" xfId="0" applyNumberFormat="1" applyFont="1" applyFill="1" applyAlignment="1">
      <alignment/>
    </xf>
    <xf numFmtId="0" fontId="8" fillId="36" borderId="18" xfId="0" applyFont="1" applyFill="1" applyBorder="1" applyAlignment="1">
      <alignment horizontal="left" vertical="top"/>
    </xf>
    <xf numFmtId="0" fontId="8" fillId="38" borderId="18" xfId="0" applyFont="1" applyFill="1" applyBorder="1" applyAlignment="1">
      <alignment horizontal="left" vertical="top" wrapText="1"/>
    </xf>
    <xf numFmtId="0" fontId="8" fillId="40" borderId="18" xfId="0" applyFont="1" applyFill="1" applyBorder="1" applyAlignment="1">
      <alignment horizontal="left" vertical="top"/>
    </xf>
    <xf numFmtId="0" fontId="8" fillId="25" borderId="19" xfId="0" applyFont="1" applyFill="1" applyBorder="1" applyAlignment="1">
      <alignment horizontal="left" vertical="top" wrapText="1"/>
    </xf>
    <xf numFmtId="0" fontId="8" fillId="25" borderId="18" xfId="0" applyFont="1" applyFill="1" applyBorder="1" applyAlignment="1">
      <alignment horizontal="left" vertical="top" wrapText="1"/>
    </xf>
    <xf numFmtId="0" fontId="8" fillId="36" borderId="20" xfId="0" applyFont="1" applyFill="1" applyBorder="1" applyAlignment="1">
      <alignment horizontal="left" vertical="top"/>
    </xf>
    <xf numFmtId="0" fontId="8" fillId="40" borderId="20" xfId="0" applyFont="1" applyFill="1" applyBorder="1" applyAlignment="1">
      <alignment horizontal="left" vertical="top"/>
    </xf>
    <xf numFmtId="0" fontId="8" fillId="0" borderId="0" xfId="0" applyFont="1" applyBorder="1" applyAlignment="1">
      <alignment horizontal="left" vertical="top" wrapText="1"/>
    </xf>
    <xf numFmtId="0" fontId="0" fillId="0" borderId="0" xfId="0" applyFont="1" applyFill="1" applyAlignment="1">
      <alignment horizontal="left" vertical="top"/>
    </xf>
    <xf numFmtId="39" fontId="15" fillId="35" borderId="10" xfId="42" applyNumberFormat="1" applyFont="1" applyFill="1" applyBorder="1" applyAlignment="1">
      <alignment horizontal="left" vertical="top"/>
    </xf>
    <xf numFmtId="0" fontId="15" fillId="35" borderId="10" xfId="0" applyFont="1" applyFill="1" applyBorder="1" applyAlignment="1">
      <alignment horizontal="left" vertical="top"/>
    </xf>
    <xf numFmtId="0" fontId="15" fillId="25" borderId="19" xfId="0" applyFont="1" applyFill="1" applyBorder="1" applyAlignment="1">
      <alignment horizontal="left" vertical="center" wrapText="1"/>
    </xf>
    <xf numFmtId="0" fontId="15" fillId="0" borderId="10" xfId="0" applyFont="1" applyFill="1" applyBorder="1" applyAlignment="1">
      <alignment horizontal="left" vertical="top"/>
    </xf>
    <xf numFmtId="0" fontId="15" fillId="9" borderId="10" xfId="0" applyFont="1" applyFill="1" applyBorder="1" applyAlignment="1">
      <alignment horizontal="left" vertical="top" wrapText="1"/>
    </xf>
    <xf numFmtId="0" fontId="16" fillId="9" borderId="10" xfId="0" applyFont="1" applyFill="1" applyBorder="1" applyAlignment="1">
      <alignment horizontal="left" vertical="top" wrapText="1"/>
    </xf>
    <xf numFmtId="39" fontId="15" fillId="9" borderId="10" xfId="42" applyNumberFormat="1" applyFont="1" applyFill="1" applyBorder="1" applyAlignment="1">
      <alignment horizontal="left" vertical="top"/>
    </xf>
    <xf numFmtId="0" fontId="8" fillId="35" borderId="20" xfId="0" applyFont="1" applyFill="1" applyBorder="1" applyAlignment="1">
      <alignment horizontal="left" vertical="top" wrapText="1"/>
    </xf>
    <xf numFmtId="0" fontId="8" fillId="35" borderId="18" xfId="0" applyFont="1" applyFill="1" applyBorder="1" applyAlignment="1">
      <alignment horizontal="left" vertical="top" wrapText="1"/>
    </xf>
    <xf numFmtId="0" fontId="3" fillId="0" borderId="10" xfId="0" applyFont="1" applyFill="1" applyBorder="1" applyAlignment="1">
      <alignment horizontal="left"/>
    </xf>
    <xf numFmtId="0" fontId="2" fillId="0" borderId="10" xfId="0" applyFont="1" applyBorder="1" applyAlignment="1">
      <alignment horizontal="left" vertical="top"/>
    </xf>
    <xf numFmtId="9" fontId="3" fillId="0" borderId="10" xfId="59" applyFont="1" applyFill="1" applyBorder="1" applyAlignment="1">
      <alignment horizontal="left" vertical="top"/>
    </xf>
    <xf numFmtId="0" fontId="3" fillId="0" borderId="10" xfId="0" applyFont="1" applyBorder="1" applyAlignment="1">
      <alignment horizontal="left" vertical="top"/>
    </xf>
    <xf numFmtId="0" fontId="3" fillId="0" borderId="10" xfId="0" applyFont="1" applyBorder="1" applyAlignment="1">
      <alignment horizontal="left"/>
    </xf>
    <xf numFmtId="9" fontId="3" fillId="0" borderId="10" xfId="59" applyFont="1" applyFill="1" applyBorder="1" applyAlignment="1">
      <alignment horizontal="left"/>
    </xf>
    <xf numFmtId="0" fontId="2" fillId="40" borderId="10" xfId="0" applyFont="1" applyFill="1" applyBorder="1" applyAlignment="1">
      <alignment horizontal="left" vertical="top"/>
    </xf>
    <xf numFmtId="9" fontId="3" fillId="40" borderId="10" xfId="59" applyFont="1" applyFill="1" applyBorder="1" applyAlignment="1">
      <alignment horizontal="left" vertical="top"/>
    </xf>
    <xf numFmtId="0" fontId="8" fillId="0" borderId="10" xfId="0" applyFont="1" applyBorder="1" applyAlignment="1">
      <alignment horizontal="left" vertical="top" wrapText="1"/>
    </xf>
    <xf numFmtId="0" fontId="8" fillId="0" borderId="21" xfId="0" applyFont="1" applyBorder="1" applyAlignment="1">
      <alignment horizontal="left" vertical="top" wrapText="1"/>
    </xf>
    <xf numFmtId="0" fontId="8" fillId="0" borderId="25" xfId="0" applyFont="1" applyBorder="1" applyAlignment="1">
      <alignment horizontal="left" vertical="top" wrapText="1"/>
    </xf>
    <xf numFmtId="0" fontId="8" fillId="0" borderId="24" xfId="0" applyFont="1" applyBorder="1" applyAlignment="1">
      <alignment horizontal="left" vertical="top" wrapText="1"/>
    </xf>
    <xf numFmtId="0" fontId="8" fillId="40" borderId="19" xfId="0" applyFont="1" applyFill="1" applyBorder="1" applyAlignment="1">
      <alignment horizontal="left" vertical="top"/>
    </xf>
    <xf numFmtId="0" fontId="8" fillId="40" borderId="18" xfId="0" applyFont="1" applyFill="1" applyBorder="1" applyAlignment="1">
      <alignment horizontal="left" vertical="top"/>
    </xf>
    <xf numFmtId="0" fontId="8" fillId="40" borderId="20" xfId="0" applyFont="1" applyFill="1" applyBorder="1" applyAlignment="1">
      <alignment horizontal="left" vertical="top"/>
    </xf>
    <xf numFmtId="0" fontId="8" fillId="25" borderId="19" xfId="0" applyFont="1" applyFill="1" applyBorder="1" applyAlignment="1">
      <alignment horizontal="left" vertical="top" wrapText="1"/>
    </xf>
    <xf numFmtId="0" fontId="8" fillId="25" borderId="18" xfId="0" applyFont="1" applyFill="1" applyBorder="1" applyAlignment="1">
      <alignment horizontal="left" vertical="top" wrapText="1"/>
    </xf>
    <xf numFmtId="0" fontId="8" fillId="38" borderId="19" xfId="0" applyFont="1" applyFill="1" applyBorder="1" applyAlignment="1">
      <alignment horizontal="left" vertical="top"/>
    </xf>
    <xf numFmtId="0" fontId="8" fillId="38" borderId="18" xfId="0" applyFont="1" applyFill="1" applyBorder="1" applyAlignment="1">
      <alignment horizontal="left" vertical="top"/>
    </xf>
    <xf numFmtId="0" fontId="8" fillId="38" borderId="20" xfId="0" applyFont="1" applyFill="1" applyBorder="1" applyAlignment="1">
      <alignment horizontal="left" vertical="top"/>
    </xf>
    <xf numFmtId="0" fontId="8" fillId="36" borderId="19" xfId="0" applyFont="1" applyFill="1" applyBorder="1" applyAlignment="1">
      <alignment horizontal="left" vertical="top"/>
    </xf>
    <xf numFmtId="0" fontId="8" fillId="36" borderId="18" xfId="0" applyFont="1" applyFill="1" applyBorder="1" applyAlignment="1">
      <alignment horizontal="left" vertical="top"/>
    </xf>
    <xf numFmtId="0" fontId="8" fillId="36" borderId="20" xfId="0" applyFont="1" applyFill="1" applyBorder="1" applyAlignment="1">
      <alignment horizontal="left" vertical="top"/>
    </xf>
    <xf numFmtId="0" fontId="8" fillId="0" borderId="15" xfId="0" applyFont="1" applyBorder="1" applyAlignment="1">
      <alignment horizontal="left" vertical="top" wrapText="1"/>
    </xf>
    <xf numFmtId="0" fontId="8" fillId="25" borderId="19" xfId="0" applyFont="1" applyFill="1" applyBorder="1" applyAlignment="1">
      <alignment horizontal="left" vertical="center" wrapText="1"/>
    </xf>
    <xf numFmtId="0" fontId="8" fillId="25" borderId="18" xfId="0" applyFont="1" applyFill="1" applyBorder="1" applyAlignment="1">
      <alignment horizontal="left" vertical="center" wrapText="1"/>
    </xf>
    <xf numFmtId="0" fontId="8" fillId="0" borderId="14" xfId="0" applyFont="1" applyBorder="1" applyAlignment="1">
      <alignment horizontal="left" wrapText="1"/>
    </xf>
    <xf numFmtId="0" fontId="8" fillId="0" borderId="11" xfId="0" applyFont="1" applyBorder="1" applyAlignment="1">
      <alignment horizontal="left" wrapText="1"/>
    </xf>
    <xf numFmtId="0" fontId="8" fillId="0" borderId="16" xfId="0" applyFont="1" applyBorder="1" applyAlignment="1">
      <alignment horizontal="left"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5" xfId="0" applyFont="1" applyBorder="1" applyAlignment="1">
      <alignment horizontal="left" wrapText="1"/>
    </xf>
    <xf numFmtId="0" fontId="8" fillId="17" borderId="19" xfId="0" applyFont="1" applyFill="1" applyBorder="1" applyAlignment="1">
      <alignment horizontal="left" vertical="center" wrapText="1"/>
    </xf>
    <xf numFmtId="0" fontId="8" fillId="17" borderId="18" xfId="0" applyFont="1" applyFill="1" applyBorder="1" applyAlignment="1">
      <alignment horizontal="left" vertical="center" wrapText="1"/>
    </xf>
    <xf numFmtId="0" fontId="8" fillId="17" borderId="20" xfId="0" applyFont="1" applyFill="1" applyBorder="1" applyAlignment="1">
      <alignment horizontal="left" vertical="center" wrapText="1"/>
    </xf>
    <xf numFmtId="0" fontId="8" fillId="25" borderId="20" xfId="0" applyFont="1" applyFill="1" applyBorder="1" applyAlignment="1">
      <alignment horizontal="left" vertical="center" wrapText="1"/>
    </xf>
    <xf numFmtId="0" fontId="70" fillId="0" borderId="12" xfId="0" applyFont="1" applyBorder="1" applyAlignment="1">
      <alignment horizontal="left" vertical="top" wrapText="1"/>
    </xf>
    <xf numFmtId="0" fontId="70" fillId="0" borderId="14" xfId="0" applyFont="1" applyBorder="1" applyAlignment="1">
      <alignment horizontal="left" vertical="top" wrapText="1"/>
    </xf>
    <xf numFmtId="0" fontId="8" fillId="0" borderId="16" xfId="0" applyFont="1" applyBorder="1" applyAlignment="1">
      <alignment horizontal="left" vertical="top" wrapText="1"/>
    </xf>
    <xf numFmtId="0" fontId="70" fillId="0" borderId="13" xfId="0" applyFont="1" applyBorder="1" applyAlignment="1">
      <alignment horizontal="left" vertical="top" wrapText="1"/>
    </xf>
    <xf numFmtId="0" fontId="70" fillId="0" borderId="0" xfId="0" applyFont="1" applyAlignment="1">
      <alignment horizontal="left" vertical="top" wrapText="1"/>
    </xf>
    <xf numFmtId="0" fontId="70" fillId="0" borderId="11" xfId="0" applyFont="1" applyBorder="1" applyAlignment="1">
      <alignment horizontal="left" vertical="top" wrapText="1"/>
    </xf>
    <xf numFmtId="0" fontId="8" fillId="38" borderId="19" xfId="0" applyFont="1" applyFill="1" applyBorder="1" applyAlignment="1">
      <alignment horizontal="left" vertical="top" wrapText="1"/>
    </xf>
    <xf numFmtId="0" fontId="8" fillId="38" borderId="18" xfId="0" applyFont="1" applyFill="1" applyBorder="1" applyAlignment="1">
      <alignment horizontal="left" vertical="top" wrapText="1"/>
    </xf>
    <xf numFmtId="0" fontId="8" fillId="17" borderId="19" xfId="0" applyFont="1" applyFill="1" applyBorder="1" applyAlignment="1">
      <alignment horizontal="left" vertical="top" wrapText="1"/>
    </xf>
    <xf numFmtId="0" fontId="8" fillId="17" borderId="18" xfId="0" applyFont="1" applyFill="1" applyBorder="1" applyAlignment="1">
      <alignment horizontal="left" vertical="top" wrapText="1"/>
    </xf>
    <xf numFmtId="0" fontId="3" fillId="0" borderId="0" xfId="0" applyFont="1" applyAlignment="1">
      <alignment wrapText="1"/>
    </xf>
    <xf numFmtId="0" fontId="10" fillId="0" borderId="17" xfId="0" applyFont="1" applyBorder="1" applyAlignment="1">
      <alignment horizontal="center" vertical="top" wrapText="1"/>
    </xf>
    <xf numFmtId="0" fontId="10" fillId="0" borderId="15" xfId="0" applyFont="1" applyBorder="1" applyAlignment="1">
      <alignment horizontal="center" vertical="top" wrapText="1"/>
    </xf>
    <xf numFmtId="0" fontId="8" fillId="17" borderId="19" xfId="0" applyFont="1" applyFill="1" applyBorder="1" applyAlignment="1">
      <alignment horizontal="left" vertical="center" wrapText="1"/>
    </xf>
    <xf numFmtId="0" fontId="8" fillId="17" borderId="18" xfId="0" applyFont="1" applyFill="1" applyBorder="1" applyAlignment="1">
      <alignment horizontal="left" vertical="center" wrapText="1"/>
    </xf>
    <xf numFmtId="0" fontId="8" fillId="17" borderId="20" xfId="0" applyFont="1" applyFill="1" applyBorder="1" applyAlignment="1">
      <alignment horizontal="left" vertical="center" wrapText="1"/>
    </xf>
    <xf numFmtId="0" fontId="8" fillId="25" borderId="18" xfId="0" applyFont="1" applyFill="1" applyBorder="1" applyAlignment="1">
      <alignment horizontal="left" vertical="center" wrapText="1"/>
    </xf>
    <xf numFmtId="0" fontId="8" fillId="25" borderId="20" xfId="0" applyFont="1" applyFill="1" applyBorder="1" applyAlignment="1">
      <alignment horizontal="left" vertical="center" wrapText="1"/>
    </xf>
    <xf numFmtId="0" fontId="8" fillId="25" borderId="19" xfId="0" applyFont="1" applyFill="1" applyBorder="1" applyAlignment="1">
      <alignment horizontal="left" vertical="center" wrapText="1"/>
    </xf>
    <xf numFmtId="0" fontId="8" fillId="34" borderId="21" xfId="0" applyFont="1" applyFill="1" applyBorder="1" applyAlignment="1">
      <alignment horizontal="left" vertical="top" wrapText="1"/>
    </xf>
    <xf numFmtId="0" fontId="8" fillId="34" borderId="25" xfId="0" applyFont="1" applyFill="1" applyBorder="1" applyAlignment="1">
      <alignment horizontal="left" vertical="top" wrapText="1"/>
    </xf>
    <xf numFmtId="0" fontId="8" fillId="34" borderId="24" xfId="0" applyFont="1" applyFill="1" applyBorder="1" applyAlignment="1">
      <alignment horizontal="left" vertical="top" wrapText="1"/>
    </xf>
    <xf numFmtId="0" fontId="15" fillId="36" borderId="19" xfId="0" applyFont="1" applyFill="1" applyBorder="1" applyAlignment="1">
      <alignment horizontal="left" vertical="top"/>
    </xf>
    <xf numFmtId="0" fontId="15" fillId="36" borderId="18" xfId="0" applyFont="1" applyFill="1" applyBorder="1" applyAlignment="1">
      <alignment horizontal="left" vertical="top"/>
    </xf>
    <xf numFmtId="0" fontId="15" fillId="34" borderId="21" xfId="0" applyFont="1" applyFill="1" applyBorder="1" applyAlignment="1">
      <alignment horizontal="left" vertical="top" wrapText="1"/>
    </xf>
    <xf numFmtId="0" fontId="15" fillId="34" borderId="25" xfId="0" applyFont="1" applyFill="1" applyBorder="1" applyAlignment="1">
      <alignment horizontal="left" vertical="top" wrapText="1"/>
    </xf>
    <xf numFmtId="0" fontId="15" fillId="34" borderId="24" xfId="0" applyFont="1" applyFill="1" applyBorder="1" applyAlignment="1">
      <alignment horizontal="left" vertical="top" wrapText="1"/>
    </xf>
    <xf numFmtId="39" fontId="8" fillId="0" borderId="12" xfId="42" applyNumberFormat="1" applyFont="1" applyFill="1" applyBorder="1" applyAlignment="1">
      <alignment horizontal="center" vertical="top"/>
    </xf>
    <xf numFmtId="39" fontId="8" fillId="0" borderId="23" xfId="42" applyNumberFormat="1" applyFont="1" applyFill="1" applyBorder="1" applyAlignment="1">
      <alignment horizontal="center" vertical="top"/>
    </xf>
    <xf numFmtId="39" fontId="8" fillId="0" borderId="14" xfId="42" applyNumberFormat="1" applyFont="1" applyFill="1" applyBorder="1" applyAlignment="1">
      <alignment horizontal="center" vertical="top"/>
    </xf>
    <xf numFmtId="39" fontId="8" fillId="0" borderId="13" xfId="42" applyNumberFormat="1" applyFont="1" applyFill="1" applyBorder="1" applyAlignment="1">
      <alignment horizontal="center" vertical="top"/>
    </xf>
    <xf numFmtId="39" fontId="8" fillId="0" borderId="0" xfId="42" applyNumberFormat="1" applyFont="1" applyFill="1" applyBorder="1" applyAlignment="1">
      <alignment horizontal="center" vertical="top"/>
    </xf>
    <xf numFmtId="39" fontId="8" fillId="0" borderId="11" xfId="42" applyNumberFormat="1" applyFont="1" applyFill="1" applyBorder="1" applyAlignment="1">
      <alignment horizontal="center" vertical="top"/>
    </xf>
    <xf numFmtId="39" fontId="8" fillId="0" borderId="13" xfId="42" applyNumberFormat="1" applyFont="1" applyFill="1" applyBorder="1" applyAlignment="1">
      <alignment horizontal="left" vertical="top"/>
    </xf>
    <xf numFmtId="39" fontId="8" fillId="0" borderId="0" xfId="42" applyNumberFormat="1" applyFont="1" applyFill="1" applyBorder="1" applyAlignment="1">
      <alignment horizontal="left" vertical="top"/>
    </xf>
    <xf numFmtId="39" fontId="8" fillId="0" borderId="11" xfId="42" applyNumberFormat="1" applyFont="1" applyFill="1" applyBorder="1" applyAlignment="1">
      <alignment horizontal="left" vertical="top"/>
    </xf>
    <xf numFmtId="39" fontId="8" fillId="0" borderId="17" xfId="42" applyNumberFormat="1" applyFont="1" applyFill="1" applyBorder="1" applyAlignment="1">
      <alignment horizontal="left" vertical="top" wrapText="1"/>
    </xf>
    <xf numFmtId="39" fontId="8" fillId="0" borderId="15" xfId="42" applyNumberFormat="1" applyFont="1" applyFill="1" applyBorder="1" applyAlignment="1">
      <alignment horizontal="left" vertical="top" wrapText="1"/>
    </xf>
    <xf numFmtId="39" fontId="8" fillId="0" borderId="16" xfId="42" applyNumberFormat="1"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BX18"/>
  <sheetViews>
    <sheetView zoomScalePageLayoutView="0" workbookViewId="0" topLeftCell="A1">
      <selection activeCell="C1" sqref="C1"/>
    </sheetView>
  </sheetViews>
  <sheetFormatPr defaultColWidth="8.8515625" defaultRowHeight="12.75"/>
  <cols>
    <col min="1" max="1" width="9.140625" style="0" customWidth="1"/>
    <col min="2" max="2" width="13.7109375" style="0" customWidth="1"/>
    <col min="3" max="6" width="9.140625" style="0" customWidth="1"/>
    <col min="7" max="7" width="21.8515625" style="0" customWidth="1"/>
  </cols>
  <sheetData>
    <row r="2" spans="1:4" s="159" customFormat="1" ht="12" customHeight="1">
      <c r="A2" s="158" t="s">
        <v>178</v>
      </c>
      <c r="B2" s="158"/>
      <c r="C2" s="158"/>
      <c r="D2" s="158"/>
    </row>
    <row r="3" s="159" customFormat="1" ht="15"/>
    <row r="4" s="159" customFormat="1" ht="15.75">
      <c r="A4" s="158" t="s">
        <v>180</v>
      </c>
    </row>
    <row r="5" s="159" customFormat="1" ht="15"/>
    <row r="6" spans="1:76" s="163" customFormat="1" ht="15">
      <c r="A6" s="175" t="s">
        <v>179</v>
      </c>
      <c r="B6" s="175"/>
      <c r="C6" s="175" t="s">
        <v>283</v>
      </c>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row>
    <row r="7" spans="1:76" s="159" customFormat="1" ht="15">
      <c r="A7" s="159" t="s">
        <v>253</v>
      </c>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row>
    <row r="8" spans="1:76" s="163" customFormat="1" ht="15">
      <c r="A8" s="175" t="s">
        <v>284</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row>
    <row r="9" spans="1:76" s="159" customFormat="1" ht="15">
      <c r="A9" s="159" t="s">
        <v>285</v>
      </c>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row>
    <row r="10" spans="1:76" s="163" customFormat="1" ht="15">
      <c r="A10" s="175" t="s">
        <v>286</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row>
    <row r="11" spans="1:76" s="159" customFormat="1" ht="15">
      <c r="A11" s="159" t="s">
        <v>255</v>
      </c>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row>
    <row r="12" spans="1:76" s="163" customFormat="1" ht="15">
      <c r="A12" s="175" t="s">
        <v>287</v>
      </c>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row>
    <row r="13" s="159" customFormat="1" ht="15">
      <c r="A13" s="159" t="s">
        <v>186</v>
      </c>
    </row>
    <row r="14" s="159" customFormat="1" ht="15">
      <c r="A14" s="159" t="s">
        <v>187</v>
      </c>
    </row>
    <row r="15" s="159" customFormat="1" ht="15">
      <c r="A15" s="159" t="s">
        <v>259</v>
      </c>
    </row>
    <row r="16" s="159" customFormat="1" ht="15">
      <c r="A16" s="159" t="s">
        <v>258</v>
      </c>
    </row>
    <row r="17" ht="12.75">
      <c r="A17" s="43"/>
    </row>
    <row r="18" ht="12.75">
      <c r="A18" s="43"/>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V193"/>
  <sheetViews>
    <sheetView zoomScale="83" zoomScaleNormal="83" zoomScalePageLayoutView="0" workbookViewId="0" topLeftCell="F1">
      <pane ySplit="1" topLeftCell="A74" activePane="bottomLeft" state="frozen"/>
      <selection pane="topLeft" activeCell="A21" sqref="A21"/>
      <selection pane="bottomLeft" activeCell="B16" sqref="B16"/>
    </sheetView>
  </sheetViews>
  <sheetFormatPr defaultColWidth="11.421875" defaultRowHeight="12.75"/>
  <cols>
    <col min="1" max="1" width="46.57421875" style="1" customWidth="1"/>
    <col min="2" max="2" width="61.140625" style="30" customWidth="1"/>
    <col min="3" max="3" width="2.421875" style="3" hidden="1" customWidth="1"/>
    <col min="4" max="4" width="21.57421875" style="3" customWidth="1"/>
    <col min="5" max="5" width="16.421875" style="41" customWidth="1"/>
    <col min="6" max="6" width="9.00390625" style="34" customWidth="1"/>
    <col min="7" max="8" width="10.7109375" style="32" customWidth="1"/>
    <col min="9" max="9" width="21.421875" style="3" customWidth="1"/>
    <col min="10" max="10" width="21.421875" style="267" customWidth="1"/>
    <col min="11" max="11" width="11.28125" style="3" customWidth="1"/>
    <col min="12" max="14" width="15.421875" style="1" customWidth="1"/>
    <col min="15" max="15" width="69.8515625" style="1" customWidth="1"/>
    <col min="16" max="16384" width="11.421875" style="1" customWidth="1"/>
  </cols>
  <sheetData>
    <row r="1" spans="1:11" ht="18" customHeight="1">
      <c r="A1" s="9"/>
      <c r="B1" s="37"/>
      <c r="C1" s="10"/>
      <c r="D1" s="10"/>
      <c r="E1" s="39" t="s">
        <v>20</v>
      </c>
      <c r="F1" s="33"/>
      <c r="G1" s="31"/>
      <c r="H1" s="31"/>
      <c r="I1" s="10"/>
      <c r="J1" s="246"/>
      <c r="K1" s="10"/>
    </row>
    <row r="2" spans="1:15" ht="15">
      <c r="A2" s="114" t="s">
        <v>16</v>
      </c>
      <c r="B2" s="107" t="s">
        <v>158</v>
      </c>
      <c r="C2" s="108"/>
      <c r="D2" s="108"/>
      <c r="E2" s="109"/>
      <c r="F2" s="110"/>
      <c r="G2" s="111"/>
      <c r="H2" s="111"/>
      <c r="I2" s="108"/>
      <c r="J2" s="108"/>
      <c r="K2" s="108"/>
      <c r="L2" s="112"/>
      <c r="M2" s="112"/>
      <c r="N2" s="112"/>
      <c r="O2" s="112"/>
    </row>
    <row r="3" spans="1:15" ht="30">
      <c r="A3" s="114" t="s">
        <v>17</v>
      </c>
      <c r="B3" s="244" t="s">
        <v>177</v>
      </c>
      <c r="C3" s="113"/>
      <c r="D3" s="113"/>
      <c r="E3" s="109"/>
      <c r="F3" s="110"/>
      <c r="G3" s="111"/>
      <c r="H3" s="111"/>
      <c r="I3" s="108"/>
      <c r="J3" s="108"/>
      <c r="K3" s="108"/>
      <c r="L3" s="112"/>
      <c r="M3" s="112"/>
      <c r="N3" s="112"/>
      <c r="O3" s="112"/>
    </row>
    <row r="4" spans="1:15" ht="12.75" customHeight="1">
      <c r="A4" s="114" t="s">
        <v>14</v>
      </c>
      <c r="B4" s="127" t="s">
        <v>318</v>
      </c>
      <c r="C4" s="113"/>
      <c r="D4" s="113"/>
      <c r="E4" s="128"/>
      <c r="F4" s="129"/>
      <c r="G4" s="130"/>
      <c r="H4" s="130"/>
      <c r="I4" s="128"/>
      <c r="J4" s="128"/>
      <c r="K4" s="128"/>
      <c r="L4" s="112"/>
      <c r="M4" s="112"/>
      <c r="N4" s="112"/>
      <c r="O4" s="112"/>
    </row>
    <row r="5" spans="1:15" ht="12.75" customHeight="1">
      <c r="A5" s="114" t="s">
        <v>15</v>
      </c>
      <c r="B5" s="46" t="s">
        <v>261</v>
      </c>
      <c r="C5" s="113"/>
      <c r="D5" s="113"/>
      <c r="E5" s="128"/>
      <c r="F5" s="129"/>
      <c r="G5" s="130"/>
      <c r="H5" s="130"/>
      <c r="I5" s="128"/>
      <c r="J5" s="128"/>
      <c r="K5" s="128"/>
      <c r="L5" s="112"/>
      <c r="M5" s="112"/>
      <c r="N5" s="112"/>
      <c r="O5" s="112"/>
    </row>
    <row r="6" spans="1:15" ht="12.75" customHeight="1">
      <c r="A6" s="114" t="s">
        <v>263</v>
      </c>
      <c r="B6" s="131"/>
      <c r="C6" s="128"/>
      <c r="D6" s="128"/>
      <c r="E6" s="128"/>
      <c r="F6" s="129"/>
      <c r="G6" s="130"/>
      <c r="H6" s="130"/>
      <c r="I6" s="128"/>
      <c r="J6" s="128"/>
      <c r="K6" s="128"/>
      <c r="L6" s="112"/>
      <c r="M6" s="112"/>
      <c r="N6" s="112"/>
      <c r="O6" s="112"/>
    </row>
    <row r="7" spans="1:15" ht="12.75" customHeight="1">
      <c r="A7" s="114" t="s">
        <v>26</v>
      </c>
      <c r="B7" s="127" t="s">
        <v>262</v>
      </c>
      <c r="C7" s="128"/>
      <c r="D7" s="128"/>
      <c r="E7" s="128"/>
      <c r="F7" s="129"/>
      <c r="G7" s="130"/>
      <c r="H7" s="130"/>
      <c r="I7" s="128"/>
      <c r="J7" s="128"/>
      <c r="K7" s="128"/>
      <c r="L7" s="112"/>
      <c r="M7" s="112"/>
      <c r="N7" s="112"/>
      <c r="O7" s="112"/>
    </row>
    <row r="8" spans="1:15" ht="12.75" customHeight="1">
      <c r="A8" s="114"/>
      <c r="B8" s="107"/>
      <c r="C8" s="108"/>
      <c r="D8" s="108"/>
      <c r="E8" s="109"/>
      <c r="F8" s="110"/>
      <c r="G8" s="111"/>
      <c r="H8" s="111"/>
      <c r="I8" s="108"/>
      <c r="J8" s="108"/>
      <c r="K8" s="108"/>
      <c r="L8" s="112"/>
      <c r="M8" s="112"/>
      <c r="N8" s="112"/>
      <c r="O8" s="112"/>
    </row>
    <row r="9" spans="1:15" ht="69.75" customHeight="1">
      <c r="A9" s="132" t="s">
        <v>8</v>
      </c>
      <c r="B9" s="133" t="s">
        <v>9</v>
      </c>
      <c r="C9" s="132" t="s">
        <v>30</v>
      </c>
      <c r="D9" s="132" t="s">
        <v>165</v>
      </c>
      <c r="E9" s="132" t="s">
        <v>24</v>
      </c>
      <c r="F9" s="134" t="s">
        <v>5</v>
      </c>
      <c r="G9" s="135" t="s">
        <v>6</v>
      </c>
      <c r="H9" s="135" t="s">
        <v>7</v>
      </c>
      <c r="I9" s="297" t="s">
        <v>341</v>
      </c>
      <c r="J9" s="297" t="s">
        <v>342</v>
      </c>
      <c r="K9" s="136" t="s">
        <v>18</v>
      </c>
      <c r="L9" s="176" t="s">
        <v>240</v>
      </c>
      <c r="M9" s="218" t="s">
        <v>316</v>
      </c>
      <c r="N9" s="218" t="s">
        <v>317</v>
      </c>
      <c r="O9" s="136" t="s">
        <v>28</v>
      </c>
    </row>
    <row r="10" spans="1:20" s="25" customFormat="1" ht="22.5" customHeight="1">
      <c r="A10" s="359" t="s">
        <v>39</v>
      </c>
      <c r="B10" s="360"/>
      <c r="C10" s="360"/>
      <c r="D10" s="360"/>
      <c r="E10" s="360"/>
      <c r="F10" s="360"/>
      <c r="G10" s="360"/>
      <c r="H10" s="360"/>
      <c r="I10" s="360"/>
      <c r="J10" s="360"/>
      <c r="K10" s="360"/>
      <c r="L10" s="360"/>
      <c r="M10" s="360"/>
      <c r="N10" s="360"/>
      <c r="O10" s="361"/>
      <c r="P10" s="23"/>
      <c r="Q10" s="23"/>
      <c r="R10" s="23"/>
      <c r="S10" s="23"/>
      <c r="T10" s="24"/>
    </row>
    <row r="11" spans="1:15" ht="22.5" customHeight="1">
      <c r="A11" s="351" t="s">
        <v>55</v>
      </c>
      <c r="B11" s="352"/>
      <c r="C11" s="352"/>
      <c r="D11" s="352"/>
      <c r="E11" s="352"/>
      <c r="F11" s="352"/>
      <c r="G11" s="352"/>
      <c r="H11" s="352"/>
      <c r="I11" s="352"/>
      <c r="J11" s="352"/>
      <c r="K11" s="352"/>
      <c r="L11" s="352"/>
      <c r="M11" s="352"/>
      <c r="N11" s="352"/>
      <c r="O11" s="362"/>
    </row>
    <row r="12" spans="1:15" ht="41.25" customHeight="1">
      <c r="A12" s="351" t="s">
        <v>105</v>
      </c>
      <c r="B12" s="352"/>
      <c r="C12" s="137"/>
      <c r="D12" s="137"/>
      <c r="E12" s="138"/>
      <c r="F12" s="139"/>
      <c r="G12" s="140"/>
      <c r="H12" s="140"/>
      <c r="I12" s="137"/>
      <c r="J12" s="294"/>
      <c r="K12" s="137"/>
      <c r="L12" s="137"/>
      <c r="M12" s="215"/>
      <c r="N12" s="215"/>
      <c r="O12" s="141"/>
    </row>
    <row r="13" spans="1:15" ht="75">
      <c r="A13" s="335" t="s">
        <v>106</v>
      </c>
      <c r="B13" s="44" t="s">
        <v>185</v>
      </c>
      <c r="C13" s="44"/>
      <c r="D13" s="44" t="s">
        <v>32</v>
      </c>
      <c r="E13" s="49" t="s">
        <v>143</v>
      </c>
      <c r="F13" s="49">
        <v>1</v>
      </c>
      <c r="G13" s="49">
        <v>15000</v>
      </c>
      <c r="H13" s="49">
        <v>1</v>
      </c>
      <c r="I13" s="50">
        <f>F13*G13*H13</f>
        <v>15000</v>
      </c>
      <c r="J13" s="50"/>
      <c r="K13" s="50">
        <v>0.4</v>
      </c>
      <c r="L13" s="45">
        <f>I13*K13</f>
        <v>6000</v>
      </c>
      <c r="M13" s="45"/>
      <c r="N13" s="45"/>
      <c r="O13" s="58" t="s">
        <v>237</v>
      </c>
    </row>
    <row r="14" spans="1:15" ht="30">
      <c r="A14" s="335"/>
      <c r="B14" s="44" t="s">
        <v>142</v>
      </c>
      <c r="C14" s="44"/>
      <c r="D14" s="44" t="s">
        <v>32</v>
      </c>
      <c r="E14" s="49" t="s">
        <v>143</v>
      </c>
      <c r="F14" s="49">
        <v>1</v>
      </c>
      <c r="G14" s="49">
        <v>5800</v>
      </c>
      <c r="H14" s="49">
        <v>1</v>
      </c>
      <c r="I14" s="50">
        <f>F14*G14*H14</f>
        <v>5800</v>
      </c>
      <c r="J14" s="50"/>
      <c r="K14" s="50">
        <v>0.4</v>
      </c>
      <c r="L14" s="45">
        <f>I14*K14</f>
        <v>2320</v>
      </c>
      <c r="M14" s="45"/>
      <c r="N14" s="45"/>
      <c r="O14" s="58" t="s">
        <v>188</v>
      </c>
    </row>
    <row r="15" spans="1:15" ht="60">
      <c r="A15" s="335"/>
      <c r="B15" s="44" t="s">
        <v>152</v>
      </c>
      <c r="C15" s="44"/>
      <c r="D15" s="44" t="s">
        <v>32</v>
      </c>
      <c r="E15" s="49" t="s">
        <v>143</v>
      </c>
      <c r="F15" s="49">
        <v>1</v>
      </c>
      <c r="G15" s="49">
        <v>7000</v>
      </c>
      <c r="H15" s="49">
        <v>1</v>
      </c>
      <c r="I15" s="50">
        <f>F15*G15*H15</f>
        <v>7000</v>
      </c>
      <c r="J15" s="50"/>
      <c r="K15" s="50">
        <v>0.3333333333333333</v>
      </c>
      <c r="L15" s="45">
        <f>I15*K15</f>
        <v>2333.333333333333</v>
      </c>
      <c r="M15" s="45"/>
      <c r="N15" s="45"/>
      <c r="O15" s="45" t="s">
        <v>189</v>
      </c>
    </row>
    <row r="16" spans="1:15" ht="45">
      <c r="A16" s="335"/>
      <c r="B16" s="44" t="s">
        <v>153</v>
      </c>
      <c r="C16" s="44"/>
      <c r="D16" s="44" t="s">
        <v>32</v>
      </c>
      <c r="E16" s="49" t="s">
        <v>143</v>
      </c>
      <c r="F16" s="49">
        <v>3</v>
      </c>
      <c r="G16" s="49">
        <v>7500</v>
      </c>
      <c r="H16" s="49">
        <v>1</v>
      </c>
      <c r="I16" s="50">
        <f>F16*G16*H16</f>
        <v>22500</v>
      </c>
      <c r="J16" s="50"/>
      <c r="K16" s="50">
        <v>0.375</v>
      </c>
      <c r="L16" s="45">
        <f>I16*K16</f>
        <v>8437.5</v>
      </c>
      <c r="M16" s="45"/>
      <c r="N16" s="45"/>
      <c r="O16" s="45" t="s">
        <v>238</v>
      </c>
    </row>
    <row r="17" spans="1:15" ht="15">
      <c r="A17" s="335"/>
      <c r="B17" s="59" t="s">
        <v>307</v>
      </c>
      <c r="C17" s="59"/>
      <c r="D17" s="59" t="s">
        <v>32</v>
      </c>
      <c r="E17" s="51" t="s">
        <v>143</v>
      </c>
      <c r="F17" s="51"/>
      <c r="G17" s="51"/>
      <c r="H17" s="51"/>
      <c r="I17" s="52">
        <f>SUM(I13:I16)</f>
        <v>50300</v>
      </c>
      <c r="J17" s="52"/>
      <c r="K17" s="52"/>
      <c r="L17" s="155">
        <f>SUM(L13:L16)</f>
        <v>19090.833333333332</v>
      </c>
      <c r="M17" s="155"/>
      <c r="N17" s="155"/>
      <c r="O17" s="155"/>
    </row>
    <row r="18" spans="1:15" ht="15">
      <c r="A18" s="335"/>
      <c r="B18" s="44" t="s">
        <v>141</v>
      </c>
      <c r="C18" s="44"/>
      <c r="D18" s="44"/>
      <c r="E18" s="49"/>
      <c r="F18" s="49"/>
      <c r="G18" s="49"/>
      <c r="H18" s="49"/>
      <c r="I18" s="50"/>
      <c r="J18" s="50"/>
      <c r="K18" s="50"/>
      <c r="L18" s="45"/>
      <c r="M18" s="45"/>
      <c r="N18" s="45"/>
      <c r="O18" s="45"/>
    </row>
    <row r="19" spans="1:15" ht="60">
      <c r="A19" s="335"/>
      <c r="B19" s="44" t="s">
        <v>154</v>
      </c>
      <c r="C19" s="44"/>
      <c r="D19" s="44" t="s">
        <v>32</v>
      </c>
      <c r="E19" s="49" t="s">
        <v>143</v>
      </c>
      <c r="F19" s="49">
        <v>1</v>
      </c>
      <c r="G19" s="49">
        <v>7500</v>
      </c>
      <c r="H19" s="49">
        <v>1</v>
      </c>
      <c r="I19" s="49">
        <f>F19*G19*H19</f>
        <v>7500</v>
      </c>
      <c r="J19" s="265"/>
      <c r="K19" s="50">
        <v>0.3333333333333333</v>
      </c>
      <c r="L19" s="45">
        <f>I19*K19</f>
        <v>2500</v>
      </c>
      <c r="M19" s="45"/>
      <c r="N19" s="45"/>
      <c r="O19" s="58" t="s">
        <v>190</v>
      </c>
    </row>
    <row r="20" spans="1:15" ht="45">
      <c r="A20" s="335"/>
      <c r="B20" s="44" t="s">
        <v>155</v>
      </c>
      <c r="C20" s="44"/>
      <c r="D20" s="44" t="s">
        <v>32</v>
      </c>
      <c r="E20" s="49" t="s">
        <v>143</v>
      </c>
      <c r="F20" s="49">
        <v>1</v>
      </c>
      <c r="G20" s="49">
        <v>7000</v>
      </c>
      <c r="H20" s="49">
        <v>1</v>
      </c>
      <c r="I20" s="49">
        <f>F20*G20*H20</f>
        <v>7000</v>
      </c>
      <c r="J20" s="265"/>
      <c r="K20" s="50">
        <v>0.3333333333333333</v>
      </c>
      <c r="L20" s="45">
        <f>I20*K20</f>
        <v>2333.333333333333</v>
      </c>
      <c r="M20" s="45"/>
      <c r="N20" s="45"/>
      <c r="O20" s="45" t="s">
        <v>189</v>
      </c>
    </row>
    <row r="21" spans="1:15" ht="45">
      <c r="A21" s="335"/>
      <c r="B21" s="44" t="s">
        <v>191</v>
      </c>
      <c r="C21" s="44"/>
      <c r="D21" s="44" t="s">
        <v>32</v>
      </c>
      <c r="E21" s="49" t="s">
        <v>143</v>
      </c>
      <c r="F21" s="49">
        <v>1</v>
      </c>
      <c r="G21" s="49">
        <v>0</v>
      </c>
      <c r="H21" s="49">
        <v>1</v>
      </c>
      <c r="I21" s="49">
        <f>F21*G21*H21</f>
        <v>0</v>
      </c>
      <c r="J21" s="265"/>
      <c r="K21" s="50">
        <v>0.3333333333333333</v>
      </c>
      <c r="L21" s="45">
        <f>I21*K21</f>
        <v>0</v>
      </c>
      <c r="M21" s="45"/>
      <c r="N21" s="45"/>
      <c r="O21" s="58" t="s">
        <v>192</v>
      </c>
    </row>
    <row r="22" spans="1:15" ht="45">
      <c r="A22" s="335"/>
      <c r="B22" s="44" t="s">
        <v>156</v>
      </c>
      <c r="C22" s="44"/>
      <c r="D22" s="44" t="s">
        <v>32</v>
      </c>
      <c r="E22" s="49" t="s">
        <v>143</v>
      </c>
      <c r="F22" s="49">
        <v>1</v>
      </c>
      <c r="G22" s="49">
        <v>2000</v>
      </c>
      <c r="H22" s="49">
        <v>1</v>
      </c>
      <c r="I22" s="49">
        <f>F22*G22*H22</f>
        <v>2000</v>
      </c>
      <c r="J22" s="265"/>
      <c r="K22" s="50">
        <v>0.3</v>
      </c>
      <c r="L22" s="45">
        <f>I22*K22</f>
        <v>600</v>
      </c>
      <c r="M22" s="45"/>
      <c r="N22" s="45"/>
      <c r="O22" s="45" t="s">
        <v>193</v>
      </c>
    </row>
    <row r="23" spans="1:15" ht="45">
      <c r="A23" s="335"/>
      <c r="B23" s="44" t="s">
        <v>157</v>
      </c>
      <c r="C23" s="44"/>
      <c r="D23" s="44" t="s">
        <v>32</v>
      </c>
      <c r="E23" s="49" t="s">
        <v>143</v>
      </c>
      <c r="F23" s="49">
        <v>1</v>
      </c>
      <c r="G23" s="49">
        <v>500</v>
      </c>
      <c r="H23" s="49">
        <v>1</v>
      </c>
      <c r="I23" s="49">
        <f>F23*G23*H23</f>
        <v>500</v>
      </c>
      <c r="J23" s="265"/>
      <c r="K23" s="50">
        <v>0</v>
      </c>
      <c r="L23" s="45">
        <f>I23*K23</f>
        <v>0</v>
      </c>
      <c r="M23" s="45"/>
      <c r="N23" s="45"/>
      <c r="O23" s="58" t="s">
        <v>194</v>
      </c>
    </row>
    <row r="24" spans="1:15" ht="51" customHeight="1">
      <c r="A24" s="335"/>
      <c r="B24" s="51" t="s">
        <v>307</v>
      </c>
      <c r="C24" s="51"/>
      <c r="D24" s="51" t="s">
        <v>32</v>
      </c>
      <c r="E24" s="51" t="s">
        <v>143</v>
      </c>
      <c r="F24" s="51"/>
      <c r="G24" s="51"/>
      <c r="H24" s="53"/>
      <c r="I24" s="52">
        <f>SUM(I19:I23)</f>
        <v>17000</v>
      </c>
      <c r="J24" s="52"/>
      <c r="K24" s="54"/>
      <c r="L24" s="54">
        <f>SUM(L19:L23)</f>
        <v>5433.333333333333</v>
      </c>
      <c r="M24" s="54"/>
      <c r="N24" s="54"/>
      <c r="O24" s="54"/>
    </row>
    <row r="25" spans="1:15" ht="84" customHeight="1">
      <c r="A25" s="351" t="s">
        <v>66</v>
      </c>
      <c r="B25" s="352"/>
      <c r="C25" s="44"/>
      <c r="D25" s="44"/>
      <c r="E25" s="55"/>
      <c r="F25" s="55"/>
      <c r="G25" s="55"/>
      <c r="H25" s="56"/>
      <c r="I25" s="57"/>
      <c r="J25" s="57"/>
      <c r="K25" s="57"/>
      <c r="L25" s="57"/>
      <c r="M25" s="57"/>
      <c r="N25" s="57"/>
      <c r="O25" s="57"/>
    </row>
    <row r="26" spans="1:15" ht="75">
      <c r="A26" s="336" t="s">
        <v>107</v>
      </c>
      <c r="B26" s="58" t="s">
        <v>182</v>
      </c>
      <c r="C26" s="44"/>
      <c r="D26" s="44" t="s">
        <v>32</v>
      </c>
      <c r="E26" s="55" t="s">
        <v>143</v>
      </c>
      <c r="F26" s="55">
        <v>3</v>
      </c>
      <c r="G26" s="55">
        <v>6400</v>
      </c>
      <c r="H26" s="55">
        <v>1</v>
      </c>
      <c r="I26" s="50">
        <v>19200</v>
      </c>
      <c r="J26" s="50"/>
      <c r="K26" s="50">
        <v>0.4</v>
      </c>
      <c r="L26" s="45">
        <f>I26*K26</f>
        <v>7680</v>
      </c>
      <c r="M26" s="45"/>
      <c r="N26" s="45"/>
      <c r="O26" s="45" t="s">
        <v>195</v>
      </c>
    </row>
    <row r="27" spans="1:15" ht="45">
      <c r="A27" s="337"/>
      <c r="B27" s="58" t="s">
        <v>181</v>
      </c>
      <c r="C27" s="44"/>
      <c r="D27" s="44" t="s">
        <v>32</v>
      </c>
      <c r="E27" s="49" t="s">
        <v>143</v>
      </c>
      <c r="F27" s="49">
        <v>1</v>
      </c>
      <c r="G27" s="49">
        <v>9000</v>
      </c>
      <c r="H27" s="49">
        <v>1</v>
      </c>
      <c r="I27" s="50">
        <v>9000</v>
      </c>
      <c r="J27" s="50"/>
      <c r="K27" s="50">
        <v>0.4</v>
      </c>
      <c r="L27" s="45">
        <f>I27*K27</f>
        <v>3600</v>
      </c>
      <c r="M27" s="45"/>
      <c r="N27" s="45"/>
      <c r="O27" s="45" t="s">
        <v>195</v>
      </c>
    </row>
    <row r="28" spans="1:15" ht="60">
      <c r="A28" s="337"/>
      <c r="B28" s="58" t="s">
        <v>251</v>
      </c>
      <c r="C28" s="44"/>
      <c r="D28" s="44" t="s">
        <v>32</v>
      </c>
      <c r="E28" s="49" t="s">
        <v>143</v>
      </c>
      <c r="F28" s="49">
        <v>3</v>
      </c>
      <c r="G28" s="160">
        <v>12000</v>
      </c>
      <c r="H28" s="49">
        <v>1</v>
      </c>
      <c r="I28" s="50">
        <f>F28*G28*H28</f>
        <v>36000</v>
      </c>
      <c r="J28" s="50"/>
      <c r="K28" s="50">
        <v>0.5</v>
      </c>
      <c r="L28" s="45">
        <f>I28*K28</f>
        <v>18000</v>
      </c>
      <c r="M28" s="45"/>
      <c r="N28" s="45"/>
      <c r="O28" s="45" t="s">
        <v>196</v>
      </c>
    </row>
    <row r="29" spans="1:15" ht="70.5" customHeight="1">
      <c r="A29" s="338"/>
      <c r="B29" s="59"/>
      <c r="C29" s="59"/>
      <c r="D29" s="59"/>
      <c r="E29" s="51" t="s">
        <v>0</v>
      </c>
      <c r="F29" s="51"/>
      <c r="G29" s="51"/>
      <c r="H29" s="53"/>
      <c r="I29" s="52">
        <f>SUM(I26:I28)</f>
        <v>64200</v>
      </c>
      <c r="J29" s="52"/>
      <c r="K29" s="54"/>
      <c r="L29" s="52">
        <f>SUM(L26:L28)</f>
        <v>29280</v>
      </c>
      <c r="M29" s="54"/>
      <c r="N29" s="54"/>
      <c r="O29" s="54"/>
    </row>
    <row r="30" spans="1:15" ht="49.5" customHeight="1">
      <c r="A30" s="197" t="s">
        <v>108</v>
      </c>
      <c r="B30" s="197"/>
      <c r="C30" s="197"/>
      <c r="D30" s="197"/>
      <c r="E30" s="171">
        <v>0</v>
      </c>
      <c r="F30" s="172"/>
      <c r="G30" s="172"/>
      <c r="H30" s="172"/>
      <c r="I30" s="172"/>
      <c r="J30" s="172"/>
      <c r="K30" s="172"/>
      <c r="L30" s="172"/>
      <c r="M30" s="172"/>
      <c r="N30" s="172"/>
      <c r="O30" s="173"/>
    </row>
    <row r="31" spans="1:15" ht="15">
      <c r="A31" s="350" t="s">
        <v>109</v>
      </c>
      <c r="B31" s="45" t="s">
        <v>134</v>
      </c>
      <c r="C31" s="44"/>
      <c r="D31" s="44" t="s">
        <v>32</v>
      </c>
      <c r="E31" s="58" t="s">
        <v>143</v>
      </c>
      <c r="F31" s="58">
        <v>2</v>
      </c>
      <c r="G31" s="58">
        <v>5000</v>
      </c>
      <c r="H31" s="58">
        <v>1</v>
      </c>
      <c r="I31" s="50">
        <f>F31*G31*H31</f>
        <v>10000</v>
      </c>
      <c r="J31" s="50"/>
      <c r="K31" s="50">
        <v>0.36666666666666664</v>
      </c>
      <c r="L31" s="45">
        <f>I31*K31</f>
        <v>3666.6666666666665</v>
      </c>
      <c r="M31" s="45"/>
      <c r="N31" s="45"/>
      <c r="O31" s="45" t="s">
        <v>195</v>
      </c>
    </row>
    <row r="32" spans="1:15" ht="45">
      <c r="A32" s="350"/>
      <c r="B32" s="44" t="s">
        <v>135</v>
      </c>
      <c r="C32" s="44"/>
      <c r="D32" s="44" t="s">
        <v>32</v>
      </c>
      <c r="E32" s="58" t="s">
        <v>143</v>
      </c>
      <c r="F32" s="58">
        <v>12</v>
      </c>
      <c r="G32" s="58">
        <v>500</v>
      </c>
      <c r="H32" s="58">
        <v>1</v>
      </c>
      <c r="I32" s="50">
        <f>F32*G32*H32</f>
        <v>6000</v>
      </c>
      <c r="J32" s="50"/>
      <c r="K32" s="50">
        <v>0.4</v>
      </c>
      <c r="L32" s="45">
        <f>I32*K32</f>
        <v>2400</v>
      </c>
      <c r="M32" s="45"/>
      <c r="N32" s="45"/>
      <c r="O32" s="45" t="s">
        <v>197</v>
      </c>
    </row>
    <row r="33" spans="1:15" ht="88.5" customHeight="1">
      <c r="A33" s="350"/>
      <c r="B33" s="44" t="s">
        <v>136</v>
      </c>
      <c r="C33" s="44"/>
      <c r="D33" s="44" t="s">
        <v>32</v>
      </c>
      <c r="E33" s="58" t="s">
        <v>143</v>
      </c>
      <c r="F33" s="58">
        <v>5</v>
      </c>
      <c r="G33" s="58">
        <v>720</v>
      </c>
      <c r="H33" s="58">
        <v>12</v>
      </c>
      <c r="I33" s="50">
        <f>F33*G33*H33</f>
        <v>43200</v>
      </c>
      <c r="J33" s="50"/>
      <c r="K33" s="50">
        <v>0</v>
      </c>
      <c r="L33" s="45">
        <f>I33*K33</f>
        <v>0</v>
      </c>
      <c r="M33" s="45"/>
      <c r="N33" s="45"/>
      <c r="O33" s="58" t="s">
        <v>198</v>
      </c>
    </row>
    <row r="34" spans="1:15" ht="31.5" customHeight="1">
      <c r="A34" s="350"/>
      <c r="B34" s="46" t="s">
        <v>183</v>
      </c>
      <c r="C34" s="44"/>
      <c r="D34" s="44" t="s">
        <v>32</v>
      </c>
      <c r="E34" s="58" t="s">
        <v>143</v>
      </c>
      <c r="F34" s="58">
        <v>1</v>
      </c>
      <c r="G34" s="58">
        <v>500</v>
      </c>
      <c r="H34" s="58">
        <v>6</v>
      </c>
      <c r="I34" s="50">
        <f>F34*G34*H34</f>
        <v>3000</v>
      </c>
      <c r="J34" s="50"/>
      <c r="K34" s="50">
        <v>0.1</v>
      </c>
      <c r="L34" s="45">
        <f>I34*K34</f>
        <v>300</v>
      </c>
      <c r="M34" s="45"/>
      <c r="N34" s="45"/>
      <c r="O34" s="45" t="s">
        <v>239</v>
      </c>
    </row>
    <row r="35" spans="1:15" ht="20.25" customHeight="1">
      <c r="A35" s="350"/>
      <c r="B35" s="59" t="s">
        <v>307</v>
      </c>
      <c r="C35" s="59"/>
      <c r="D35" s="59"/>
      <c r="E35" s="59"/>
      <c r="F35" s="59"/>
      <c r="G35" s="59"/>
      <c r="H35" s="59"/>
      <c r="I35" s="52">
        <f>SUM(I31:I34)</f>
        <v>62200</v>
      </c>
      <c r="J35" s="52"/>
      <c r="K35" s="52"/>
      <c r="L35" s="155">
        <f>SUM(L31:L34)</f>
        <v>6366.666666666666</v>
      </c>
      <c r="M35" s="155"/>
      <c r="N35" s="155"/>
      <c r="O35" s="45"/>
    </row>
    <row r="36" spans="1:15" ht="24" customHeight="1">
      <c r="A36" s="350" t="s">
        <v>110</v>
      </c>
      <c r="B36" s="46" t="s">
        <v>137</v>
      </c>
      <c r="C36" s="44"/>
      <c r="D36" s="44" t="s">
        <v>32</v>
      </c>
      <c r="E36" s="58" t="s">
        <v>143</v>
      </c>
      <c r="F36" s="58">
        <v>5</v>
      </c>
      <c r="G36" s="160">
        <v>6500</v>
      </c>
      <c r="H36" s="58">
        <v>1</v>
      </c>
      <c r="I36" s="50">
        <f>F36*G36*H36</f>
        <v>32500</v>
      </c>
      <c r="J36" s="50"/>
      <c r="K36" s="50">
        <v>0.36666666666666664</v>
      </c>
      <c r="L36" s="45">
        <f>I36*K36</f>
        <v>11916.666666666666</v>
      </c>
      <c r="M36" s="45"/>
      <c r="N36" s="45"/>
      <c r="O36" s="58" t="s">
        <v>199</v>
      </c>
    </row>
    <row r="37" spans="1:15" ht="20.25" customHeight="1">
      <c r="A37" s="350"/>
      <c r="B37" s="46" t="s">
        <v>138</v>
      </c>
      <c r="C37" s="44"/>
      <c r="D37" s="44" t="s">
        <v>32</v>
      </c>
      <c r="E37" s="58" t="s">
        <v>143</v>
      </c>
      <c r="F37" s="58">
        <v>1</v>
      </c>
      <c r="G37" s="58">
        <v>4000</v>
      </c>
      <c r="H37" s="58">
        <v>2</v>
      </c>
      <c r="I37" s="50">
        <f>F37*G37*H37</f>
        <v>8000</v>
      </c>
      <c r="J37" s="50"/>
      <c r="K37" s="50">
        <v>0.36666666666666664</v>
      </c>
      <c r="L37" s="45">
        <f>I37*K37</f>
        <v>2933.333333333333</v>
      </c>
      <c r="M37" s="45"/>
      <c r="N37" s="45"/>
      <c r="O37" s="45" t="s">
        <v>195</v>
      </c>
    </row>
    <row r="38" spans="1:15" ht="15">
      <c r="A38" s="350"/>
      <c r="B38" s="46" t="s">
        <v>200</v>
      </c>
      <c r="C38" s="44"/>
      <c r="D38" s="44" t="s">
        <v>32</v>
      </c>
      <c r="E38" s="58" t="s">
        <v>143</v>
      </c>
      <c r="F38" s="58">
        <v>1</v>
      </c>
      <c r="G38" s="58">
        <v>500</v>
      </c>
      <c r="H38" s="58">
        <v>2</v>
      </c>
      <c r="I38" s="50">
        <f>F38*G38*H38</f>
        <v>1000</v>
      </c>
      <c r="J38" s="50"/>
      <c r="K38" s="50">
        <v>0.1</v>
      </c>
      <c r="L38" s="45">
        <f>I38*K38</f>
        <v>100</v>
      </c>
      <c r="M38" s="45"/>
      <c r="N38" s="45"/>
      <c r="O38" s="58" t="s">
        <v>201</v>
      </c>
    </row>
    <row r="39" spans="1:15" s="2" customFormat="1" ht="15">
      <c r="A39" s="365"/>
      <c r="B39" s="51"/>
      <c r="C39" s="51"/>
      <c r="D39" s="51"/>
      <c r="E39" s="51" t="s">
        <v>0</v>
      </c>
      <c r="F39" s="51"/>
      <c r="G39" s="51"/>
      <c r="H39" s="53"/>
      <c r="I39" s="52">
        <f>SUM(I36:I38)</f>
        <v>41500</v>
      </c>
      <c r="J39" s="52"/>
      <c r="K39" s="52"/>
      <c r="L39" s="52">
        <f>L36+L37+L38</f>
        <v>14950</v>
      </c>
      <c r="M39" s="52"/>
      <c r="N39" s="52"/>
      <c r="O39" s="54"/>
    </row>
    <row r="40" spans="1:15" s="7" customFormat="1" ht="30.75" customHeight="1">
      <c r="A40" s="347" t="s">
        <v>29</v>
      </c>
      <c r="B40" s="348"/>
      <c r="C40" s="60"/>
      <c r="D40" s="60"/>
      <c r="E40" s="61"/>
      <c r="F40" s="61"/>
      <c r="G40" s="61"/>
      <c r="H40" s="62"/>
      <c r="I40" s="79">
        <f>I39+I35+I29+I24+I17</f>
        <v>235200</v>
      </c>
      <c r="J40" s="79"/>
      <c r="K40" s="79"/>
      <c r="L40" s="79">
        <f>L39+L35+L29+L24+L17</f>
        <v>75120.83333333333</v>
      </c>
      <c r="M40" s="226">
        <v>70560</v>
      </c>
      <c r="N40" s="79"/>
      <c r="O40" s="63"/>
    </row>
    <row r="41" spans="1:15" ht="14.25" customHeight="1">
      <c r="A41" s="342" t="s">
        <v>53</v>
      </c>
      <c r="B41" s="343"/>
      <c r="C41" s="343"/>
      <c r="D41" s="343"/>
      <c r="E41" s="343"/>
      <c r="F41" s="343"/>
      <c r="G41" s="343"/>
      <c r="H41" s="343"/>
      <c r="I41" s="343"/>
      <c r="J41" s="343"/>
      <c r="K41" s="343"/>
      <c r="L41" s="343"/>
      <c r="M41" s="343"/>
      <c r="N41" s="343"/>
      <c r="O41" s="343"/>
    </row>
    <row r="42" spans="1:15" ht="26.25" customHeight="1">
      <c r="A42" s="342" t="s">
        <v>57</v>
      </c>
      <c r="B42" s="343"/>
      <c r="C42" s="343"/>
      <c r="D42" s="343"/>
      <c r="E42" s="343"/>
      <c r="F42" s="343"/>
      <c r="G42" s="343"/>
      <c r="H42" s="343"/>
      <c r="I42" s="343"/>
      <c r="J42" s="343"/>
      <c r="K42" s="343"/>
      <c r="L42" s="343"/>
      <c r="M42" s="343"/>
      <c r="N42" s="343"/>
      <c r="O42" s="343"/>
    </row>
    <row r="43" spans="1:15" ht="20.25" customHeight="1">
      <c r="A43" s="336" t="s">
        <v>84</v>
      </c>
      <c r="B43" s="65" t="s">
        <v>151</v>
      </c>
      <c r="C43" s="44"/>
      <c r="D43" s="44" t="s">
        <v>32</v>
      </c>
      <c r="E43" s="58" t="s">
        <v>58</v>
      </c>
      <c r="F43" s="65">
        <v>6</v>
      </c>
      <c r="G43" s="58">
        <v>1200</v>
      </c>
      <c r="H43" s="58">
        <v>1</v>
      </c>
      <c r="I43" s="50">
        <f>H43*G43*F43</f>
        <v>7200</v>
      </c>
      <c r="J43" s="50"/>
      <c r="K43" s="66">
        <v>0.2</v>
      </c>
      <c r="L43" s="45">
        <f>I43*K43</f>
        <v>1440</v>
      </c>
      <c r="M43" s="45"/>
      <c r="N43" s="45"/>
      <c r="O43" s="58" t="s">
        <v>202</v>
      </c>
    </row>
    <row r="44" spans="1:15" ht="37.5" customHeight="1">
      <c r="A44" s="337"/>
      <c r="B44" s="65" t="s">
        <v>98</v>
      </c>
      <c r="C44" s="44"/>
      <c r="D44" s="44" t="s">
        <v>32</v>
      </c>
      <c r="E44" s="44" t="s">
        <v>58</v>
      </c>
      <c r="F44" s="65">
        <v>15</v>
      </c>
      <c r="G44" s="44">
        <v>1294</v>
      </c>
      <c r="H44" s="44">
        <v>1</v>
      </c>
      <c r="I44" s="50">
        <f>F44*G44</f>
        <v>19410</v>
      </c>
      <c r="J44" s="50"/>
      <c r="K44" s="50">
        <v>0.2</v>
      </c>
      <c r="L44" s="45">
        <f>I44*K44</f>
        <v>3882</v>
      </c>
      <c r="M44" s="45"/>
      <c r="N44" s="45"/>
      <c r="O44" s="58" t="s">
        <v>203</v>
      </c>
    </row>
    <row r="45" spans="1:15" ht="36" customHeight="1">
      <c r="A45" s="337"/>
      <c r="B45" s="65" t="s">
        <v>99</v>
      </c>
      <c r="C45" s="44"/>
      <c r="D45" s="44" t="s">
        <v>32</v>
      </c>
      <c r="E45" s="44" t="s">
        <v>58</v>
      </c>
      <c r="F45" s="65">
        <v>35</v>
      </c>
      <c r="G45" s="44">
        <v>750</v>
      </c>
      <c r="H45" s="44">
        <v>1</v>
      </c>
      <c r="I45" s="50">
        <f>F45*G45</f>
        <v>26250</v>
      </c>
      <c r="J45" s="50"/>
      <c r="K45" s="50">
        <v>0.2</v>
      </c>
      <c r="L45" s="45">
        <f>I45*K45</f>
        <v>5250</v>
      </c>
      <c r="M45" s="45"/>
      <c r="N45" s="45"/>
      <c r="O45" s="58" t="s">
        <v>203</v>
      </c>
    </row>
    <row r="46" spans="1:15" ht="33.75" customHeight="1">
      <c r="A46" s="337"/>
      <c r="B46" s="65" t="s">
        <v>85</v>
      </c>
      <c r="C46" s="44"/>
      <c r="D46" s="44" t="s">
        <v>32</v>
      </c>
      <c r="E46" s="58" t="s">
        <v>58</v>
      </c>
      <c r="F46" s="65">
        <v>1</v>
      </c>
      <c r="G46" s="58">
        <v>15000</v>
      </c>
      <c r="H46" s="58">
        <v>1</v>
      </c>
      <c r="I46" s="50">
        <f>H46*G46*F46</f>
        <v>15000</v>
      </c>
      <c r="J46" s="50"/>
      <c r="K46" s="66">
        <v>0.2</v>
      </c>
      <c r="L46" s="45">
        <f>I46*K46</f>
        <v>3000</v>
      </c>
      <c r="M46" s="45"/>
      <c r="N46" s="45"/>
      <c r="O46" s="58" t="s">
        <v>203</v>
      </c>
    </row>
    <row r="47" spans="1:15" ht="26.25" customHeight="1">
      <c r="A47" s="338"/>
      <c r="B47" s="59"/>
      <c r="C47" s="59"/>
      <c r="D47" s="59"/>
      <c r="E47" s="59" t="s">
        <v>0</v>
      </c>
      <c r="F47" s="59"/>
      <c r="G47" s="59"/>
      <c r="H47" s="67"/>
      <c r="I47" s="52">
        <f>SUM(I43:I46)</f>
        <v>67860</v>
      </c>
      <c r="J47" s="52"/>
      <c r="K47" s="54"/>
      <c r="L47" s="52">
        <f>SUM(L43:L46)</f>
        <v>13572</v>
      </c>
      <c r="M47" s="52"/>
      <c r="N47" s="52"/>
      <c r="O47" s="54"/>
    </row>
    <row r="48" spans="1:15" ht="52.5" customHeight="1">
      <c r="A48" s="336" t="s">
        <v>83</v>
      </c>
      <c r="B48" s="65" t="s">
        <v>132</v>
      </c>
      <c r="C48" s="44"/>
      <c r="D48" s="44" t="s">
        <v>32</v>
      </c>
      <c r="E48" s="44" t="s">
        <v>58</v>
      </c>
      <c r="F48" s="44">
        <v>10</v>
      </c>
      <c r="G48" s="44">
        <v>500</v>
      </c>
      <c r="H48" s="44">
        <v>1</v>
      </c>
      <c r="I48" s="50">
        <f>H48*G48*F48</f>
        <v>5000</v>
      </c>
      <c r="J48" s="50"/>
      <c r="K48" s="66">
        <v>0.2</v>
      </c>
      <c r="L48" s="66">
        <f>I48*K48</f>
        <v>1000</v>
      </c>
      <c r="M48" s="66"/>
      <c r="N48" s="66"/>
      <c r="O48" s="68"/>
    </row>
    <row r="49" spans="1:15" ht="19.5" customHeight="1">
      <c r="A49" s="337"/>
      <c r="B49" s="69" t="s">
        <v>100</v>
      </c>
      <c r="C49" s="44"/>
      <c r="D49" s="44" t="s">
        <v>32</v>
      </c>
      <c r="E49" s="44" t="s">
        <v>58</v>
      </c>
      <c r="F49" s="44">
        <v>10</v>
      </c>
      <c r="G49" s="44">
        <v>1300</v>
      </c>
      <c r="H49" s="44">
        <v>1</v>
      </c>
      <c r="I49" s="50">
        <f aca="true" t="shared" si="0" ref="I49:I54">H49*G49*F49</f>
        <v>13000</v>
      </c>
      <c r="J49" s="50"/>
      <c r="K49" s="66">
        <v>0.3</v>
      </c>
      <c r="L49" s="66">
        <f aca="true" t="shared" si="1" ref="L49:L54">I49*K49</f>
        <v>3900</v>
      </c>
      <c r="M49" s="66"/>
      <c r="N49" s="66"/>
      <c r="O49" s="143" t="s">
        <v>204</v>
      </c>
    </row>
    <row r="50" spans="1:15" ht="24.75" customHeight="1">
      <c r="A50" s="337"/>
      <c r="B50" s="70" t="s">
        <v>101</v>
      </c>
      <c r="C50" s="44"/>
      <c r="D50" s="44" t="s">
        <v>32</v>
      </c>
      <c r="E50" s="44" t="s">
        <v>58</v>
      </c>
      <c r="F50" s="44">
        <v>10</v>
      </c>
      <c r="G50" s="44">
        <v>130</v>
      </c>
      <c r="H50" s="44">
        <v>3</v>
      </c>
      <c r="I50" s="50">
        <f t="shared" si="0"/>
        <v>3900</v>
      </c>
      <c r="J50" s="50"/>
      <c r="K50" s="66">
        <v>0.2</v>
      </c>
      <c r="L50" s="66">
        <f t="shared" si="1"/>
        <v>780</v>
      </c>
      <c r="M50" s="219">
        <v>1503</v>
      </c>
      <c r="N50" s="220"/>
      <c r="O50" s="66" t="s">
        <v>205</v>
      </c>
    </row>
    <row r="51" spans="1:15" ht="21" customHeight="1">
      <c r="A51" s="337"/>
      <c r="B51" s="65" t="s">
        <v>104</v>
      </c>
      <c r="C51" s="44"/>
      <c r="D51" s="44" t="s">
        <v>32</v>
      </c>
      <c r="E51" s="44" t="s">
        <v>58</v>
      </c>
      <c r="F51" s="44">
        <v>190</v>
      </c>
      <c r="G51" s="44">
        <v>78</v>
      </c>
      <c r="H51" s="44">
        <v>3</v>
      </c>
      <c r="I51" s="50">
        <f t="shared" si="0"/>
        <v>44460</v>
      </c>
      <c r="J51" s="50"/>
      <c r="K51" s="66">
        <v>0.3</v>
      </c>
      <c r="L51" s="66">
        <f t="shared" si="1"/>
        <v>13338</v>
      </c>
      <c r="M51" s="219">
        <v>1710</v>
      </c>
      <c r="N51" s="220"/>
      <c r="O51" s="66" t="s">
        <v>205</v>
      </c>
    </row>
    <row r="52" spans="1:15" ht="19.5" customHeight="1">
      <c r="A52" s="337"/>
      <c r="B52" s="65" t="s">
        <v>59</v>
      </c>
      <c r="C52" s="44"/>
      <c r="D52" s="44" t="s">
        <v>32</v>
      </c>
      <c r="E52" s="44" t="s">
        <v>58</v>
      </c>
      <c r="F52" s="44">
        <v>4</v>
      </c>
      <c r="G52" s="44">
        <v>1250</v>
      </c>
      <c r="H52" s="44">
        <v>1</v>
      </c>
      <c r="I52" s="50">
        <f t="shared" si="0"/>
        <v>5000</v>
      </c>
      <c r="J52" s="50"/>
      <c r="K52" s="66">
        <v>0.2</v>
      </c>
      <c r="L52" s="66">
        <f t="shared" si="1"/>
        <v>1000</v>
      </c>
      <c r="M52" s="66"/>
      <c r="N52" s="66"/>
      <c r="O52" s="66" t="s">
        <v>205</v>
      </c>
    </row>
    <row r="53" spans="1:15" ht="16.5" customHeight="1">
      <c r="A53" s="337"/>
      <c r="B53" s="65" t="s">
        <v>67</v>
      </c>
      <c r="C53" s="44"/>
      <c r="D53" s="44" t="s">
        <v>32</v>
      </c>
      <c r="E53" s="44" t="s">
        <v>58</v>
      </c>
      <c r="F53" s="44">
        <v>6</v>
      </c>
      <c r="G53" s="44">
        <v>800</v>
      </c>
      <c r="H53" s="44">
        <v>1</v>
      </c>
      <c r="I53" s="50">
        <f t="shared" si="0"/>
        <v>4800</v>
      </c>
      <c r="J53" s="50"/>
      <c r="K53" s="66">
        <v>0.1</v>
      </c>
      <c r="L53" s="66">
        <f t="shared" si="1"/>
        <v>480</v>
      </c>
      <c r="M53" s="66"/>
      <c r="N53" s="66"/>
      <c r="O53" s="143" t="s">
        <v>206</v>
      </c>
    </row>
    <row r="54" spans="1:15" ht="18" customHeight="1">
      <c r="A54" s="337"/>
      <c r="B54" s="65" t="s">
        <v>168</v>
      </c>
      <c r="C54" s="44"/>
      <c r="D54" s="44" t="s">
        <v>32</v>
      </c>
      <c r="E54" s="44" t="s">
        <v>91</v>
      </c>
      <c r="F54" s="44">
        <v>1</v>
      </c>
      <c r="G54" s="44">
        <v>2500</v>
      </c>
      <c r="H54" s="44">
        <v>1</v>
      </c>
      <c r="I54" s="50">
        <f t="shared" si="0"/>
        <v>2500</v>
      </c>
      <c r="J54" s="50"/>
      <c r="K54" s="66">
        <v>0.5</v>
      </c>
      <c r="L54" s="66">
        <f t="shared" si="1"/>
        <v>1250</v>
      </c>
      <c r="M54" s="66"/>
      <c r="N54" s="66"/>
      <c r="O54" s="143" t="s">
        <v>207</v>
      </c>
    </row>
    <row r="55" spans="1:15" ht="14.25" customHeight="1">
      <c r="A55" s="337"/>
      <c r="B55" s="59"/>
      <c r="C55" s="59"/>
      <c r="D55" s="59"/>
      <c r="E55" s="59" t="s">
        <v>0</v>
      </c>
      <c r="F55" s="59"/>
      <c r="G55" s="59"/>
      <c r="H55" s="67"/>
      <c r="I55" s="52">
        <f>SUM(I48:I54)</f>
        <v>78660</v>
      </c>
      <c r="J55" s="52"/>
      <c r="K55" s="54"/>
      <c r="L55" s="52">
        <f>L48+L49+L50+L51+L52+L53+L54</f>
        <v>21748</v>
      </c>
      <c r="M55" s="52"/>
      <c r="N55" s="52"/>
      <c r="O55" s="54"/>
    </row>
    <row r="56" spans="1:15" ht="15" customHeight="1">
      <c r="A56" s="335" t="s">
        <v>111</v>
      </c>
      <c r="B56" s="44" t="s">
        <v>56</v>
      </c>
      <c r="C56" s="44"/>
      <c r="D56" s="44" t="s">
        <v>32</v>
      </c>
      <c r="E56" s="44" t="s">
        <v>91</v>
      </c>
      <c r="F56" s="44">
        <v>3</v>
      </c>
      <c r="G56" s="44">
        <v>3000</v>
      </c>
      <c r="H56" s="44">
        <v>1</v>
      </c>
      <c r="I56" s="50">
        <f>F56*G56*H56</f>
        <v>9000</v>
      </c>
      <c r="J56" s="50"/>
      <c r="K56" s="50">
        <v>0.3</v>
      </c>
      <c r="L56" s="45">
        <f>I56*K56</f>
        <v>2700</v>
      </c>
      <c r="M56" s="45"/>
      <c r="N56" s="45"/>
      <c r="O56" s="58" t="s">
        <v>208</v>
      </c>
    </row>
    <row r="57" spans="1:15" ht="19.5" customHeight="1">
      <c r="A57" s="335"/>
      <c r="B57" s="44" t="s">
        <v>146</v>
      </c>
      <c r="C57" s="44"/>
      <c r="D57" s="44" t="s">
        <v>32</v>
      </c>
      <c r="E57" s="58" t="s">
        <v>91</v>
      </c>
      <c r="F57" s="58">
        <v>2</v>
      </c>
      <c r="G57" s="58">
        <v>15000</v>
      </c>
      <c r="H57" s="58">
        <v>1</v>
      </c>
      <c r="I57" s="50">
        <f>F57*G57*H57</f>
        <v>30000</v>
      </c>
      <c r="J57" s="50"/>
      <c r="K57" s="50">
        <v>0.1</v>
      </c>
      <c r="L57" s="45">
        <f>I57*K57</f>
        <v>3000</v>
      </c>
      <c r="M57" s="45"/>
      <c r="N57" s="45"/>
      <c r="O57" s="58" t="s">
        <v>244</v>
      </c>
    </row>
    <row r="58" spans="1:15" ht="21" customHeight="1">
      <c r="A58" s="335"/>
      <c r="B58" s="59"/>
      <c r="C58" s="59"/>
      <c r="D58" s="59"/>
      <c r="E58" s="59" t="s">
        <v>0</v>
      </c>
      <c r="F58" s="59"/>
      <c r="G58" s="59"/>
      <c r="H58" s="67"/>
      <c r="I58" s="52">
        <f>SUM(I56:I57)</f>
        <v>39000</v>
      </c>
      <c r="J58" s="52"/>
      <c r="K58" s="54"/>
      <c r="L58" s="52">
        <f>L56+L57</f>
        <v>5700</v>
      </c>
      <c r="M58" s="52"/>
      <c r="N58" s="52"/>
      <c r="O58" s="54"/>
    </row>
    <row r="59" spans="1:16" s="2" customFormat="1" ht="31.5" customHeight="1">
      <c r="A59" s="342" t="s">
        <v>86</v>
      </c>
      <c r="B59" s="343"/>
      <c r="C59" s="343"/>
      <c r="D59" s="343"/>
      <c r="E59" s="343"/>
      <c r="F59" s="343"/>
      <c r="G59" s="343"/>
      <c r="H59" s="343"/>
      <c r="I59" s="343"/>
      <c r="J59" s="343"/>
      <c r="K59" s="343"/>
      <c r="L59" s="343"/>
      <c r="M59" s="343"/>
      <c r="N59" s="343"/>
      <c r="O59" s="343"/>
      <c r="P59" s="7"/>
    </row>
    <row r="60" spans="1:17" s="2" customFormat="1" ht="51" customHeight="1">
      <c r="A60" s="363" t="s">
        <v>87</v>
      </c>
      <c r="B60" s="229" t="s">
        <v>116</v>
      </c>
      <c r="C60" s="230"/>
      <c r="D60" s="230" t="s">
        <v>32</v>
      </c>
      <c r="E60" s="231" t="s">
        <v>91</v>
      </c>
      <c r="F60" s="231">
        <v>1</v>
      </c>
      <c r="G60" s="231">
        <v>2500</v>
      </c>
      <c r="H60" s="231">
        <v>1</v>
      </c>
      <c r="I60" s="232">
        <f>F60*G60*H60</f>
        <v>2500</v>
      </c>
      <c r="J60" s="232">
        <v>0</v>
      </c>
      <c r="K60" s="233">
        <v>0.5</v>
      </c>
      <c r="L60" s="232">
        <f>I60*K60</f>
        <v>1250</v>
      </c>
      <c r="M60" s="232"/>
      <c r="N60" s="232"/>
      <c r="O60" s="234" t="s">
        <v>343</v>
      </c>
      <c r="P60" s="235"/>
      <c r="Q60" s="235"/>
    </row>
    <row r="61" spans="1:17" s="2" customFormat="1" ht="39" customHeight="1">
      <c r="A61" s="364"/>
      <c r="B61" s="229" t="s">
        <v>117</v>
      </c>
      <c r="C61" s="230"/>
      <c r="D61" s="230" t="s">
        <v>32</v>
      </c>
      <c r="E61" s="231" t="s">
        <v>91</v>
      </c>
      <c r="F61" s="231">
        <v>1</v>
      </c>
      <c r="G61" s="231">
        <v>6000</v>
      </c>
      <c r="H61" s="231">
        <v>1</v>
      </c>
      <c r="I61" s="232">
        <f>F61*G61*H61</f>
        <v>6000</v>
      </c>
      <c r="J61" s="232">
        <v>0</v>
      </c>
      <c r="K61" s="233">
        <v>0.2</v>
      </c>
      <c r="L61" s="232">
        <f>I61*K61</f>
        <v>1200</v>
      </c>
      <c r="M61" s="232"/>
      <c r="N61" s="232"/>
      <c r="O61" s="234" t="s">
        <v>343</v>
      </c>
      <c r="P61" s="235"/>
      <c r="Q61" s="235"/>
    </row>
    <row r="62" spans="1:17" s="2" customFormat="1" ht="31.5" customHeight="1">
      <c r="A62" s="236"/>
      <c r="B62" s="229" t="s">
        <v>184</v>
      </c>
      <c r="C62" s="230"/>
      <c r="D62" s="230" t="s">
        <v>32</v>
      </c>
      <c r="E62" s="231" t="s">
        <v>91</v>
      </c>
      <c r="F62" s="231">
        <v>1</v>
      </c>
      <c r="G62" s="231">
        <v>6000</v>
      </c>
      <c r="H62" s="231">
        <v>1</v>
      </c>
      <c r="I62" s="232">
        <f>F62*G62*H62</f>
        <v>6000</v>
      </c>
      <c r="J62" s="232">
        <v>0</v>
      </c>
      <c r="K62" s="233">
        <v>0.2</v>
      </c>
      <c r="L62" s="232">
        <f>I62*K62</f>
        <v>1200</v>
      </c>
      <c r="M62" s="232"/>
      <c r="N62" s="232"/>
      <c r="O62" s="234" t="s">
        <v>343</v>
      </c>
      <c r="P62" s="235"/>
      <c r="Q62" s="235"/>
    </row>
    <row r="63" spans="1:17" s="2" customFormat="1" ht="17.25" customHeight="1">
      <c r="A63" s="236"/>
      <c r="B63" s="237"/>
      <c r="C63" s="237"/>
      <c r="D63" s="237"/>
      <c r="E63" s="237" t="s">
        <v>0</v>
      </c>
      <c r="F63" s="237"/>
      <c r="G63" s="237"/>
      <c r="H63" s="238"/>
      <c r="I63" s="239">
        <f>SUM(I60:I62)</f>
        <v>14500</v>
      </c>
      <c r="J63" s="239">
        <f>SUM(J60:J62)</f>
        <v>0</v>
      </c>
      <c r="K63" s="240"/>
      <c r="L63" s="239">
        <f>SUM(L60:L62)</f>
        <v>3650</v>
      </c>
      <c r="M63" s="239"/>
      <c r="N63" s="239"/>
      <c r="O63" s="240"/>
      <c r="P63" s="235"/>
      <c r="Q63" s="235"/>
    </row>
    <row r="64" spans="1:17" s="2" customFormat="1" ht="50.25" customHeight="1">
      <c r="A64" s="366" t="s">
        <v>88</v>
      </c>
      <c r="B64" s="229" t="s">
        <v>144</v>
      </c>
      <c r="C64" s="230"/>
      <c r="D64" s="230" t="s">
        <v>32</v>
      </c>
      <c r="E64" s="231" t="s">
        <v>91</v>
      </c>
      <c r="F64" s="231">
        <v>1</v>
      </c>
      <c r="G64" s="231">
        <v>2500</v>
      </c>
      <c r="H64" s="231">
        <v>1</v>
      </c>
      <c r="I64" s="232">
        <f>F64*G64*H64</f>
        <v>2500</v>
      </c>
      <c r="J64" s="232">
        <v>0</v>
      </c>
      <c r="K64" s="233">
        <v>0.2</v>
      </c>
      <c r="L64" s="232">
        <f>I64*K64</f>
        <v>500</v>
      </c>
      <c r="M64" s="232"/>
      <c r="N64" s="232"/>
      <c r="O64" s="234" t="s">
        <v>344</v>
      </c>
      <c r="P64" s="235"/>
      <c r="Q64" s="235"/>
    </row>
    <row r="65" spans="1:17" s="2" customFormat="1" ht="48" customHeight="1">
      <c r="A65" s="367"/>
      <c r="B65" s="229" t="s">
        <v>145</v>
      </c>
      <c r="C65" s="230"/>
      <c r="D65" s="230" t="s">
        <v>32</v>
      </c>
      <c r="E65" s="231" t="s">
        <v>91</v>
      </c>
      <c r="F65" s="231">
        <v>1</v>
      </c>
      <c r="G65" s="231">
        <v>2500</v>
      </c>
      <c r="H65" s="231">
        <v>1</v>
      </c>
      <c r="I65" s="232">
        <f>F65*G65*H65</f>
        <v>2500</v>
      </c>
      <c r="J65" s="232">
        <v>0</v>
      </c>
      <c r="K65" s="233">
        <v>0.2</v>
      </c>
      <c r="L65" s="232">
        <f>I65*K65</f>
        <v>500</v>
      </c>
      <c r="M65" s="232"/>
      <c r="N65" s="232"/>
      <c r="O65" s="234" t="s">
        <v>345</v>
      </c>
      <c r="P65" s="235"/>
      <c r="Q65" s="235"/>
    </row>
    <row r="66" spans="1:17" s="2" customFormat="1" ht="50.25" customHeight="1">
      <c r="A66" s="368"/>
      <c r="B66" s="229" t="s">
        <v>159</v>
      </c>
      <c r="C66" s="230"/>
      <c r="D66" s="230" t="s">
        <v>32</v>
      </c>
      <c r="E66" s="231" t="s">
        <v>91</v>
      </c>
      <c r="F66" s="231">
        <v>1</v>
      </c>
      <c r="G66" s="231">
        <v>2500</v>
      </c>
      <c r="H66" s="231">
        <v>1</v>
      </c>
      <c r="I66" s="232">
        <f>F66*G66*H66</f>
        <v>2500</v>
      </c>
      <c r="J66" s="232">
        <v>0</v>
      </c>
      <c r="K66" s="233">
        <v>0.2</v>
      </c>
      <c r="L66" s="232">
        <f>I66*K66</f>
        <v>500</v>
      </c>
      <c r="M66" s="232"/>
      <c r="N66" s="232"/>
      <c r="O66" s="234" t="s">
        <v>346</v>
      </c>
      <c r="P66" s="235"/>
      <c r="Q66" s="235"/>
    </row>
    <row r="67" spans="1:15" s="2" customFormat="1" ht="25.5" customHeight="1">
      <c r="A67" s="72"/>
      <c r="B67" s="59"/>
      <c r="C67" s="59"/>
      <c r="D67" s="59"/>
      <c r="E67" s="59" t="s">
        <v>0</v>
      </c>
      <c r="F67" s="59"/>
      <c r="G67" s="59"/>
      <c r="H67" s="67"/>
      <c r="I67" s="52">
        <f>SUM(I64:I66)</f>
        <v>7500</v>
      </c>
      <c r="J67" s="52">
        <v>0</v>
      </c>
      <c r="K67" s="54"/>
      <c r="L67" s="52">
        <f>L64+L65+L66</f>
        <v>1500</v>
      </c>
      <c r="M67" s="52"/>
      <c r="N67" s="52"/>
      <c r="O67" s="54"/>
    </row>
    <row r="68" spans="1:15" s="2" customFormat="1" ht="30" customHeight="1">
      <c r="A68" s="73" t="s">
        <v>89</v>
      </c>
      <c r="B68" s="170"/>
      <c r="C68" s="74"/>
      <c r="D68" s="74"/>
      <c r="E68" s="75"/>
      <c r="F68" s="75"/>
      <c r="G68" s="75"/>
      <c r="H68" s="76"/>
      <c r="I68" s="77"/>
      <c r="J68" s="77"/>
      <c r="K68" s="77"/>
      <c r="L68" s="157"/>
      <c r="M68" s="157"/>
      <c r="N68" s="157"/>
      <c r="O68" s="77"/>
    </row>
    <row r="69" spans="1:15" s="2" customFormat="1" ht="34.5" customHeight="1">
      <c r="A69" s="336" t="s">
        <v>90</v>
      </c>
      <c r="B69" s="48" t="s">
        <v>112</v>
      </c>
      <c r="C69" s="64"/>
      <c r="D69" s="64" t="s">
        <v>32</v>
      </c>
      <c r="E69" s="65" t="s">
        <v>91</v>
      </c>
      <c r="F69" s="65">
        <v>3</v>
      </c>
      <c r="G69" s="65">
        <v>0</v>
      </c>
      <c r="H69" s="65">
        <v>3</v>
      </c>
      <c r="I69" s="66">
        <f>F69*G69*H69</f>
        <v>0</v>
      </c>
      <c r="J69" s="66"/>
      <c r="K69" s="68">
        <v>0</v>
      </c>
      <c r="L69" s="66">
        <f>I69*K69</f>
        <v>0</v>
      </c>
      <c r="M69" s="66"/>
      <c r="N69" s="66"/>
      <c r="O69" s="68"/>
    </row>
    <row r="70" spans="1:15" s="2" customFormat="1" ht="25.5" customHeight="1">
      <c r="A70" s="337"/>
      <c r="B70" s="48" t="s">
        <v>113</v>
      </c>
      <c r="C70" s="64"/>
      <c r="D70" s="64" t="s">
        <v>32</v>
      </c>
      <c r="E70" s="65" t="s">
        <v>91</v>
      </c>
      <c r="F70" s="65">
        <v>1</v>
      </c>
      <c r="G70" s="65">
        <v>30000</v>
      </c>
      <c r="H70" s="65">
        <v>1</v>
      </c>
      <c r="I70" s="66">
        <f>F70*G70*H70</f>
        <v>30000</v>
      </c>
      <c r="J70" s="66"/>
      <c r="K70" s="66">
        <v>0.03333333333333333</v>
      </c>
      <c r="L70" s="66">
        <f>I70*K70</f>
        <v>1000</v>
      </c>
      <c r="M70" s="66"/>
      <c r="N70" s="66"/>
      <c r="O70" s="143" t="s">
        <v>211</v>
      </c>
    </row>
    <row r="71" spans="1:15" s="2" customFormat="1" ht="22.5" customHeight="1">
      <c r="A71" s="337"/>
      <c r="B71" s="48" t="s">
        <v>114</v>
      </c>
      <c r="C71" s="64"/>
      <c r="D71" s="64" t="s">
        <v>32</v>
      </c>
      <c r="E71" s="65" t="s">
        <v>91</v>
      </c>
      <c r="F71" s="65">
        <v>1</v>
      </c>
      <c r="G71" s="65">
        <v>2500</v>
      </c>
      <c r="H71" s="65">
        <v>1</v>
      </c>
      <c r="I71" s="66">
        <f>F71*G71*H71</f>
        <v>2500</v>
      </c>
      <c r="J71" s="66"/>
      <c r="K71" s="66">
        <v>0.03333333333333333</v>
      </c>
      <c r="L71" s="66">
        <f>I71*K71</f>
        <v>83.33333333333333</v>
      </c>
      <c r="M71" s="66"/>
      <c r="N71" s="66"/>
      <c r="O71" s="143" t="s">
        <v>209</v>
      </c>
    </row>
    <row r="72" spans="1:15" s="2" customFormat="1" ht="12.75" customHeight="1">
      <c r="A72" s="338"/>
      <c r="B72" s="59"/>
      <c r="C72" s="59"/>
      <c r="D72" s="59"/>
      <c r="E72" s="59" t="s">
        <v>0</v>
      </c>
      <c r="F72" s="59"/>
      <c r="G72" s="59"/>
      <c r="H72" s="59"/>
      <c r="I72" s="52">
        <f>SUM(I69:I71)</f>
        <v>32500</v>
      </c>
      <c r="J72" s="52"/>
      <c r="K72" s="54"/>
      <c r="L72" s="52">
        <f>SUM(L69:L71)</f>
        <v>1083.3333333333333</v>
      </c>
      <c r="M72" s="52"/>
      <c r="N72" s="52"/>
      <c r="O72" s="54"/>
    </row>
    <row r="73" spans="1:15" s="2" customFormat="1" ht="44.25" customHeight="1">
      <c r="A73" s="336" t="s">
        <v>92</v>
      </c>
      <c r="B73" s="65" t="s">
        <v>102</v>
      </c>
      <c r="C73" s="64"/>
      <c r="D73" s="64" t="s">
        <v>32</v>
      </c>
      <c r="E73" s="65" t="s">
        <v>58</v>
      </c>
      <c r="F73" s="65">
        <v>1</v>
      </c>
      <c r="G73" s="65">
        <v>10000</v>
      </c>
      <c r="H73" s="65">
        <v>1</v>
      </c>
      <c r="I73" s="66">
        <f>H73*G73*F73</f>
        <v>10000</v>
      </c>
      <c r="J73" s="66"/>
      <c r="K73" s="66">
        <v>0.1</v>
      </c>
      <c r="L73" s="66">
        <f>I73*K73</f>
        <v>1000</v>
      </c>
      <c r="M73" s="66"/>
      <c r="N73" s="66"/>
      <c r="O73" s="143" t="s">
        <v>210</v>
      </c>
    </row>
    <row r="74" spans="1:15" s="2" customFormat="1" ht="30" customHeight="1">
      <c r="A74" s="337"/>
      <c r="B74" s="65" t="s">
        <v>103</v>
      </c>
      <c r="C74" s="64"/>
      <c r="D74" s="64" t="s">
        <v>32</v>
      </c>
      <c r="E74" s="65" t="s">
        <v>58</v>
      </c>
      <c r="F74" s="65">
        <v>1</v>
      </c>
      <c r="G74" s="65">
        <v>6100</v>
      </c>
      <c r="H74" s="65">
        <v>1</v>
      </c>
      <c r="I74" s="66">
        <f>H74*G74*F74</f>
        <v>6100</v>
      </c>
      <c r="J74" s="66"/>
      <c r="K74" s="66">
        <v>0.1</v>
      </c>
      <c r="L74" s="66">
        <f>I74*K74</f>
        <v>610</v>
      </c>
      <c r="M74" s="66"/>
      <c r="N74" s="66"/>
      <c r="O74" s="143" t="s">
        <v>212</v>
      </c>
    </row>
    <row r="75" spans="1:15" s="2" customFormat="1" ht="23.25" customHeight="1">
      <c r="A75" s="338"/>
      <c r="B75" s="59"/>
      <c r="C75" s="59"/>
      <c r="D75" s="59"/>
      <c r="E75" s="59" t="s">
        <v>0</v>
      </c>
      <c r="F75" s="59"/>
      <c r="G75" s="59"/>
      <c r="H75" s="59"/>
      <c r="I75" s="52">
        <f>SUM(I73:I74)</f>
        <v>16100</v>
      </c>
      <c r="J75" s="52"/>
      <c r="K75" s="52"/>
      <c r="L75" s="52">
        <f>L73+L74</f>
        <v>1610</v>
      </c>
      <c r="M75" s="52"/>
      <c r="N75" s="52"/>
      <c r="O75" s="54"/>
    </row>
    <row r="76" spans="1:15" s="2" customFormat="1" ht="30" customHeight="1">
      <c r="A76" s="336" t="s">
        <v>93</v>
      </c>
      <c r="B76" s="65" t="s">
        <v>94</v>
      </c>
      <c r="C76" s="64"/>
      <c r="D76" s="64" t="s">
        <v>32</v>
      </c>
      <c r="E76" s="65" t="s">
        <v>58</v>
      </c>
      <c r="F76" s="65">
        <v>1</v>
      </c>
      <c r="G76" s="65">
        <v>18000</v>
      </c>
      <c r="H76" s="65">
        <v>1</v>
      </c>
      <c r="I76" s="66">
        <f>H76*G76*F76</f>
        <v>18000</v>
      </c>
      <c r="J76" s="66"/>
      <c r="K76" s="66">
        <v>0.1</v>
      </c>
      <c r="L76" s="66">
        <f>I76*K76</f>
        <v>1800</v>
      </c>
      <c r="M76" s="66"/>
      <c r="N76" s="66"/>
      <c r="O76" s="143" t="s">
        <v>213</v>
      </c>
    </row>
    <row r="77" spans="1:15" s="2" customFormat="1" ht="28.5" customHeight="1">
      <c r="A77" s="338"/>
      <c r="B77" s="59"/>
      <c r="C77" s="59"/>
      <c r="D77" s="59"/>
      <c r="E77" s="59" t="s">
        <v>0</v>
      </c>
      <c r="F77" s="59"/>
      <c r="G77" s="59"/>
      <c r="H77" s="59"/>
      <c r="I77" s="52">
        <f>SUM(I76)</f>
        <v>18000</v>
      </c>
      <c r="J77" s="52"/>
      <c r="K77" s="52"/>
      <c r="L77" s="52">
        <f>L76</f>
        <v>1800</v>
      </c>
      <c r="M77" s="52"/>
      <c r="N77" s="52"/>
      <c r="O77" s="54"/>
    </row>
    <row r="78" spans="1:15" s="2" customFormat="1" ht="39.75" customHeight="1">
      <c r="A78" s="336" t="s">
        <v>95</v>
      </c>
      <c r="B78" s="65" t="s">
        <v>115</v>
      </c>
      <c r="C78" s="64"/>
      <c r="D78" s="64" t="s">
        <v>32</v>
      </c>
      <c r="E78" s="65" t="s">
        <v>58</v>
      </c>
      <c r="F78" s="65">
        <v>1</v>
      </c>
      <c r="G78" s="65">
        <v>9000</v>
      </c>
      <c r="H78" s="65">
        <v>1</v>
      </c>
      <c r="I78" s="66">
        <f>H78*G78*F78</f>
        <v>9000</v>
      </c>
      <c r="J78" s="66"/>
      <c r="K78" s="66">
        <v>0.1</v>
      </c>
      <c r="L78" s="66">
        <f>I78*K78</f>
        <v>900</v>
      </c>
      <c r="M78" s="66"/>
      <c r="N78" s="66"/>
      <c r="O78" s="143" t="s">
        <v>214</v>
      </c>
    </row>
    <row r="79" spans="1:15" s="2" customFormat="1" ht="21" customHeight="1">
      <c r="A79" s="337"/>
      <c r="B79" s="46" t="s">
        <v>163</v>
      </c>
      <c r="C79" s="64"/>
      <c r="D79" s="64" t="s">
        <v>32</v>
      </c>
      <c r="E79" s="65" t="s">
        <v>58</v>
      </c>
      <c r="F79" s="65">
        <v>1</v>
      </c>
      <c r="G79" s="65">
        <v>11100</v>
      </c>
      <c r="H79" s="65">
        <v>1</v>
      </c>
      <c r="I79" s="66">
        <f>H79*G79*F79</f>
        <v>11100</v>
      </c>
      <c r="J79" s="66"/>
      <c r="K79" s="66">
        <v>0.1</v>
      </c>
      <c r="L79" s="66">
        <f>I79*K79</f>
        <v>1110</v>
      </c>
      <c r="M79" s="66"/>
      <c r="N79" s="66"/>
      <c r="O79" s="143" t="s">
        <v>215</v>
      </c>
    </row>
    <row r="80" spans="1:15" s="2" customFormat="1" ht="25.5" customHeight="1">
      <c r="A80" s="337"/>
      <c r="B80" s="46" t="s">
        <v>164</v>
      </c>
      <c r="C80" s="64"/>
      <c r="D80" s="64" t="s">
        <v>32</v>
      </c>
      <c r="E80" s="65" t="s">
        <v>58</v>
      </c>
      <c r="F80" s="65">
        <v>4</v>
      </c>
      <c r="G80" s="65">
        <v>1700</v>
      </c>
      <c r="H80" s="65">
        <v>1</v>
      </c>
      <c r="I80" s="66">
        <f>H80*G80*F80</f>
        <v>6800</v>
      </c>
      <c r="J80" s="66"/>
      <c r="K80" s="66">
        <v>0.1</v>
      </c>
      <c r="L80" s="66">
        <f>I80*K80</f>
        <v>680</v>
      </c>
      <c r="M80" s="66"/>
      <c r="N80" s="66"/>
      <c r="O80" s="143" t="s">
        <v>216</v>
      </c>
    </row>
    <row r="81" spans="1:15" s="2" customFormat="1" ht="26.25" customHeight="1">
      <c r="A81" s="338"/>
      <c r="B81" s="59"/>
      <c r="C81" s="59"/>
      <c r="D81" s="59"/>
      <c r="E81" s="59" t="s">
        <v>0</v>
      </c>
      <c r="F81" s="59"/>
      <c r="G81" s="59"/>
      <c r="H81" s="59"/>
      <c r="I81" s="52">
        <f>SUM(I78:I80)</f>
        <v>26900</v>
      </c>
      <c r="J81" s="52"/>
      <c r="K81" s="54"/>
      <c r="L81" s="52">
        <f>L78+L79+L80</f>
        <v>2690</v>
      </c>
      <c r="M81" s="52"/>
      <c r="N81" s="52"/>
      <c r="O81" s="54"/>
    </row>
    <row r="82" spans="1:15" s="7" customFormat="1" ht="27.75" customHeight="1">
      <c r="A82" s="347" t="s">
        <v>35</v>
      </c>
      <c r="B82" s="348"/>
      <c r="C82" s="60"/>
      <c r="D82" s="60"/>
      <c r="E82" s="61"/>
      <c r="F82" s="61"/>
      <c r="G82" s="61"/>
      <c r="H82" s="62"/>
      <c r="I82" s="79">
        <f>I81+I77+I75+I72+I67+I63+I58+I55+I47</f>
        <v>301020</v>
      </c>
      <c r="J82" s="79"/>
      <c r="K82" s="63"/>
      <c r="L82" s="79">
        <f>L81+L77+L75+L72+L67+L63+L58+L55+L47</f>
        <v>53353.33333333333</v>
      </c>
      <c r="M82" s="79"/>
      <c r="N82" s="79"/>
      <c r="O82" s="63"/>
    </row>
    <row r="83" spans="1:15" ht="22.5" customHeight="1">
      <c r="A83" s="342" t="s">
        <v>54</v>
      </c>
      <c r="B83" s="343"/>
      <c r="C83" s="343"/>
      <c r="D83" s="343"/>
      <c r="E83" s="343"/>
      <c r="F83" s="343"/>
      <c r="G83" s="343"/>
      <c r="H83" s="343"/>
      <c r="I83" s="343"/>
      <c r="J83" s="343"/>
      <c r="K83" s="343"/>
      <c r="L83" s="343"/>
      <c r="M83" s="343"/>
      <c r="N83" s="343"/>
      <c r="O83" s="343"/>
    </row>
    <row r="84" spans="1:15" ht="15" customHeight="1">
      <c r="A84" s="80" t="s">
        <v>65</v>
      </c>
      <c r="B84" s="74"/>
      <c r="C84" s="74"/>
      <c r="D84" s="74"/>
      <c r="E84" s="74"/>
      <c r="F84" s="74"/>
      <c r="G84" s="74"/>
      <c r="H84" s="74"/>
      <c r="I84" s="74"/>
      <c r="J84" s="292"/>
      <c r="K84" s="74"/>
      <c r="L84" s="74"/>
      <c r="M84" s="216"/>
      <c r="N84" s="216"/>
      <c r="O84" s="74"/>
    </row>
    <row r="85" spans="1:15" ht="30">
      <c r="A85" s="335" t="s">
        <v>118</v>
      </c>
      <c r="B85" s="44" t="s">
        <v>60</v>
      </c>
      <c r="C85" s="44"/>
      <c r="D85" s="44" t="s">
        <v>32</v>
      </c>
      <c r="E85" s="44" t="s">
        <v>91</v>
      </c>
      <c r="F85" s="44">
        <v>1</v>
      </c>
      <c r="G85" s="44">
        <v>2000</v>
      </c>
      <c r="H85" s="44">
        <v>1</v>
      </c>
      <c r="I85" s="50">
        <f>F85*G85*H85</f>
        <v>2000</v>
      </c>
      <c r="J85" s="50">
        <v>2000</v>
      </c>
      <c r="K85" s="50">
        <v>0.3333333333333333</v>
      </c>
      <c r="L85" s="45">
        <f>I85*K85</f>
        <v>666.6666666666666</v>
      </c>
      <c r="M85" s="45"/>
      <c r="N85" s="45"/>
      <c r="O85" s="45" t="s">
        <v>217</v>
      </c>
    </row>
    <row r="86" spans="1:15" ht="15">
      <c r="A86" s="335"/>
      <c r="B86" s="44" t="s">
        <v>61</v>
      </c>
      <c r="C86" s="44"/>
      <c r="D86" s="44" t="s">
        <v>32</v>
      </c>
      <c r="E86" s="58" t="s">
        <v>91</v>
      </c>
      <c r="F86" s="58">
        <v>1</v>
      </c>
      <c r="G86" s="58">
        <v>1475</v>
      </c>
      <c r="H86" s="58">
        <v>1</v>
      </c>
      <c r="I86" s="50">
        <f>F86*G86*H86</f>
        <v>1475</v>
      </c>
      <c r="J86" s="299">
        <v>1475</v>
      </c>
      <c r="K86" s="50">
        <v>0.3333333333333333</v>
      </c>
      <c r="L86" s="45">
        <f aca="true" t="shared" si="2" ref="L86:L92">I86*K86</f>
        <v>491.66666666666663</v>
      </c>
      <c r="M86" s="45"/>
      <c r="N86" s="45"/>
      <c r="O86" s="45" t="s">
        <v>218</v>
      </c>
    </row>
    <row r="87" spans="1:15" ht="15">
      <c r="A87" s="335"/>
      <c r="B87" s="44" t="s">
        <v>62</v>
      </c>
      <c r="C87" s="44"/>
      <c r="D87" s="44" t="s">
        <v>32</v>
      </c>
      <c r="E87" s="58" t="s">
        <v>91</v>
      </c>
      <c r="F87" s="58">
        <v>12</v>
      </c>
      <c r="G87" s="58">
        <v>150</v>
      </c>
      <c r="H87" s="58">
        <v>1</v>
      </c>
      <c r="I87" s="50">
        <f aca="true" t="shared" si="3" ref="I87:I92">F87*G87*H87</f>
        <v>1800</v>
      </c>
      <c r="J87" s="299">
        <v>1800</v>
      </c>
      <c r="K87" s="50">
        <v>0.3333333333333333</v>
      </c>
      <c r="L87" s="45">
        <f t="shared" si="2"/>
        <v>600</v>
      </c>
      <c r="M87" s="45"/>
      <c r="N87" s="45"/>
      <c r="O87" s="45" t="s">
        <v>219</v>
      </c>
    </row>
    <row r="88" spans="1:15" ht="15">
      <c r="A88" s="335"/>
      <c r="B88" s="44" t="s">
        <v>63</v>
      </c>
      <c r="C88" s="44"/>
      <c r="D88" s="44" t="s">
        <v>32</v>
      </c>
      <c r="E88" s="58" t="s">
        <v>91</v>
      </c>
      <c r="F88" s="58">
        <v>20</v>
      </c>
      <c r="G88" s="58">
        <v>0</v>
      </c>
      <c r="H88" s="58">
        <v>1</v>
      </c>
      <c r="I88" s="50">
        <f t="shared" si="3"/>
        <v>0</v>
      </c>
      <c r="J88" s="50">
        <v>0</v>
      </c>
      <c r="K88" s="50">
        <v>0</v>
      </c>
      <c r="L88" s="45">
        <f t="shared" si="2"/>
        <v>0</v>
      </c>
      <c r="M88" s="45"/>
      <c r="N88" s="45"/>
      <c r="O88" s="45"/>
    </row>
    <row r="89" spans="1:15" ht="15">
      <c r="A89" s="335"/>
      <c r="B89" s="81" t="s">
        <v>119</v>
      </c>
      <c r="C89" s="44"/>
      <c r="D89" s="44" t="s">
        <v>32</v>
      </c>
      <c r="E89" s="58" t="s">
        <v>91</v>
      </c>
      <c r="F89" s="58">
        <v>12</v>
      </c>
      <c r="G89" s="58">
        <v>600</v>
      </c>
      <c r="H89" s="58">
        <v>1</v>
      </c>
      <c r="I89" s="50">
        <f t="shared" si="3"/>
        <v>7200</v>
      </c>
      <c r="J89" s="299">
        <v>7200</v>
      </c>
      <c r="K89" s="50">
        <v>0.4</v>
      </c>
      <c r="L89" s="45">
        <f t="shared" si="2"/>
        <v>2880</v>
      </c>
      <c r="M89" s="45"/>
      <c r="N89" s="45"/>
      <c r="O89" s="45" t="s">
        <v>220</v>
      </c>
    </row>
    <row r="90" spans="1:15" ht="30">
      <c r="A90" s="335"/>
      <c r="B90" s="44" t="s">
        <v>347</v>
      </c>
      <c r="C90" s="44"/>
      <c r="D90" s="44" t="s">
        <v>32</v>
      </c>
      <c r="E90" s="58" t="s">
        <v>91</v>
      </c>
      <c r="F90" s="58">
        <v>200</v>
      </c>
      <c r="G90" s="58">
        <v>150</v>
      </c>
      <c r="H90" s="58">
        <v>1</v>
      </c>
      <c r="I90" s="50">
        <f t="shared" si="3"/>
        <v>30000</v>
      </c>
      <c r="J90" s="299">
        <v>30000</v>
      </c>
      <c r="K90" s="50">
        <v>0.08333333333333333</v>
      </c>
      <c r="L90" s="45">
        <f t="shared" si="2"/>
        <v>2500</v>
      </c>
      <c r="M90" s="45"/>
      <c r="N90" s="45"/>
      <c r="O90" s="58" t="s">
        <v>221</v>
      </c>
    </row>
    <row r="91" spans="1:15" ht="15">
      <c r="A91" s="335"/>
      <c r="B91" s="44" t="s">
        <v>161</v>
      </c>
      <c r="C91" s="44"/>
      <c r="D91" s="44" t="s">
        <v>32</v>
      </c>
      <c r="E91" s="58" t="s">
        <v>91</v>
      </c>
      <c r="F91" s="58">
        <v>280</v>
      </c>
      <c r="G91" s="58">
        <v>150</v>
      </c>
      <c r="H91" s="58">
        <v>1</v>
      </c>
      <c r="I91" s="50">
        <f t="shared" si="3"/>
        <v>42000</v>
      </c>
      <c r="J91" s="50">
        <v>42000</v>
      </c>
      <c r="K91" s="50">
        <v>0.5</v>
      </c>
      <c r="L91" s="45">
        <f t="shared" si="2"/>
        <v>21000</v>
      </c>
      <c r="M91" s="45"/>
      <c r="N91" s="45"/>
      <c r="O91" s="58" t="s">
        <v>222</v>
      </c>
    </row>
    <row r="92" spans="1:15" ht="15">
      <c r="A92" s="335"/>
      <c r="B92" s="82" t="s">
        <v>64</v>
      </c>
      <c r="C92" s="44"/>
      <c r="D92" s="44" t="s">
        <v>32</v>
      </c>
      <c r="E92" s="58" t="s">
        <v>91</v>
      </c>
      <c r="F92" s="58">
        <v>4</v>
      </c>
      <c r="G92" s="58">
        <v>250</v>
      </c>
      <c r="H92" s="58">
        <v>7</v>
      </c>
      <c r="I92" s="50">
        <f t="shared" si="3"/>
        <v>7000</v>
      </c>
      <c r="J92" s="299">
        <v>7000</v>
      </c>
      <c r="K92" s="50">
        <v>0.5</v>
      </c>
      <c r="L92" s="45">
        <f t="shared" si="2"/>
        <v>3500</v>
      </c>
      <c r="M92" s="45"/>
      <c r="N92" s="45"/>
      <c r="O92" s="45" t="s">
        <v>223</v>
      </c>
    </row>
    <row r="93" spans="1:15" ht="23.25" customHeight="1">
      <c r="A93" s="335"/>
      <c r="B93" s="59"/>
      <c r="C93" s="59"/>
      <c r="D93" s="59"/>
      <c r="E93" s="59" t="s">
        <v>0</v>
      </c>
      <c r="F93" s="59"/>
      <c r="G93" s="59"/>
      <c r="H93" s="67"/>
      <c r="I93" s="52">
        <f>SUM(I85:I92)</f>
        <v>91475</v>
      </c>
      <c r="J93" s="239">
        <f>SUM(J85:J92)</f>
        <v>91475</v>
      </c>
      <c r="K93" s="54"/>
      <c r="L93" s="52">
        <f>SUM(L85:L92)</f>
        <v>31638.333333333332</v>
      </c>
      <c r="M93" s="54"/>
      <c r="N93" s="54"/>
      <c r="O93" s="54"/>
    </row>
    <row r="94" spans="1:15" ht="30">
      <c r="A94" s="335" t="s">
        <v>96</v>
      </c>
      <c r="B94" s="48" t="s">
        <v>124</v>
      </c>
      <c r="C94" s="44"/>
      <c r="D94" s="44" t="s">
        <v>32</v>
      </c>
      <c r="E94" s="44" t="s">
        <v>91</v>
      </c>
      <c r="F94" s="44">
        <v>1</v>
      </c>
      <c r="G94" s="44">
        <v>0</v>
      </c>
      <c r="H94" s="44">
        <v>0</v>
      </c>
      <c r="I94" s="50">
        <v>0</v>
      </c>
      <c r="J94" s="50">
        <v>0</v>
      </c>
      <c r="K94" s="50">
        <v>0</v>
      </c>
      <c r="L94" s="45">
        <f>I94*K94</f>
        <v>0</v>
      </c>
      <c r="M94" s="45"/>
      <c r="N94" s="45"/>
      <c r="O94" s="45"/>
    </row>
    <row r="95" spans="1:15" ht="15">
      <c r="A95" s="335"/>
      <c r="B95" s="46" t="s">
        <v>120</v>
      </c>
      <c r="C95" s="44"/>
      <c r="D95" s="44" t="s">
        <v>32</v>
      </c>
      <c r="E95" s="44" t="s">
        <v>91</v>
      </c>
      <c r="F95" s="44">
        <v>25</v>
      </c>
      <c r="G95" s="44">
        <v>100</v>
      </c>
      <c r="H95" s="44">
        <v>1</v>
      </c>
      <c r="I95" s="50">
        <f>F95*G95*H95</f>
        <v>2500</v>
      </c>
      <c r="J95" s="50">
        <v>2500</v>
      </c>
      <c r="K95" s="50">
        <v>0.5</v>
      </c>
      <c r="L95" s="45">
        <f>I95*K95</f>
        <v>1250</v>
      </c>
      <c r="M95" s="45"/>
      <c r="N95" s="45"/>
      <c r="O95" s="45" t="s">
        <v>224</v>
      </c>
    </row>
    <row r="96" spans="1:15" ht="15">
      <c r="A96" s="335"/>
      <c r="B96" s="46" t="s">
        <v>121</v>
      </c>
      <c r="C96" s="44"/>
      <c r="D96" s="44" t="s">
        <v>32</v>
      </c>
      <c r="E96" s="58" t="s">
        <v>91</v>
      </c>
      <c r="F96" s="58">
        <v>16</v>
      </c>
      <c r="G96" s="58">
        <v>300</v>
      </c>
      <c r="H96" s="58">
        <v>1</v>
      </c>
      <c r="I96" s="50">
        <f>F96*G96*H96</f>
        <v>4800</v>
      </c>
      <c r="J96" s="299">
        <v>4800</v>
      </c>
      <c r="K96" s="50">
        <v>0.4</v>
      </c>
      <c r="L96" s="45">
        <f>I96*K96</f>
        <v>1920</v>
      </c>
      <c r="M96" s="45"/>
      <c r="N96" s="45"/>
      <c r="O96" s="45" t="s">
        <v>225</v>
      </c>
    </row>
    <row r="97" spans="1:15" ht="15">
      <c r="A97" s="335"/>
      <c r="B97" s="46" t="s">
        <v>122</v>
      </c>
      <c r="C97" s="44"/>
      <c r="D97" s="44" t="s">
        <v>32</v>
      </c>
      <c r="E97" s="58" t="s">
        <v>91</v>
      </c>
      <c r="F97" s="58">
        <v>28</v>
      </c>
      <c r="G97" s="58">
        <v>75</v>
      </c>
      <c r="H97" s="58">
        <v>1</v>
      </c>
      <c r="I97" s="50">
        <f>F97*G97*H97</f>
        <v>2100</v>
      </c>
      <c r="J97" s="299">
        <v>2100</v>
      </c>
      <c r="K97" s="50">
        <v>0.4</v>
      </c>
      <c r="L97" s="45">
        <f>I97*K97</f>
        <v>840</v>
      </c>
      <c r="M97" s="45"/>
      <c r="N97" s="45"/>
      <c r="O97" s="45" t="s">
        <v>226</v>
      </c>
    </row>
    <row r="98" spans="1:15" ht="15">
      <c r="A98" s="335"/>
      <c r="B98" s="46" t="s">
        <v>123</v>
      </c>
      <c r="C98" s="44"/>
      <c r="D98" s="44" t="s">
        <v>32</v>
      </c>
      <c r="E98" s="58" t="s">
        <v>91</v>
      </c>
      <c r="F98" s="58">
        <v>4</v>
      </c>
      <c r="G98" s="58">
        <v>300</v>
      </c>
      <c r="H98" s="58">
        <v>6</v>
      </c>
      <c r="I98" s="50">
        <f>F98*G98*H98</f>
        <v>7200</v>
      </c>
      <c r="J98" s="50">
        <v>7200</v>
      </c>
      <c r="K98" s="50">
        <v>0.4</v>
      </c>
      <c r="L98" s="45">
        <f>I98*K98</f>
        <v>2880</v>
      </c>
      <c r="M98" s="45"/>
      <c r="N98" s="45"/>
      <c r="O98" s="45" t="s">
        <v>227</v>
      </c>
    </row>
    <row r="99" spans="1:15" ht="20.25" customHeight="1">
      <c r="A99" s="335"/>
      <c r="B99" s="59"/>
      <c r="C99" s="59"/>
      <c r="D99" s="59"/>
      <c r="E99" s="59" t="s">
        <v>0</v>
      </c>
      <c r="F99" s="59"/>
      <c r="G99" s="59"/>
      <c r="H99" s="59"/>
      <c r="I99" s="52">
        <f>SUM(I94:I98)</f>
        <v>16600</v>
      </c>
      <c r="J99" s="52">
        <f>SUM(J94:J98)</f>
        <v>16600</v>
      </c>
      <c r="K99" s="54"/>
      <c r="L99" s="52">
        <f>L94+L95+L96+L97+L98</f>
        <v>6890</v>
      </c>
      <c r="M99" s="52"/>
      <c r="N99" s="52"/>
      <c r="O99" s="54"/>
    </row>
    <row r="100" spans="1:15" s="2" customFormat="1" ht="18" customHeight="1">
      <c r="A100" s="80" t="s">
        <v>97</v>
      </c>
      <c r="B100" s="83"/>
      <c r="C100" s="74"/>
      <c r="D100" s="74"/>
      <c r="E100" s="75"/>
      <c r="F100" s="75"/>
      <c r="G100" s="75"/>
      <c r="H100" s="76"/>
      <c r="I100" s="77"/>
      <c r="J100" s="77"/>
      <c r="K100" s="77"/>
      <c r="L100" s="84"/>
      <c r="M100" s="84"/>
      <c r="N100" s="84"/>
      <c r="O100" s="84"/>
    </row>
    <row r="101" spans="1:15" s="2" customFormat="1" ht="19.5" customHeight="1">
      <c r="A101" s="336" t="s">
        <v>127</v>
      </c>
      <c r="B101" s="78" t="s">
        <v>125</v>
      </c>
      <c r="C101" s="64"/>
      <c r="D101" s="64" t="s">
        <v>32</v>
      </c>
      <c r="E101" s="59" t="s">
        <v>91</v>
      </c>
      <c r="F101" s="65">
        <v>60</v>
      </c>
      <c r="G101" s="65">
        <v>50</v>
      </c>
      <c r="H101" s="65">
        <v>1</v>
      </c>
      <c r="I101" s="66">
        <f>H101*G101*F101</f>
        <v>3000</v>
      </c>
      <c r="J101" s="66">
        <v>3000</v>
      </c>
      <c r="K101" s="66">
        <v>0.5</v>
      </c>
      <c r="L101" s="66">
        <f>I101*K101</f>
        <v>1500</v>
      </c>
      <c r="M101" s="66"/>
      <c r="N101" s="66"/>
      <c r="O101" s="143" t="s">
        <v>228</v>
      </c>
    </row>
    <row r="102" spans="1:15" s="2" customFormat="1" ht="48" customHeight="1">
      <c r="A102" s="337"/>
      <c r="B102" s="44" t="s">
        <v>128</v>
      </c>
      <c r="C102" s="64"/>
      <c r="D102" s="64" t="s">
        <v>32</v>
      </c>
      <c r="E102" s="59" t="s">
        <v>91</v>
      </c>
      <c r="F102" s="65">
        <v>10</v>
      </c>
      <c r="G102" s="65">
        <v>600</v>
      </c>
      <c r="H102" s="65">
        <v>1</v>
      </c>
      <c r="I102" s="66">
        <f aca="true" t="shared" si="4" ref="I102:I109">H102*G102*F102</f>
        <v>6000</v>
      </c>
      <c r="J102" s="66">
        <v>6000</v>
      </c>
      <c r="K102" s="66">
        <v>0.5</v>
      </c>
      <c r="L102" s="66">
        <f aca="true" t="shared" si="5" ref="L102:L109">I102*K102</f>
        <v>3000</v>
      </c>
      <c r="M102" s="66"/>
      <c r="N102" s="66"/>
      <c r="O102" s="143" t="s">
        <v>229</v>
      </c>
    </row>
    <row r="103" spans="1:15" s="2" customFormat="1" ht="30" customHeight="1">
      <c r="A103" s="337"/>
      <c r="B103" s="44" t="s">
        <v>173</v>
      </c>
      <c r="C103" s="64"/>
      <c r="D103" s="64" t="s">
        <v>32</v>
      </c>
      <c r="E103" s="59" t="s">
        <v>91</v>
      </c>
      <c r="F103" s="65">
        <v>1</v>
      </c>
      <c r="G103" s="65">
        <v>12000</v>
      </c>
      <c r="H103" s="65">
        <v>1</v>
      </c>
      <c r="I103" s="66">
        <f t="shared" si="4"/>
        <v>12000</v>
      </c>
      <c r="J103" s="66">
        <v>12000</v>
      </c>
      <c r="K103" s="66">
        <v>0.5</v>
      </c>
      <c r="L103" s="66">
        <f t="shared" si="5"/>
        <v>6000</v>
      </c>
      <c r="M103" s="66"/>
      <c r="N103" s="66"/>
      <c r="O103" s="143" t="s">
        <v>230</v>
      </c>
    </row>
    <row r="104" spans="1:15" s="2" customFormat="1" ht="18.75" customHeight="1">
      <c r="A104" s="337"/>
      <c r="B104" s="44" t="s">
        <v>126</v>
      </c>
      <c r="C104" s="64"/>
      <c r="D104" s="64" t="s">
        <v>32</v>
      </c>
      <c r="E104" s="59" t="s">
        <v>91</v>
      </c>
      <c r="F104" s="65">
        <v>2</v>
      </c>
      <c r="G104" s="65">
        <v>300</v>
      </c>
      <c r="H104" s="65">
        <v>2</v>
      </c>
      <c r="I104" s="66">
        <f t="shared" si="4"/>
        <v>1200</v>
      </c>
      <c r="J104" s="66">
        <v>1200</v>
      </c>
      <c r="K104" s="66">
        <v>0.5</v>
      </c>
      <c r="L104" s="66">
        <f t="shared" si="5"/>
        <v>600</v>
      </c>
      <c r="M104" s="66"/>
      <c r="N104" s="66"/>
      <c r="O104" s="143" t="s">
        <v>231</v>
      </c>
    </row>
    <row r="105" spans="1:15" s="2" customFormat="1" ht="39" customHeight="1">
      <c r="A105" s="337"/>
      <c r="B105" s="48" t="s">
        <v>129</v>
      </c>
      <c r="C105" s="64"/>
      <c r="D105" s="64" t="s">
        <v>32</v>
      </c>
      <c r="E105" s="59" t="s">
        <v>58</v>
      </c>
      <c r="F105" s="65">
        <v>1</v>
      </c>
      <c r="G105" s="65">
        <v>0</v>
      </c>
      <c r="H105" s="65">
        <v>1</v>
      </c>
      <c r="I105" s="66">
        <f t="shared" si="4"/>
        <v>0</v>
      </c>
      <c r="J105" s="66">
        <v>0</v>
      </c>
      <c r="K105" s="66">
        <v>0</v>
      </c>
      <c r="L105" s="66">
        <f t="shared" si="5"/>
        <v>0</v>
      </c>
      <c r="M105" s="66"/>
      <c r="N105" s="66"/>
      <c r="O105" s="143" t="s">
        <v>232</v>
      </c>
    </row>
    <row r="106" spans="1:15" s="2" customFormat="1" ht="19.5" customHeight="1">
      <c r="A106" s="337"/>
      <c r="B106" s="46" t="s">
        <v>130</v>
      </c>
      <c r="C106" s="64"/>
      <c r="D106" s="64" t="s">
        <v>32</v>
      </c>
      <c r="E106" s="59" t="s">
        <v>58</v>
      </c>
      <c r="F106" s="65">
        <v>1</v>
      </c>
      <c r="G106" s="65">
        <v>8500</v>
      </c>
      <c r="H106" s="65">
        <v>1</v>
      </c>
      <c r="I106" s="66">
        <f t="shared" si="4"/>
        <v>8500</v>
      </c>
      <c r="J106" s="66">
        <v>8500</v>
      </c>
      <c r="K106" s="66">
        <v>0.1</v>
      </c>
      <c r="L106" s="66">
        <f t="shared" si="5"/>
        <v>850</v>
      </c>
      <c r="M106" s="66"/>
      <c r="N106" s="66"/>
      <c r="O106" s="143" t="s">
        <v>233</v>
      </c>
    </row>
    <row r="107" spans="1:15" s="2" customFormat="1" ht="18" customHeight="1">
      <c r="A107" s="337"/>
      <c r="B107" s="48" t="s">
        <v>131</v>
      </c>
      <c r="C107" s="64"/>
      <c r="D107" s="64" t="s">
        <v>32</v>
      </c>
      <c r="E107" s="59" t="s">
        <v>58</v>
      </c>
      <c r="F107" s="65">
        <v>4</v>
      </c>
      <c r="G107" s="65">
        <v>1250</v>
      </c>
      <c r="H107" s="65">
        <v>1</v>
      </c>
      <c r="I107" s="66">
        <f t="shared" si="4"/>
        <v>5000</v>
      </c>
      <c r="J107" s="66">
        <v>5000</v>
      </c>
      <c r="K107" s="66">
        <v>0.1</v>
      </c>
      <c r="L107" s="66">
        <f t="shared" si="5"/>
        <v>500</v>
      </c>
      <c r="M107" s="66"/>
      <c r="N107" s="66"/>
      <c r="O107" s="143" t="s">
        <v>234</v>
      </c>
    </row>
    <row r="108" spans="1:15" s="2" customFormat="1" ht="19.5" customHeight="1">
      <c r="A108" s="337"/>
      <c r="B108" s="48" t="s">
        <v>169</v>
      </c>
      <c r="C108" s="64"/>
      <c r="D108" s="64" t="s">
        <v>32</v>
      </c>
      <c r="E108" s="59" t="s">
        <v>171</v>
      </c>
      <c r="F108" s="65">
        <v>1</v>
      </c>
      <c r="G108" s="65">
        <v>17000</v>
      </c>
      <c r="H108" s="65">
        <v>1</v>
      </c>
      <c r="I108" s="66">
        <f t="shared" si="4"/>
        <v>17000</v>
      </c>
      <c r="J108" s="66">
        <v>17000</v>
      </c>
      <c r="K108" s="66">
        <v>0.5</v>
      </c>
      <c r="L108" s="66">
        <f t="shared" si="5"/>
        <v>8500</v>
      </c>
      <c r="M108" s="66"/>
      <c r="N108" s="66"/>
      <c r="O108" s="66" t="s">
        <v>235</v>
      </c>
    </row>
    <row r="109" spans="1:15" s="2" customFormat="1" ht="39.75" customHeight="1">
      <c r="A109" s="337"/>
      <c r="B109" s="48" t="s">
        <v>170</v>
      </c>
      <c r="C109" s="64"/>
      <c r="D109" s="64" t="s">
        <v>32</v>
      </c>
      <c r="E109" s="59" t="s">
        <v>172</v>
      </c>
      <c r="F109" s="65">
        <v>1</v>
      </c>
      <c r="G109" s="65">
        <v>22000</v>
      </c>
      <c r="H109" s="65">
        <v>1</v>
      </c>
      <c r="I109" s="66">
        <f t="shared" si="4"/>
        <v>22000</v>
      </c>
      <c r="J109" s="66">
        <v>22000</v>
      </c>
      <c r="K109" s="66">
        <v>0.5</v>
      </c>
      <c r="L109" s="66">
        <f t="shared" si="5"/>
        <v>11000</v>
      </c>
      <c r="M109" s="66"/>
      <c r="N109" s="66"/>
      <c r="O109" s="143" t="s">
        <v>236</v>
      </c>
    </row>
    <row r="110" spans="1:15" s="2" customFormat="1" ht="18" customHeight="1">
      <c r="A110" s="338"/>
      <c r="B110" s="59"/>
      <c r="C110" s="59"/>
      <c r="D110" s="59"/>
      <c r="E110" s="59" t="s">
        <v>0</v>
      </c>
      <c r="F110" s="59"/>
      <c r="G110" s="59"/>
      <c r="H110" s="59"/>
      <c r="I110" s="52">
        <f>SUM(I101:I109)</f>
        <v>74700</v>
      </c>
      <c r="J110" s="52">
        <f>SUM(J101:J109)</f>
        <v>74700</v>
      </c>
      <c r="K110" s="52"/>
      <c r="L110" s="52">
        <f>SUM(L101:L109)</f>
        <v>31950</v>
      </c>
      <c r="M110" s="52"/>
      <c r="N110" s="52"/>
      <c r="O110" s="54"/>
    </row>
    <row r="111" spans="1:15" s="2" customFormat="1" ht="12" customHeight="1">
      <c r="A111" s="85"/>
      <c r="B111" s="86"/>
      <c r="C111" s="64"/>
      <c r="D111" s="64"/>
      <c r="E111" s="59"/>
      <c r="F111" s="59"/>
      <c r="G111" s="59"/>
      <c r="H111" s="67"/>
      <c r="I111" s="54"/>
      <c r="J111" s="54"/>
      <c r="K111" s="54"/>
      <c r="L111" s="54"/>
      <c r="M111" s="54"/>
      <c r="N111" s="54"/>
      <c r="O111" s="54"/>
    </row>
    <row r="112" spans="1:21" s="18" customFormat="1" ht="23.25" customHeight="1">
      <c r="A112" s="347" t="s">
        <v>36</v>
      </c>
      <c r="B112" s="348"/>
      <c r="C112" s="60"/>
      <c r="D112" s="60"/>
      <c r="E112" s="61"/>
      <c r="F112" s="61"/>
      <c r="G112" s="61"/>
      <c r="H112" s="62"/>
      <c r="I112" s="79">
        <f>I110+I99+I93</f>
        <v>182775</v>
      </c>
      <c r="J112" s="79"/>
      <c r="K112" s="63"/>
      <c r="L112" s="79">
        <f>L93+L99+L110</f>
        <v>70478.33333333333</v>
      </c>
      <c r="M112" s="224">
        <v>66000</v>
      </c>
      <c r="N112" s="79"/>
      <c r="O112" s="63"/>
      <c r="S112" s="19"/>
      <c r="T112" s="19"/>
      <c r="U112" s="19"/>
    </row>
    <row r="113" spans="1:21" s="18" customFormat="1" ht="27.75" customHeight="1">
      <c r="A113" s="347" t="s">
        <v>40</v>
      </c>
      <c r="B113" s="348"/>
      <c r="C113" s="349"/>
      <c r="D113" s="87"/>
      <c r="E113" s="61"/>
      <c r="F113" s="61"/>
      <c r="G113" s="61"/>
      <c r="H113" s="62"/>
      <c r="I113" s="79">
        <f>I112+I82+I40</f>
        <v>718995</v>
      </c>
      <c r="J113" s="79"/>
      <c r="K113" s="203">
        <f>I113/I177</f>
        <v>0.6657366350704998</v>
      </c>
      <c r="L113" s="63"/>
      <c r="M113" s="63"/>
      <c r="N113" s="63"/>
      <c r="O113" s="63"/>
      <c r="P113" s="19"/>
      <c r="Q113" s="19"/>
      <c r="R113" s="19"/>
      <c r="S113" s="19"/>
      <c r="T113" s="19"/>
      <c r="U113" s="19"/>
    </row>
    <row r="114" spans="1:22" s="28" customFormat="1" ht="22.5" customHeight="1">
      <c r="A114" s="371" t="s">
        <v>48</v>
      </c>
      <c r="B114" s="372"/>
      <c r="C114" s="88"/>
      <c r="D114" s="88"/>
      <c r="E114" s="88"/>
      <c r="F114" s="88"/>
      <c r="G114" s="88"/>
      <c r="H114" s="88"/>
      <c r="I114" s="88"/>
      <c r="J114" s="88"/>
      <c r="K114" s="88"/>
      <c r="L114" s="88"/>
      <c r="M114" s="88"/>
      <c r="N114" s="88"/>
      <c r="O114" s="89"/>
      <c r="P114" s="26"/>
      <c r="Q114" s="26"/>
      <c r="R114" s="26"/>
      <c r="S114" s="26"/>
      <c r="T114" s="26"/>
      <c r="U114" s="26"/>
      <c r="V114" s="27"/>
    </row>
    <row r="115" spans="1:22" s="16" customFormat="1" ht="12.75" customHeight="1">
      <c r="A115" s="369" t="s">
        <v>41</v>
      </c>
      <c r="B115" s="370"/>
      <c r="C115" s="370"/>
      <c r="D115" s="90"/>
      <c r="E115" s="90"/>
      <c r="F115" s="90"/>
      <c r="G115" s="90"/>
      <c r="H115" s="90"/>
      <c r="I115" s="90"/>
      <c r="J115" s="293"/>
      <c r="K115" s="90"/>
      <c r="L115" s="90"/>
      <c r="M115" s="217"/>
      <c r="N115" s="217"/>
      <c r="O115" s="91"/>
      <c r="P115" s="20"/>
      <c r="Q115" s="20"/>
      <c r="R115" s="20"/>
      <c r="S115" s="20"/>
      <c r="T115" s="20"/>
      <c r="U115" s="20"/>
      <c r="V115" s="17"/>
    </row>
    <row r="116" spans="1:15" s="7" customFormat="1" ht="30">
      <c r="A116" s="78"/>
      <c r="B116" s="47" t="s">
        <v>249</v>
      </c>
      <c r="C116" s="92"/>
      <c r="D116" s="47" t="s">
        <v>10</v>
      </c>
      <c r="E116" s="93" t="s">
        <v>254</v>
      </c>
      <c r="F116" s="44">
        <v>1</v>
      </c>
      <c r="G116" s="44">
        <v>4240</v>
      </c>
      <c r="H116" s="44">
        <v>12</v>
      </c>
      <c r="I116" s="50">
        <f aca="true" t="shared" si="6" ref="I116:I121">F116*G116*H116</f>
        <v>50880</v>
      </c>
      <c r="J116" s="50"/>
      <c r="K116" s="57"/>
      <c r="L116" s="57"/>
      <c r="M116" s="223">
        <v>12720</v>
      </c>
      <c r="N116" s="57"/>
      <c r="O116" s="156" t="s">
        <v>250</v>
      </c>
    </row>
    <row r="117" spans="1:15" s="7" customFormat="1" ht="15">
      <c r="A117" s="78"/>
      <c r="B117" s="47" t="s">
        <v>162</v>
      </c>
      <c r="C117" s="92"/>
      <c r="D117" s="47" t="s">
        <v>10</v>
      </c>
      <c r="E117" s="93" t="s">
        <v>91</v>
      </c>
      <c r="F117" s="44">
        <v>1</v>
      </c>
      <c r="G117" s="44">
        <v>1500</v>
      </c>
      <c r="H117" s="44">
        <v>12</v>
      </c>
      <c r="I117" s="50">
        <f t="shared" si="6"/>
        <v>18000</v>
      </c>
      <c r="J117" s="50"/>
      <c r="K117" s="57"/>
      <c r="L117" s="57"/>
      <c r="M117" s="223">
        <v>0</v>
      </c>
      <c r="N117" s="57"/>
      <c r="O117" s="50" t="s">
        <v>266</v>
      </c>
    </row>
    <row r="118" spans="1:15" s="7" customFormat="1" ht="15">
      <c r="A118" s="78"/>
      <c r="B118" s="47" t="s">
        <v>166</v>
      </c>
      <c r="C118" s="92"/>
      <c r="D118" s="47" t="s">
        <v>10</v>
      </c>
      <c r="E118" s="93" t="s">
        <v>91</v>
      </c>
      <c r="F118" s="44">
        <v>1</v>
      </c>
      <c r="G118" s="44">
        <v>700</v>
      </c>
      <c r="H118" s="44">
        <v>12</v>
      </c>
      <c r="I118" s="50">
        <f t="shared" si="6"/>
        <v>8400</v>
      </c>
      <c r="J118" s="50"/>
      <c r="K118" s="57"/>
      <c r="L118" s="57"/>
      <c r="M118" s="223">
        <v>2800</v>
      </c>
      <c r="N118" s="57"/>
      <c r="O118" s="50" t="s">
        <v>269</v>
      </c>
    </row>
    <row r="119" spans="1:15" s="7" customFormat="1" ht="15">
      <c r="A119" s="78"/>
      <c r="B119" s="47" t="s">
        <v>139</v>
      </c>
      <c r="C119" s="92"/>
      <c r="D119" s="47" t="s">
        <v>10</v>
      </c>
      <c r="E119" s="93" t="s">
        <v>91</v>
      </c>
      <c r="F119" s="44">
        <v>1</v>
      </c>
      <c r="G119" s="44">
        <v>1300</v>
      </c>
      <c r="H119" s="44">
        <v>8</v>
      </c>
      <c r="I119" s="50">
        <f t="shared" si="6"/>
        <v>10400</v>
      </c>
      <c r="J119" s="50"/>
      <c r="K119" s="57"/>
      <c r="L119" s="57"/>
      <c r="M119" s="223">
        <v>1300</v>
      </c>
      <c r="N119" s="57"/>
      <c r="O119" s="50" t="s">
        <v>267</v>
      </c>
    </row>
    <row r="120" spans="1:15" s="7" customFormat="1" ht="15">
      <c r="A120" s="78"/>
      <c r="B120" s="47" t="s">
        <v>252</v>
      </c>
      <c r="C120" s="92"/>
      <c r="D120" s="47" t="s">
        <v>10</v>
      </c>
      <c r="E120" s="93" t="s">
        <v>143</v>
      </c>
      <c r="F120" s="44">
        <v>1</v>
      </c>
      <c r="G120" s="44">
        <v>3000</v>
      </c>
      <c r="H120" s="44">
        <v>12</v>
      </c>
      <c r="I120" s="50">
        <f t="shared" si="6"/>
        <v>36000</v>
      </c>
      <c r="J120" s="50"/>
      <c r="K120" s="57"/>
      <c r="L120" s="57"/>
      <c r="M120" s="223">
        <v>0</v>
      </c>
      <c r="N120" s="57"/>
      <c r="O120" s="50" t="s">
        <v>268</v>
      </c>
    </row>
    <row r="121" spans="1:15" s="7" customFormat="1" ht="15">
      <c r="A121" s="78"/>
      <c r="B121" s="47" t="s">
        <v>139</v>
      </c>
      <c r="C121" s="92"/>
      <c r="D121" s="47" t="s">
        <v>10</v>
      </c>
      <c r="E121" s="93" t="s">
        <v>143</v>
      </c>
      <c r="F121" s="44">
        <v>1</v>
      </c>
      <c r="G121" s="44">
        <v>1600</v>
      </c>
      <c r="H121" s="44">
        <v>8</v>
      </c>
      <c r="I121" s="50">
        <f t="shared" si="6"/>
        <v>12800</v>
      </c>
      <c r="J121" s="50"/>
      <c r="K121" s="57"/>
      <c r="L121" s="57"/>
      <c r="M121" s="223">
        <v>0</v>
      </c>
      <c r="N121" s="57"/>
      <c r="O121" s="50" t="s">
        <v>270</v>
      </c>
    </row>
    <row r="122" spans="1:15" s="7" customFormat="1" ht="15">
      <c r="A122" s="78"/>
      <c r="B122" s="47" t="s">
        <v>75</v>
      </c>
      <c r="C122" s="92"/>
      <c r="D122" s="47" t="s">
        <v>10</v>
      </c>
      <c r="E122" s="93" t="s">
        <v>58</v>
      </c>
      <c r="F122" s="44">
        <v>1</v>
      </c>
      <c r="G122" s="44">
        <v>1026</v>
      </c>
      <c r="H122" s="44">
        <v>12</v>
      </c>
      <c r="I122" s="50">
        <f>+F122*G122*H122</f>
        <v>12312</v>
      </c>
      <c r="J122" s="50"/>
      <c r="K122" s="57"/>
      <c r="L122" s="57"/>
      <c r="M122" s="221">
        <v>2004.2</v>
      </c>
      <c r="N122" s="220"/>
      <c r="O122" s="50" t="s">
        <v>288</v>
      </c>
    </row>
    <row r="123" spans="1:15" s="7" customFormat="1" ht="15">
      <c r="A123" s="78"/>
      <c r="B123" s="47" t="s">
        <v>76</v>
      </c>
      <c r="C123" s="92"/>
      <c r="D123" s="47" t="s">
        <v>10</v>
      </c>
      <c r="E123" s="93" t="s">
        <v>58</v>
      </c>
      <c r="F123" s="44">
        <v>1</v>
      </c>
      <c r="G123" s="44">
        <v>350</v>
      </c>
      <c r="H123" s="44">
        <v>12</v>
      </c>
      <c r="I123" s="50">
        <f aca="true" t="shared" si="7" ref="I123:I129">+F123*G123*H123</f>
        <v>4200</v>
      </c>
      <c r="J123" s="50"/>
      <c r="K123" s="57"/>
      <c r="L123" s="57"/>
      <c r="M123" s="221">
        <v>1729.48</v>
      </c>
      <c r="N123" s="220"/>
      <c r="O123" s="50" t="s">
        <v>289</v>
      </c>
    </row>
    <row r="124" spans="1:15" s="7" customFormat="1" ht="15">
      <c r="A124" s="78"/>
      <c r="B124" s="47" t="s">
        <v>77</v>
      </c>
      <c r="C124" s="92"/>
      <c r="D124" s="47" t="s">
        <v>10</v>
      </c>
      <c r="E124" s="93" t="s">
        <v>58</v>
      </c>
      <c r="F124" s="44">
        <v>1</v>
      </c>
      <c r="G124" s="44">
        <v>500</v>
      </c>
      <c r="H124" s="44">
        <v>12</v>
      </c>
      <c r="I124" s="50">
        <f t="shared" si="7"/>
        <v>6000</v>
      </c>
      <c r="J124" s="50"/>
      <c r="K124" s="57"/>
      <c r="L124" s="57"/>
      <c r="M124" s="221">
        <v>1913.68</v>
      </c>
      <c r="N124" s="220"/>
      <c r="O124" s="50" t="s">
        <v>290</v>
      </c>
    </row>
    <row r="125" spans="1:15" s="7" customFormat="1" ht="15">
      <c r="A125" s="78"/>
      <c r="B125" s="47" t="s">
        <v>78</v>
      </c>
      <c r="C125" s="92"/>
      <c r="D125" s="47" t="s">
        <v>10</v>
      </c>
      <c r="E125" s="93" t="s">
        <v>58</v>
      </c>
      <c r="F125" s="44">
        <v>1</v>
      </c>
      <c r="G125" s="44">
        <v>2227</v>
      </c>
      <c r="H125" s="44">
        <v>12</v>
      </c>
      <c r="I125" s="50">
        <f t="shared" si="7"/>
        <v>26724</v>
      </c>
      <c r="J125" s="50"/>
      <c r="K125" s="57"/>
      <c r="L125" s="57"/>
      <c r="M125" s="221">
        <v>11928.59</v>
      </c>
      <c r="N125" s="220"/>
      <c r="O125" s="50" t="s">
        <v>291</v>
      </c>
    </row>
    <row r="126" spans="1:15" s="7" customFormat="1" ht="15">
      <c r="A126" s="78"/>
      <c r="B126" s="47" t="s">
        <v>79</v>
      </c>
      <c r="C126" s="92"/>
      <c r="D126" s="47" t="s">
        <v>10</v>
      </c>
      <c r="E126" s="93" t="s">
        <v>58</v>
      </c>
      <c r="F126" s="44">
        <v>1</v>
      </c>
      <c r="G126" s="44">
        <v>781</v>
      </c>
      <c r="H126" s="44">
        <v>12</v>
      </c>
      <c r="I126" s="50">
        <f t="shared" si="7"/>
        <v>9372</v>
      </c>
      <c r="J126" s="50"/>
      <c r="K126" s="57"/>
      <c r="L126" s="57"/>
      <c r="M126" s="221">
        <v>3635.05</v>
      </c>
      <c r="N126" s="220"/>
      <c r="O126" s="50" t="s">
        <v>271</v>
      </c>
    </row>
    <row r="127" spans="1:15" s="7" customFormat="1" ht="15">
      <c r="A127" s="78"/>
      <c r="B127" s="47" t="s">
        <v>80</v>
      </c>
      <c r="C127" s="92"/>
      <c r="D127" s="47" t="s">
        <v>10</v>
      </c>
      <c r="E127" s="93" t="s">
        <v>58</v>
      </c>
      <c r="F127" s="44">
        <v>1</v>
      </c>
      <c r="G127" s="44">
        <v>172</v>
      </c>
      <c r="H127" s="44">
        <v>12</v>
      </c>
      <c r="I127" s="50">
        <f t="shared" si="7"/>
        <v>2064</v>
      </c>
      <c r="J127" s="50"/>
      <c r="K127" s="57"/>
      <c r="L127" s="57"/>
      <c r="M127" s="221">
        <v>0</v>
      </c>
      <c r="N127" s="220"/>
      <c r="O127" s="50" t="s">
        <v>292</v>
      </c>
    </row>
    <row r="128" spans="1:15" s="7" customFormat="1" ht="15">
      <c r="A128" s="78"/>
      <c r="B128" s="47" t="s">
        <v>81</v>
      </c>
      <c r="C128" s="92"/>
      <c r="D128" s="47" t="s">
        <v>10</v>
      </c>
      <c r="E128" s="93" t="s">
        <v>58</v>
      </c>
      <c r="F128" s="44">
        <v>1</v>
      </c>
      <c r="G128" s="44">
        <v>1200</v>
      </c>
      <c r="H128" s="44">
        <v>10</v>
      </c>
      <c r="I128" s="50">
        <f t="shared" si="7"/>
        <v>12000</v>
      </c>
      <c r="J128" s="50"/>
      <c r="K128" s="57"/>
      <c r="L128" s="57"/>
      <c r="M128" s="221">
        <v>2323.88</v>
      </c>
      <c r="N128" s="220"/>
      <c r="O128" s="50" t="s">
        <v>272</v>
      </c>
    </row>
    <row r="129" spans="1:15" s="7" customFormat="1" ht="15">
      <c r="A129" s="78"/>
      <c r="B129" s="47" t="s">
        <v>82</v>
      </c>
      <c r="C129" s="92"/>
      <c r="D129" s="47" t="s">
        <v>10</v>
      </c>
      <c r="E129" s="93" t="s">
        <v>58</v>
      </c>
      <c r="F129" s="44">
        <v>1</v>
      </c>
      <c r="G129" s="44">
        <v>501</v>
      </c>
      <c r="H129" s="44">
        <v>12</v>
      </c>
      <c r="I129" s="50">
        <f t="shared" si="7"/>
        <v>6012</v>
      </c>
      <c r="J129" s="50"/>
      <c r="K129" s="57"/>
      <c r="L129" s="57"/>
      <c r="M129" s="221"/>
      <c r="N129" s="220"/>
      <c r="O129" s="50" t="s">
        <v>293</v>
      </c>
    </row>
    <row r="130" spans="1:15" s="7" customFormat="1" ht="15">
      <c r="A130" s="78"/>
      <c r="B130" s="47"/>
      <c r="C130" s="92"/>
      <c r="D130" s="92"/>
      <c r="E130" s="59" t="s">
        <v>0</v>
      </c>
      <c r="F130" s="59"/>
      <c r="G130" s="59"/>
      <c r="H130" s="59"/>
      <c r="I130" s="52">
        <f>SUM(I116:I129)</f>
        <v>215164</v>
      </c>
      <c r="J130" s="52"/>
      <c r="K130" s="54"/>
      <c r="L130" s="54"/>
      <c r="M130" s="54"/>
      <c r="N130" s="54"/>
      <c r="O130" s="54"/>
    </row>
    <row r="131" spans="1:15" s="7" customFormat="1" ht="15">
      <c r="A131" s="344" t="s">
        <v>42</v>
      </c>
      <c r="B131" s="345"/>
      <c r="C131" s="345"/>
      <c r="D131" s="345"/>
      <c r="E131" s="345"/>
      <c r="F131" s="345"/>
      <c r="G131" s="345"/>
      <c r="H131" s="345"/>
      <c r="I131" s="345"/>
      <c r="J131" s="345"/>
      <c r="K131" s="345"/>
      <c r="L131" s="345"/>
      <c r="M131" s="345"/>
      <c r="N131" s="345"/>
      <c r="O131" s="346"/>
    </row>
    <row r="132" spans="1:15" s="7" customFormat="1" ht="15">
      <c r="A132" s="78"/>
      <c r="B132" s="94" t="s">
        <v>147</v>
      </c>
      <c r="C132" s="92"/>
      <c r="D132" s="47" t="s">
        <v>11</v>
      </c>
      <c r="E132" s="93" t="s">
        <v>91</v>
      </c>
      <c r="F132" s="44">
        <v>1</v>
      </c>
      <c r="G132" s="44">
        <v>330</v>
      </c>
      <c r="H132" s="44">
        <v>12</v>
      </c>
      <c r="I132" s="50">
        <f>F132*G132*H132</f>
        <v>3960</v>
      </c>
      <c r="J132" s="50"/>
      <c r="K132" s="57"/>
      <c r="L132" s="57"/>
      <c r="M132" s="223">
        <v>0</v>
      </c>
      <c r="N132" s="57"/>
      <c r="O132" s="50" t="s">
        <v>274</v>
      </c>
    </row>
    <row r="133" spans="1:15" s="7" customFormat="1" ht="15">
      <c r="A133" s="78"/>
      <c r="B133" s="169" t="s">
        <v>147</v>
      </c>
      <c r="C133" s="92"/>
      <c r="D133" s="47" t="s">
        <v>11</v>
      </c>
      <c r="E133" s="93" t="s">
        <v>143</v>
      </c>
      <c r="F133" s="44">
        <v>1</v>
      </c>
      <c r="G133" s="44">
        <v>315</v>
      </c>
      <c r="H133" s="44">
        <v>12</v>
      </c>
      <c r="I133" s="50">
        <f>F133*G133*H133</f>
        <v>3780</v>
      </c>
      <c r="J133" s="50"/>
      <c r="K133" s="57"/>
      <c r="L133" s="57"/>
      <c r="M133" s="223">
        <v>0</v>
      </c>
      <c r="N133" s="57"/>
      <c r="O133" s="50" t="s">
        <v>274</v>
      </c>
    </row>
    <row r="134" spans="1:15" s="7" customFormat="1" ht="15">
      <c r="A134" s="78"/>
      <c r="B134" s="47" t="s">
        <v>68</v>
      </c>
      <c r="C134" s="92"/>
      <c r="D134" s="47" t="s">
        <v>11</v>
      </c>
      <c r="E134" s="93" t="s">
        <v>58</v>
      </c>
      <c r="F134" s="44">
        <v>1</v>
      </c>
      <c r="G134" s="44">
        <v>150</v>
      </c>
      <c r="H134" s="44">
        <v>12</v>
      </c>
      <c r="I134" s="50">
        <f>+F134*G134*H134</f>
        <v>1800</v>
      </c>
      <c r="J134" s="50"/>
      <c r="K134" s="57"/>
      <c r="L134" s="57"/>
      <c r="M134" s="223">
        <v>0</v>
      </c>
      <c r="N134" s="57"/>
      <c r="O134" s="50" t="s">
        <v>274</v>
      </c>
    </row>
    <row r="135" spans="1:15" s="7" customFormat="1" ht="15">
      <c r="A135" s="78"/>
      <c r="B135" s="47" t="s">
        <v>69</v>
      </c>
      <c r="C135" s="92"/>
      <c r="D135" s="47" t="s">
        <v>11</v>
      </c>
      <c r="E135" s="93" t="s">
        <v>58</v>
      </c>
      <c r="F135" s="44">
        <v>1</v>
      </c>
      <c r="G135" s="44">
        <v>100</v>
      </c>
      <c r="H135" s="44">
        <v>12</v>
      </c>
      <c r="I135" s="50">
        <f>+F135*G135*H135</f>
        <v>1200</v>
      </c>
      <c r="J135" s="50"/>
      <c r="K135" s="57"/>
      <c r="L135" s="57"/>
      <c r="M135" s="223">
        <v>0</v>
      </c>
      <c r="N135" s="57"/>
      <c r="O135" s="50" t="s">
        <v>282</v>
      </c>
    </row>
    <row r="136" spans="1:15" s="7" customFormat="1" ht="15">
      <c r="A136" s="78"/>
      <c r="B136" s="47" t="s">
        <v>70</v>
      </c>
      <c r="C136" s="92"/>
      <c r="D136" s="47" t="s">
        <v>11</v>
      </c>
      <c r="E136" s="93" t="s">
        <v>58</v>
      </c>
      <c r="F136" s="44">
        <v>1</v>
      </c>
      <c r="G136" s="44">
        <v>600</v>
      </c>
      <c r="H136" s="44">
        <v>12</v>
      </c>
      <c r="I136" s="50">
        <f>+F136*G136*H136</f>
        <v>7200</v>
      </c>
      <c r="J136" s="50"/>
      <c r="K136" s="57"/>
      <c r="L136" s="57"/>
      <c r="M136" s="221">
        <v>582</v>
      </c>
      <c r="N136" s="220"/>
      <c r="O136" s="50" t="s">
        <v>274</v>
      </c>
    </row>
    <row r="137" spans="1:15" s="7" customFormat="1" ht="15">
      <c r="A137" s="78"/>
      <c r="B137" s="47" t="s">
        <v>71</v>
      </c>
      <c r="C137" s="92"/>
      <c r="D137" s="47" t="s">
        <v>11</v>
      </c>
      <c r="E137" s="93" t="s">
        <v>58</v>
      </c>
      <c r="F137" s="44">
        <v>1</v>
      </c>
      <c r="G137" s="44">
        <v>300</v>
      </c>
      <c r="H137" s="44">
        <v>12</v>
      </c>
      <c r="I137" s="50">
        <f>+F137*G137*H137</f>
        <v>3600</v>
      </c>
      <c r="J137" s="50"/>
      <c r="K137" s="57"/>
      <c r="L137" s="57"/>
      <c r="M137" s="223">
        <v>0</v>
      </c>
      <c r="N137" s="57"/>
      <c r="O137" s="50" t="s">
        <v>281</v>
      </c>
    </row>
    <row r="138" spans="1:15" s="7" customFormat="1" ht="15">
      <c r="A138" s="78"/>
      <c r="B138" s="47" t="s">
        <v>72</v>
      </c>
      <c r="C138" s="92"/>
      <c r="D138" s="47" t="s">
        <v>11</v>
      </c>
      <c r="E138" s="93" t="s">
        <v>58</v>
      </c>
      <c r="F138" s="44">
        <v>1</v>
      </c>
      <c r="G138" s="44">
        <v>300</v>
      </c>
      <c r="H138" s="44">
        <v>12</v>
      </c>
      <c r="I138" s="50">
        <f>+F138*G138*H138</f>
        <v>3600</v>
      </c>
      <c r="J138" s="50"/>
      <c r="K138" s="57"/>
      <c r="L138" s="57"/>
      <c r="M138" s="223">
        <v>0</v>
      </c>
      <c r="N138" s="57"/>
      <c r="O138" s="57"/>
    </row>
    <row r="139" spans="1:15" s="7" customFormat="1" ht="15">
      <c r="A139" s="78"/>
      <c r="B139" s="95"/>
      <c r="C139" s="92"/>
      <c r="D139" s="92"/>
      <c r="E139" s="59" t="s">
        <v>0</v>
      </c>
      <c r="F139" s="59"/>
      <c r="G139" s="59"/>
      <c r="H139" s="59"/>
      <c r="I139" s="52">
        <f>SUM(I132:I138)</f>
        <v>25140</v>
      </c>
      <c r="J139" s="52"/>
      <c r="K139" s="54"/>
      <c r="L139" s="54"/>
      <c r="M139" s="54"/>
      <c r="N139" s="54"/>
      <c r="O139" s="54"/>
    </row>
    <row r="140" spans="1:15" s="7" customFormat="1" ht="15">
      <c r="A140" s="344" t="s">
        <v>43</v>
      </c>
      <c r="B140" s="345"/>
      <c r="C140" s="345"/>
      <c r="D140" s="345"/>
      <c r="E140" s="345"/>
      <c r="F140" s="345"/>
      <c r="G140" s="345"/>
      <c r="H140" s="345"/>
      <c r="I140" s="345"/>
      <c r="J140" s="345"/>
      <c r="K140" s="345"/>
      <c r="L140" s="345"/>
      <c r="M140" s="345"/>
      <c r="N140" s="345"/>
      <c r="O140" s="346"/>
    </row>
    <row r="141" spans="1:15" s="7" customFormat="1" ht="15">
      <c r="A141" s="78"/>
      <c r="B141" s="47"/>
      <c r="C141" s="92"/>
      <c r="D141" s="47" t="s">
        <v>25</v>
      </c>
      <c r="E141" s="93" t="s">
        <v>91</v>
      </c>
      <c r="F141" s="44">
        <v>0</v>
      </c>
      <c r="G141" s="44">
        <v>0</v>
      </c>
      <c r="H141" s="44">
        <v>0</v>
      </c>
      <c r="I141" s="50">
        <v>0</v>
      </c>
      <c r="J141" s="50"/>
      <c r="K141" s="57"/>
      <c r="L141" s="57"/>
      <c r="M141" s="223">
        <v>0</v>
      </c>
      <c r="N141" s="57"/>
      <c r="O141" s="57"/>
    </row>
    <row r="142" spans="1:15" s="7" customFormat="1" ht="15">
      <c r="A142" s="78"/>
      <c r="B142" s="47"/>
      <c r="C142" s="92"/>
      <c r="D142" s="47" t="s">
        <v>25</v>
      </c>
      <c r="E142" s="93" t="s">
        <v>143</v>
      </c>
      <c r="F142" s="44">
        <v>1</v>
      </c>
      <c r="G142" s="44">
        <v>1000</v>
      </c>
      <c r="H142" s="44">
        <v>1</v>
      </c>
      <c r="I142" s="50">
        <f>F142*G142*H142</f>
        <v>1000</v>
      </c>
      <c r="J142" s="50"/>
      <c r="K142" s="57"/>
      <c r="L142" s="57"/>
      <c r="M142" s="223">
        <v>0</v>
      </c>
      <c r="N142" s="57"/>
      <c r="O142" s="50" t="s">
        <v>280</v>
      </c>
    </row>
    <row r="143" spans="1:15" s="7" customFormat="1" ht="15">
      <c r="A143" s="78"/>
      <c r="B143" s="47"/>
      <c r="C143" s="92"/>
      <c r="D143" s="47" t="s">
        <v>25</v>
      </c>
      <c r="E143" s="93" t="s">
        <v>58</v>
      </c>
      <c r="F143" s="44">
        <v>0</v>
      </c>
      <c r="G143" s="44">
        <v>0</v>
      </c>
      <c r="H143" s="44">
        <v>0</v>
      </c>
      <c r="I143" s="50">
        <v>0</v>
      </c>
      <c r="J143" s="50"/>
      <c r="K143" s="57"/>
      <c r="L143" s="57"/>
      <c r="M143" s="223">
        <v>0</v>
      </c>
      <c r="N143" s="57"/>
      <c r="O143" s="57"/>
    </row>
    <row r="144" spans="1:15" s="7" customFormat="1" ht="15">
      <c r="A144" s="78"/>
      <c r="B144" s="96"/>
      <c r="C144" s="78"/>
      <c r="D144" s="78"/>
      <c r="E144" s="59" t="s">
        <v>0</v>
      </c>
      <c r="F144" s="59"/>
      <c r="G144" s="59"/>
      <c r="H144" s="67"/>
      <c r="I144" s="52">
        <f>SUM(I142:I143)</f>
        <v>1000</v>
      </c>
      <c r="J144" s="52"/>
      <c r="K144" s="54"/>
      <c r="L144" s="54"/>
      <c r="M144" s="54"/>
      <c r="N144" s="54"/>
      <c r="O144" s="54"/>
    </row>
    <row r="145" spans="1:15" s="7" customFormat="1" ht="14.25" customHeight="1">
      <c r="A145" s="344" t="s">
        <v>44</v>
      </c>
      <c r="B145" s="345"/>
      <c r="C145" s="345"/>
      <c r="D145" s="345"/>
      <c r="E145" s="345"/>
      <c r="F145" s="345"/>
      <c r="G145" s="345"/>
      <c r="H145" s="345"/>
      <c r="I145" s="345"/>
      <c r="J145" s="345"/>
      <c r="K145" s="345"/>
      <c r="L145" s="345"/>
      <c r="M145" s="345"/>
      <c r="N145" s="345"/>
      <c r="O145" s="346"/>
    </row>
    <row r="146" spans="1:15" s="7" customFormat="1" ht="14.25" customHeight="1">
      <c r="A146" s="78"/>
      <c r="B146" s="47" t="s">
        <v>148</v>
      </c>
      <c r="C146" s="92"/>
      <c r="D146" s="47" t="s">
        <v>32</v>
      </c>
      <c r="E146" s="93" t="s">
        <v>91</v>
      </c>
      <c r="F146" s="44"/>
      <c r="G146" s="44"/>
      <c r="H146" s="71"/>
      <c r="I146" s="50">
        <v>209275</v>
      </c>
      <c r="J146" s="50"/>
      <c r="K146" s="57"/>
      <c r="L146" s="57"/>
      <c r="M146" s="223">
        <v>66000</v>
      </c>
      <c r="N146" s="57"/>
      <c r="O146" s="50" t="s">
        <v>275</v>
      </c>
    </row>
    <row r="147" spans="1:15" s="7" customFormat="1" ht="14.25" customHeight="1">
      <c r="A147" s="78"/>
      <c r="B147" s="47" t="s">
        <v>149</v>
      </c>
      <c r="C147" s="92"/>
      <c r="D147" s="47" t="s">
        <v>32</v>
      </c>
      <c r="E147" s="93" t="s">
        <v>254</v>
      </c>
      <c r="F147" s="44"/>
      <c r="G147" s="44"/>
      <c r="H147" s="71"/>
      <c r="I147" s="50">
        <v>22000</v>
      </c>
      <c r="J147" s="50"/>
      <c r="K147" s="57"/>
      <c r="L147" s="57"/>
      <c r="M147" s="57"/>
      <c r="N147" s="57"/>
      <c r="O147" s="50" t="s">
        <v>276</v>
      </c>
    </row>
    <row r="148" spans="1:15" s="7" customFormat="1" ht="14.25" customHeight="1">
      <c r="A148" s="78"/>
      <c r="B148" s="47" t="s">
        <v>167</v>
      </c>
      <c r="C148" s="92"/>
      <c r="D148" s="47" t="s">
        <v>32</v>
      </c>
      <c r="E148" s="93" t="s">
        <v>254</v>
      </c>
      <c r="F148" s="44"/>
      <c r="G148" s="44"/>
      <c r="H148" s="71"/>
      <c r="I148" s="50">
        <v>17000</v>
      </c>
      <c r="J148" s="50"/>
      <c r="K148" s="57"/>
      <c r="L148" s="57"/>
      <c r="M148" s="57"/>
      <c r="N148" s="57"/>
      <c r="O148" s="50" t="s">
        <v>277</v>
      </c>
    </row>
    <row r="149" spans="1:15" s="7" customFormat="1" ht="14.25" customHeight="1">
      <c r="A149" s="78"/>
      <c r="B149" s="47" t="s">
        <v>148</v>
      </c>
      <c r="C149" s="92"/>
      <c r="D149" s="47" t="s">
        <v>32</v>
      </c>
      <c r="E149" s="93" t="s">
        <v>58</v>
      </c>
      <c r="F149" s="44"/>
      <c r="G149" s="44"/>
      <c r="H149" s="71"/>
      <c r="I149" s="50">
        <v>218520</v>
      </c>
      <c r="J149" s="50"/>
      <c r="K149" s="57"/>
      <c r="L149" s="57"/>
      <c r="M149" s="57"/>
      <c r="N149" s="57"/>
      <c r="O149" s="50" t="s">
        <v>278</v>
      </c>
    </row>
    <row r="150" spans="1:15" s="7" customFormat="1" ht="14.25" customHeight="1">
      <c r="A150" s="78"/>
      <c r="B150" s="47" t="s">
        <v>148</v>
      </c>
      <c r="C150" s="92"/>
      <c r="D150" s="47" t="s">
        <v>32</v>
      </c>
      <c r="E150" s="93" t="s">
        <v>143</v>
      </c>
      <c r="F150" s="44"/>
      <c r="G150" s="44"/>
      <c r="H150" s="71"/>
      <c r="I150" s="50">
        <v>235200</v>
      </c>
      <c r="J150" s="50"/>
      <c r="K150" s="57"/>
      <c r="L150" s="57"/>
      <c r="M150" s="57"/>
      <c r="N150" s="57"/>
      <c r="O150" s="50" t="s">
        <v>279</v>
      </c>
    </row>
    <row r="151" spans="1:15" s="7" customFormat="1" ht="14.25" customHeight="1">
      <c r="A151" s="78"/>
      <c r="B151" s="96"/>
      <c r="C151" s="78"/>
      <c r="D151" s="78"/>
      <c r="E151" s="59" t="s">
        <v>0</v>
      </c>
      <c r="F151" s="59"/>
      <c r="G151" s="59"/>
      <c r="H151" s="67"/>
      <c r="I151" s="52">
        <f>SUM(I146:I150)</f>
        <v>701995</v>
      </c>
      <c r="J151" s="52"/>
      <c r="K151" s="54"/>
      <c r="L151" s="54"/>
      <c r="M151" s="54"/>
      <c r="N151" s="54"/>
      <c r="O151" s="54"/>
    </row>
    <row r="152" spans="1:15" s="7" customFormat="1" ht="14.25" customHeight="1">
      <c r="A152" s="344" t="s">
        <v>46</v>
      </c>
      <c r="B152" s="345"/>
      <c r="C152" s="345"/>
      <c r="D152" s="345"/>
      <c r="E152" s="345"/>
      <c r="F152" s="345"/>
      <c r="G152" s="345"/>
      <c r="H152" s="345"/>
      <c r="I152" s="345"/>
      <c r="J152" s="345"/>
      <c r="K152" s="345"/>
      <c r="L152" s="345"/>
      <c r="M152" s="345"/>
      <c r="N152" s="345"/>
      <c r="O152" s="346"/>
    </row>
    <row r="153" spans="1:15" s="7" customFormat="1" ht="14.25" customHeight="1">
      <c r="A153" s="78"/>
      <c r="B153" s="47" t="s">
        <v>133</v>
      </c>
      <c r="C153" s="92"/>
      <c r="D153" s="47" t="s">
        <v>12</v>
      </c>
      <c r="E153" s="93" t="s">
        <v>254</v>
      </c>
      <c r="F153" s="44">
        <v>1</v>
      </c>
      <c r="G153" s="44">
        <v>7500</v>
      </c>
      <c r="H153" s="44">
        <v>2</v>
      </c>
      <c r="I153" s="50">
        <f>F153*G153*H153</f>
        <v>15000</v>
      </c>
      <c r="J153" s="50"/>
      <c r="K153" s="57"/>
      <c r="L153" s="57"/>
      <c r="M153" s="57"/>
      <c r="N153" s="57"/>
      <c r="O153" s="50" t="s">
        <v>273</v>
      </c>
    </row>
    <row r="154" spans="1:15" s="7" customFormat="1" ht="14.25" customHeight="1">
      <c r="A154" s="78"/>
      <c r="B154" s="47" t="s">
        <v>257</v>
      </c>
      <c r="C154" s="92"/>
      <c r="D154" s="47" t="s">
        <v>12</v>
      </c>
      <c r="E154" s="93" t="s">
        <v>91</v>
      </c>
      <c r="F154" s="44">
        <v>1</v>
      </c>
      <c r="G154" s="44">
        <v>2050</v>
      </c>
      <c r="H154" s="44">
        <v>1</v>
      </c>
      <c r="I154" s="50">
        <f>F154*G154*H154</f>
        <v>2050</v>
      </c>
      <c r="J154" s="50"/>
      <c r="K154" s="57"/>
      <c r="L154" s="57"/>
      <c r="M154" s="57"/>
      <c r="N154" s="57"/>
      <c r="O154" s="50" t="s">
        <v>260</v>
      </c>
    </row>
    <row r="155" spans="1:15" s="7" customFormat="1" ht="14.25" customHeight="1">
      <c r="A155" s="78"/>
      <c r="B155" s="47" t="s">
        <v>140</v>
      </c>
      <c r="C155" s="92"/>
      <c r="D155" s="47" t="s">
        <v>12</v>
      </c>
      <c r="E155" s="93" t="s">
        <v>143</v>
      </c>
      <c r="F155" s="44">
        <v>1</v>
      </c>
      <c r="G155" s="44">
        <v>500</v>
      </c>
      <c r="H155" s="44">
        <v>12</v>
      </c>
      <c r="I155" s="50">
        <f>F155*G155*H155</f>
        <v>6000</v>
      </c>
      <c r="J155" s="50"/>
      <c r="K155" s="57"/>
      <c r="L155" s="57"/>
      <c r="M155" s="57"/>
      <c r="N155" s="57"/>
      <c r="O155" s="50" t="s">
        <v>294</v>
      </c>
    </row>
    <row r="156" spans="1:15" s="7" customFormat="1" ht="14.25" customHeight="1">
      <c r="A156" s="78"/>
      <c r="B156" s="47" t="s">
        <v>73</v>
      </c>
      <c r="C156" s="92"/>
      <c r="D156" s="47" t="s">
        <v>12</v>
      </c>
      <c r="E156" s="93" t="s">
        <v>58</v>
      </c>
      <c r="F156" s="44">
        <v>1</v>
      </c>
      <c r="G156" s="44">
        <v>500</v>
      </c>
      <c r="H156" s="44">
        <v>12</v>
      </c>
      <c r="I156" s="50">
        <f>+F156*G156*H156</f>
        <v>6000</v>
      </c>
      <c r="J156" s="50"/>
      <c r="K156" s="57"/>
      <c r="L156" s="57"/>
      <c r="M156" s="221">
        <v>1434.6</v>
      </c>
      <c r="N156" s="220"/>
      <c r="O156" s="50" t="s">
        <v>294</v>
      </c>
    </row>
    <row r="157" spans="1:15" s="7" customFormat="1" ht="14.25" customHeight="1">
      <c r="A157" s="78"/>
      <c r="B157" s="96"/>
      <c r="C157" s="78"/>
      <c r="D157" s="78"/>
      <c r="E157" s="59" t="s">
        <v>0</v>
      </c>
      <c r="F157" s="59"/>
      <c r="G157" s="59"/>
      <c r="H157" s="59"/>
      <c r="I157" s="52">
        <f>SUM(I153:I156)</f>
        <v>29050</v>
      </c>
      <c r="J157" s="52"/>
      <c r="K157" s="54"/>
      <c r="L157" s="54"/>
      <c r="M157" s="54"/>
      <c r="N157" s="54"/>
      <c r="O157" s="54"/>
    </row>
    <row r="158" spans="1:15" s="7" customFormat="1" ht="14.25" customHeight="1">
      <c r="A158" s="344" t="s">
        <v>47</v>
      </c>
      <c r="B158" s="345"/>
      <c r="C158" s="345"/>
      <c r="D158" s="345"/>
      <c r="E158" s="345"/>
      <c r="F158" s="345"/>
      <c r="G158" s="345"/>
      <c r="H158" s="345"/>
      <c r="I158" s="345"/>
      <c r="J158" s="345"/>
      <c r="K158" s="345"/>
      <c r="L158" s="345"/>
      <c r="M158" s="345"/>
      <c r="N158" s="345"/>
      <c r="O158" s="346"/>
    </row>
    <row r="159" spans="1:15" s="7" customFormat="1" ht="14.25" customHeight="1">
      <c r="A159" s="78"/>
      <c r="B159" s="47"/>
      <c r="C159" s="92"/>
      <c r="D159" s="47" t="s">
        <v>33</v>
      </c>
      <c r="E159" s="93" t="s">
        <v>91</v>
      </c>
      <c r="F159" s="44"/>
      <c r="G159" s="44"/>
      <c r="H159" s="71"/>
      <c r="I159" s="50">
        <v>0</v>
      </c>
      <c r="J159" s="50"/>
      <c r="K159" s="57"/>
      <c r="L159" s="57"/>
      <c r="M159" s="57"/>
      <c r="N159" s="57"/>
      <c r="O159" s="57"/>
    </row>
    <row r="160" spans="1:15" s="7" customFormat="1" ht="14.25" customHeight="1">
      <c r="A160" s="78"/>
      <c r="B160" s="47"/>
      <c r="C160" s="92"/>
      <c r="D160" s="47" t="s">
        <v>33</v>
      </c>
      <c r="E160" s="93" t="s">
        <v>143</v>
      </c>
      <c r="F160" s="71"/>
      <c r="G160" s="71"/>
      <c r="H160" s="71"/>
      <c r="I160" s="50">
        <v>0</v>
      </c>
      <c r="J160" s="50"/>
      <c r="K160" s="57"/>
      <c r="L160" s="57"/>
      <c r="M160" s="57"/>
      <c r="N160" s="57"/>
      <c r="O160" s="57"/>
    </row>
    <row r="161" spans="1:15" s="7" customFormat="1" ht="14.25" customHeight="1">
      <c r="A161" s="78"/>
      <c r="B161" s="47"/>
      <c r="C161" s="92"/>
      <c r="D161" s="47" t="s">
        <v>33</v>
      </c>
      <c r="E161" s="93" t="s">
        <v>58</v>
      </c>
      <c r="F161" s="44"/>
      <c r="G161" s="44"/>
      <c r="H161" s="71"/>
      <c r="I161" s="50">
        <v>0</v>
      </c>
      <c r="J161" s="50"/>
      <c r="K161" s="57"/>
      <c r="L161" s="57"/>
      <c r="M161" s="57"/>
      <c r="N161" s="57"/>
      <c r="O161" s="57"/>
    </row>
    <row r="162" spans="1:15" s="7" customFormat="1" ht="14.25" customHeight="1">
      <c r="A162" s="78"/>
      <c r="B162" s="96"/>
      <c r="C162" s="78"/>
      <c r="D162" s="78"/>
      <c r="E162" s="59" t="s">
        <v>0</v>
      </c>
      <c r="F162" s="59"/>
      <c r="G162" s="59"/>
      <c r="H162" s="67"/>
      <c r="I162" s="52">
        <f>SUM(I159:I161)</f>
        <v>0</v>
      </c>
      <c r="J162" s="52"/>
      <c r="K162" s="54"/>
      <c r="L162" s="54"/>
      <c r="M162" s="54"/>
      <c r="N162" s="54"/>
      <c r="O162" s="54"/>
    </row>
    <row r="163" spans="1:15" s="7" customFormat="1" ht="14.25" customHeight="1">
      <c r="A163" s="344" t="s">
        <v>45</v>
      </c>
      <c r="B163" s="345"/>
      <c r="C163" s="345"/>
      <c r="D163" s="345"/>
      <c r="E163" s="345"/>
      <c r="F163" s="345"/>
      <c r="G163" s="345"/>
      <c r="H163" s="345"/>
      <c r="I163" s="345"/>
      <c r="J163" s="345"/>
      <c r="K163" s="345"/>
      <c r="L163" s="345"/>
      <c r="M163" s="345"/>
      <c r="N163" s="345"/>
      <c r="O163" s="346"/>
    </row>
    <row r="164" spans="1:15" s="7" customFormat="1" ht="14.25" customHeight="1">
      <c r="A164" s="78"/>
      <c r="B164" s="47"/>
      <c r="C164" s="92"/>
      <c r="D164" s="93" t="s">
        <v>13</v>
      </c>
      <c r="E164" s="93" t="s">
        <v>91</v>
      </c>
      <c r="F164" s="44">
        <v>1</v>
      </c>
      <c r="G164" s="44">
        <v>10000</v>
      </c>
      <c r="H164" s="44">
        <v>1</v>
      </c>
      <c r="I164" s="50">
        <f>F164*G164*H164</f>
        <v>10000</v>
      </c>
      <c r="J164" s="50"/>
      <c r="K164" s="57"/>
      <c r="L164" s="57"/>
      <c r="M164" s="223">
        <v>0</v>
      </c>
      <c r="N164" s="57"/>
      <c r="O164" s="156" t="s">
        <v>265</v>
      </c>
    </row>
    <row r="165" spans="1:15" s="7" customFormat="1" ht="14.25" customHeight="1">
      <c r="A165" s="78"/>
      <c r="B165" s="47"/>
      <c r="C165" s="92"/>
      <c r="D165" s="93" t="s">
        <v>13</v>
      </c>
      <c r="E165" s="93" t="s">
        <v>143</v>
      </c>
      <c r="F165" s="44">
        <v>1</v>
      </c>
      <c r="G165" s="44">
        <v>10596</v>
      </c>
      <c r="H165" s="44">
        <v>1</v>
      </c>
      <c r="I165" s="50">
        <f>F165*G165*H165</f>
        <v>10596</v>
      </c>
      <c r="J165" s="50"/>
      <c r="K165" s="57"/>
      <c r="L165" s="57"/>
      <c r="M165" s="223">
        <v>0</v>
      </c>
      <c r="N165" s="57"/>
      <c r="O165" s="156" t="s">
        <v>265</v>
      </c>
    </row>
    <row r="166" spans="1:15" s="7" customFormat="1" ht="14.25" customHeight="1">
      <c r="A166" s="78"/>
      <c r="B166" s="47"/>
      <c r="C166" s="92"/>
      <c r="D166" s="93" t="s">
        <v>13</v>
      </c>
      <c r="E166" s="93" t="s">
        <v>143</v>
      </c>
      <c r="F166" s="44">
        <v>1</v>
      </c>
      <c r="G166" s="44">
        <v>2050</v>
      </c>
      <c r="H166" s="44">
        <v>8</v>
      </c>
      <c r="I166" s="50">
        <f>F166*G166*H166</f>
        <v>16400</v>
      </c>
      <c r="J166" s="50"/>
      <c r="K166" s="161"/>
      <c r="L166" s="161"/>
      <c r="M166" s="225">
        <v>0</v>
      </c>
      <c r="N166" s="161"/>
      <c r="O166" s="156" t="s">
        <v>264</v>
      </c>
    </row>
    <row r="167" spans="1:15" s="7" customFormat="1" ht="14.25" customHeight="1">
      <c r="A167" s="78"/>
      <c r="B167" s="47"/>
      <c r="C167" s="92"/>
      <c r="D167" s="93" t="s">
        <v>13</v>
      </c>
      <c r="E167" s="93" t="s">
        <v>58</v>
      </c>
      <c r="F167" s="44"/>
      <c r="G167" s="44"/>
      <c r="H167" s="71"/>
      <c r="I167" s="50">
        <v>0</v>
      </c>
      <c r="J167" s="50"/>
      <c r="K167" s="57"/>
      <c r="L167" s="57"/>
      <c r="M167" s="223">
        <v>0</v>
      </c>
      <c r="N167" s="57"/>
      <c r="O167" s="162"/>
    </row>
    <row r="168" spans="1:15" s="7" customFormat="1" ht="14.25" customHeight="1">
      <c r="A168" s="78"/>
      <c r="B168" s="47"/>
      <c r="C168" s="92"/>
      <c r="D168" s="92"/>
      <c r="E168" s="59" t="s">
        <v>0</v>
      </c>
      <c r="F168" s="59"/>
      <c r="G168" s="59"/>
      <c r="H168" s="67"/>
      <c r="I168" s="52">
        <f>SUM(I164:I167)</f>
        <v>36996</v>
      </c>
      <c r="J168" s="52"/>
      <c r="K168" s="54"/>
      <c r="L168" s="54"/>
      <c r="M168" s="54"/>
      <c r="N168" s="54"/>
      <c r="O168" s="54"/>
    </row>
    <row r="169" spans="1:21" s="22" customFormat="1" ht="15">
      <c r="A169" s="347" t="s">
        <v>38</v>
      </c>
      <c r="B169" s="348"/>
      <c r="C169" s="349"/>
      <c r="D169" s="87"/>
      <c r="E169" s="61"/>
      <c r="F169" s="61"/>
      <c r="G169" s="61"/>
      <c r="H169" s="62"/>
      <c r="I169" s="79">
        <f>I168+I162+I157+I144+I139+I130</f>
        <v>307350</v>
      </c>
      <c r="J169" s="79"/>
      <c r="K169" s="203">
        <f>I169/I177</f>
        <v>0.2845835573111331</v>
      </c>
      <c r="L169" s="63"/>
      <c r="M169" s="63"/>
      <c r="N169" s="63"/>
      <c r="O169" s="63"/>
      <c r="P169" s="21"/>
      <c r="Q169" s="21"/>
      <c r="R169" s="21"/>
      <c r="S169" s="21"/>
      <c r="T169" s="21"/>
      <c r="U169" s="21"/>
    </row>
    <row r="170" spans="1:15" ht="15">
      <c r="A170" s="144"/>
      <c r="B170" s="145"/>
      <c r="C170" s="145"/>
      <c r="D170" s="97"/>
      <c r="E170" s="146" t="s">
        <v>37</v>
      </c>
      <c r="F170" s="98"/>
      <c r="G170" s="98"/>
      <c r="H170" s="98"/>
      <c r="I170" s="99" t="s">
        <v>3</v>
      </c>
      <c r="J170" s="99"/>
      <c r="K170" s="99"/>
      <c r="L170" s="99"/>
      <c r="M170" s="99"/>
      <c r="N170" s="99"/>
      <c r="O170" s="99"/>
    </row>
    <row r="171" spans="1:15" ht="15">
      <c r="A171" s="149"/>
      <c r="B171" s="147"/>
      <c r="C171" s="147"/>
      <c r="D171" s="147"/>
      <c r="E171" s="98"/>
      <c r="F171" s="146"/>
      <c r="G171" s="146"/>
      <c r="H171" s="146"/>
      <c r="I171" s="164">
        <f>I151+I169</f>
        <v>1009345</v>
      </c>
      <c r="J171" s="296"/>
      <c r="K171" s="150"/>
      <c r="L171" s="150"/>
      <c r="M171" s="150"/>
      <c r="N171" s="150"/>
      <c r="O171" s="150"/>
    </row>
    <row r="172" spans="1:15" s="154" customFormat="1" ht="15">
      <c r="A172" s="151"/>
      <c r="B172" s="152"/>
      <c r="C172" s="153"/>
      <c r="D172" s="152"/>
      <c r="E172" s="165" t="s">
        <v>241</v>
      </c>
      <c r="F172" s="166"/>
      <c r="G172" s="167"/>
      <c r="H172" s="167"/>
      <c r="J172" s="275"/>
      <c r="K172" s="148"/>
      <c r="L172" s="168">
        <f>L112+L82+L40</f>
        <v>198952.5</v>
      </c>
      <c r="M172" s="168"/>
      <c r="N172" s="168"/>
      <c r="O172" s="148" t="s">
        <v>248</v>
      </c>
    </row>
    <row r="173" spans="1:15" ht="30">
      <c r="A173" s="100" t="s">
        <v>256</v>
      </c>
      <c r="B173" s="101"/>
      <c r="C173" s="101"/>
      <c r="D173" s="101"/>
      <c r="E173" s="102" t="s">
        <v>49</v>
      </c>
      <c r="F173" s="103"/>
      <c r="G173" s="103"/>
      <c r="H173" s="103"/>
      <c r="I173" s="102">
        <v>25687.55</v>
      </c>
      <c r="J173" s="102"/>
      <c r="K173" s="102"/>
      <c r="L173" s="102"/>
      <c r="M173" s="102"/>
      <c r="N173" s="102"/>
      <c r="O173" s="102"/>
    </row>
    <row r="174" spans="1:15" ht="30">
      <c r="A174" s="100" t="s">
        <v>150</v>
      </c>
      <c r="B174" s="101"/>
      <c r="C174" s="101"/>
      <c r="D174" s="101"/>
      <c r="E174" s="102" t="s">
        <v>49</v>
      </c>
      <c r="F174" s="103"/>
      <c r="G174" s="103"/>
      <c r="H174" s="103"/>
      <c r="I174" s="102">
        <v>22524.32</v>
      </c>
      <c r="J174" s="102"/>
      <c r="K174" s="102"/>
      <c r="L174" s="102"/>
      <c r="M174" s="102"/>
      <c r="N174" s="102"/>
      <c r="O174" s="102"/>
    </row>
    <row r="175" spans="1:15" ht="30">
      <c r="A175" s="339" t="s">
        <v>74</v>
      </c>
      <c r="B175" s="340"/>
      <c r="C175" s="341"/>
      <c r="D175" s="104"/>
      <c r="E175" s="102" t="s">
        <v>49</v>
      </c>
      <c r="F175" s="102"/>
      <c r="G175" s="102"/>
      <c r="H175" s="102"/>
      <c r="I175" s="105">
        <v>22442.28</v>
      </c>
      <c r="J175" s="105"/>
      <c r="K175" s="105"/>
      <c r="L175" s="105"/>
      <c r="M175" s="227">
        <v>1563</v>
      </c>
      <c r="N175" s="228"/>
      <c r="O175" s="105"/>
    </row>
    <row r="176" spans="1:15" ht="30">
      <c r="A176" s="339"/>
      <c r="B176" s="340"/>
      <c r="C176" s="340"/>
      <c r="D176" s="106"/>
      <c r="E176" s="204" t="s">
        <v>314</v>
      </c>
      <c r="F176" s="103"/>
      <c r="G176" s="103"/>
      <c r="H176" s="103"/>
      <c r="I176" s="105">
        <f>I175+I174+I173</f>
        <v>70654.15</v>
      </c>
      <c r="J176" s="105"/>
      <c r="K176" s="105"/>
      <c r="L176" s="105"/>
      <c r="M176" s="105"/>
      <c r="N176" s="105"/>
      <c r="O176" s="105"/>
    </row>
    <row r="177" spans="1:15" ht="15.75">
      <c r="A177" s="205"/>
      <c r="B177" s="206"/>
      <c r="C177" s="205"/>
      <c r="D177" s="205"/>
      <c r="E177" s="207" t="s">
        <v>315</v>
      </c>
      <c r="F177" s="208"/>
      <c r="G177" s="209"/>
      <c r="H177" s="209"/>
      <c r="I177" s="210">
        <f>I171+I176</f>
        <v>1079999.15</v>
      </c>
      <c r="J177" s="210"/>
      <c r="K177" s="205"/>
      <c r="L177" s="205"/>
      <c r="M177" s="222">
        <f>SUM(M13:M176)</f>
        <v>249707.48</v>
      </c>
      <c r="N177" s="205"/>
      <c r="O177" s="211"/>
    </row>
    <row r="178" spans="1:15" ht="15">
      <c r="A178" s="119" t="s">
        <v>4</v>
      </c>
      <c r="B178" s="120"/>
      <c r="C178" s="114"/>
      <c r="D178" s="114"/>
      <c r="E178" s="109"/>
      <c r="F178" s="121"/>
      <c r="G178" s="118"/>
      <c r="H178" s="118"/>
      <c r="I178" s="112"/>
      <c r="J178" s="112"/>
      <c r="K178" s="112"/>
      <c r="L178" s="112"/>
      <c r="M178" s="112"/>
      <c r="N178" s="112"/>
      <c r="O178" s="112"/>
    </row>
    <row r="179" spans="1:15" ht="15">
      <c r="A179" s="119" t="s">
        <v>19</v>
      </c>
      <c r="B179" s="120"/>
      <c r="C179" s="114"/>
      <c r="D179" s="114"/>
      <c r="E179" s="109"/>
      <c r="F179" s="121"/>
      <c r="G179" s="118"/>
      <c r="H179" s="118"/>
      <c r="I179" s="112"/>
      <c r="J179" s="112"/>
      <c r="K179" s="112"/>
      <c r="L179" s="112"/>
      <c r="M179" s="112"/>
      <c r="N179" s="112"/>
      <c r="O179" s="112"/>
    </row>
    <row r="180" spans="1:15" ht="38.25" customHeight="1">
      <c r="A180" s="356" t="s">
        <v>31</v>
      </c>
      <c r="B180" s="357"/>
      <c r="C180" s="357"/>
      <c r="D180" s="357"/>
      <c r="E180" s="357"/>
      <c r="F180" s="358"/>
      <c r="G180" s="111"/>
      <c r="H180" s="111"/>
      <c r="I180" s="122"/>
      <c r="J180" s="122"/>
      <c r="K180" s="122"/>
      <c r="L180" s="110"/>
      <c r="M180" s="110"/>
      <c r="N180" s="110"/>
      <c r="O180" s="110"/>
    </row>
    <row r="181" spans="1:15" ht="15">
      <c r="A181" s="119" t="s">
        <v>50</v>
      </c>
      <c r="B181" s="107"/>
      <c r="C181" s="108"/>
      <c r="D181" s="108"/>
      <c r="E181" s="109"/>
      <c r="F181" s="121"/>
      <c r="G181" s="118"/>
      <c r="H181" s="118"/>
      <c r="I181" s="113"/>
      <c r="J181" s="113"/>
      <c r="K181" s="113"/>
      <c r="L181" s="112"/>
      <c r="M181" s="112"/>
      <c r="N181" s="112"/>
      <c r="O181" s="112"/>
    </row>
    <row r="182" spans="1:15" ht="15">
      <c r="A182" s="119"/>
      <c r="B182" s="107" t="s">
        <v>22</v>
      </c>
      <c r="C182" s="108"/>
      <c r="D182" s="108"/>
      <c r="E182" s="109"/>
      <c r="F182" s="121"/>
      <c r="G182" s="118"/>
      <c r="H182" s="118"/>
      <c r="I182" s="113"/>
      <c r="J182" s="113"/>
      <c r="K182" s="113"/>
      <c r="L182" s="112"/>
      <c r="M182" s="112"/>
      <c r="N182" s="112"/>
      <c r="O182" s="112"/>
    </row>
    <row r="183" spans="1:15" ht="15">
      <c r="A183" s="119"/>
      <c r="B183" s="107" t="s">
        <v>23</v>
      </c>
      <c r="C183" s="108"/>
      <c r="D183" s="108"/>
      <c r="E183" s="109"/>
      <c r="F183" s="121"/>
      <c r="G183" s="118"/>
      <c r="H183" s="118"/>
      <c r="I183" s="113"/>
      <c r="J183" s="113"/>
      <c r="K183" s="113"/>
      <c r="L183" s="112"/>
      <c r="M183" s="112"/>
      <c r="N183" s="112"/>
      <c r="O183" s="112"/>
    </row>
    <row r="184" spans="1:15" ht="24" customHeight="1">
      <c r="A184" s="353" t="s">
        <v>51</v>
      </c>
      <c r="B184" s="354"/>
      <c r="C184" s="354"/>
      <c r="D184" s="354"/>
      <c r="E184" s="354"/>
      <c r="F184" s="355"/>
      <c r="G184" s="118"/>
      <c r="H184" s="118"/>
      <c r="I184" s="113"/>
      <c r="J184" s="113"/>
      <c r="K184" s="113"/>
      <c r="L184" s="112"/>
      <c r="M184" s="112"/>
      <c r="N184" s="112"/>
      <c r="O184" s="112"/>
    </row>
    <row r="185" spans="1:15" ht="15">
      <c r="A185" s="112"/>
      <c r="B185" s="115"/>
      <c r="C185" s="113"/>
      <c r="D185" s="113"/>
      <c r="E185" s="116"/>
      <c r="F185" s="117"/>
      <c r="G185" s="118"/>
      <c r="H185" s="118"/>
      <c r="I185" s="113"/>
      <c r="J185" s="113"/>
      <c r="K185" s="113"/>
      <c r="L185" s="112"/>
      <c r="M185" s="112"/>
      <c r="N185" s="112"/>
      <c r="O185" s="112"/>
    </row>
    <row r="186" spans="1:15" ht="15">
      <c r="A186" s="142" t="s">
        <v>34</v>
      </c>
      <c r="B186" s="123"/>
      <c r="C186" s="124"/>
      <c r="D186" s="124"/>
      <c r="E186" s="125"/>
      <c r="F186" s="126"/>
      <c r="G186" s="118"/>
      <c r="H186" s="118"/>
      <c r="I186" s="113"/>
      <c r="J186" s="113"/>
      <c r="K186" s="113"/>
      <c r="L186" s="112"/>
      <c r="M186" s="112"/>
      <c r="N186" s="112"/>
      <c r="O186" s="112"/>
    </row>
    <row r="187" spans="1:15" ht="15">
      <c r="A187" s="114" t="s">
        <v>10</v>
      </c>
      <c r="B187" s="107"/>
      <c r="C187" s="108"/>
      <c r="D187" s="108"/>
      <c r="E187" s="109"/>
      <c r="F187" s="121"/>
      <c r="G187" s="118"/>
      <c r="H187" s="118"/>
      <c r="I187" s="113"/>
      <c r="J187" s="113"/>
      <c r="K187" s="113"/>
      <c r="L187" s="112"/>
      <c r="M187" s="112"/>
      <c r="N187" s="112"/>
      <c r="O187" s="112"/>
    </row>
    <row r="188" spans="1:6" ht="12.75">
      <c r="A188" s="9" t="s">
        <v>11</v>
      </c>
      <c r="B188" s="37"/>
      <c r="C188" s="10"/>
      <c r="D188" s="10"/>
      <c r="E188" s="40"/>
      <c r="F188" s="35"/>
    </row>
    <row r="189" spans="1:6" ht="12.75">
      <c r="A189" s="9" t="s">
        <v>25</v>
      </c>
      <c r="B189" s="37"/>
      <c r="C189" s="10"/>
      <c r="D189" s="10"/>
      <c r="E189" s="40"/>
      <c r="F189" s="35"/>
    </row>
    <row r="190" spans="1:6" ht="12.75">
      <c r="A190" s="9" t="s">
        <v>32</v>
      </c>
      <c r="B190" s="37"/>
      <c r="C190" s="10"/>
      <c r="D190" s="10"/>
      <c r="E190" s="40"/>
      <c r="F190" s="35"/>
    </row>
    <row r="191" spans="1:6" ht="12.75">
      <c r="A191" s="9" t="s">
        <v>12</v>
      </c>
      <c r="B191" s="37"/>
      <c r="C191" s="10"/>
      <c r="D191" s="10"/>
      <c r="E191" s="40"/>
      <c r="F191" s="35"/>
    </row>
    <row r="192" spans="1:6" ht="12.75">
      <c r="A192" s="9" t="s">
        <v>33</v>
      </c>
      <c r="B192" s="37"/>
      <c r="C192" s="10"/>
      <c r="D192" s="10"/>
      <c r="E192" s="40"/>
      <c r="F192" s="35"/>
    </row>
    <row r="193" spans="1:6" ht="12.75">
      <c r="A193" s="15" t="s">
        <v>13</v>
      </c>
      <c r="B193" s="38"/>
      <c r="C193" s="14"/>
      <c r="D193" s="14"/>
      <c r="E193" s="42"/>
      <c r="F193" s="36"/>
    </row>
  </sheetData>
  <sheetProtection/>
  <autoFilter ref="C9:C176"/>
  <mergeCells count="41">
    <mergeCell ref="A115:C115"/>
    <mergeCell ref="A43:A47"/>
    <mergeCell ref="A76:A77"/>
    <mergeCell ref="A112:B112"/>
    <mergeCell ref="A114:B114"/>
    <mergeCell ref="A85:A93"/>
    <mergeCell ref="A60:A61"/>
    <mergeCell ref="A36:A39"/>
    <mergeCell ref="A64:A66"/>
    <mergeCell ref="A26:A29"/>
    <mergeCell ref="A40:B40"/>
    <mergeCell ref="A163:O163"/>
    <mergeCell ref="A48:A55"/>
    <mergeCell ref="A176:C176"/>
    <mergeCell ref="A69:A72"/>
    <mergeCell ref="A180:F180"/>
    <mergeCell ref="A10:O10"/>
    <mergeCell ref="A13:A24"/>
    <mergeCell ref="A11:O11"/>
    <mergeCell ref="A41:O41"/>
    <mergeCell ref="A12:B12"/>
    <mergeCell ref="A73:A75"/>
    <mergeCell ref="A31:A35"/>
    <mergeCell ref="A25:B25"/>
    <mergeCell ref="A145:O145"/>
    <mergeCell ref="A184:F184"/>
    <mergeCell ref="A113:C113"/>
    <mergeCell ref="A94:A99"/>
    <mergeCell ref="A131:O131"/>
    <mergeCell ref="A140:O140"/>
    <mergeCell ref="A78:A81"/>
    <mergeCell ref="A56:A58"/>
    <mergeCell ref="A101:A110"/>
    <mergeCell ref="A175:C175"/>
    <mergeCell ref="A83:O83"/>
    <mergeCell ref="A42:O42"/>
    <mergeCell ref="A158:O158"/>
    <mergeCell ref="A59:O59"/>
    <mergeCell ref="A82:B82"/>
    <mergeCell ref="A169:C169"/>
    <mergeCell ref="A152:O152"/>
  </mergeCells>
  <dataValidations count="1">
    <dataValidation type="list" allowBlank="1" showInputMessage="1" showErrorMessage="1" sqref="C153:D157 C43:D81 C141:D144 C164:D168 C159:D162 C146:D151 C85:D111 C13:D39 C116:D130 C132:D139">
      <formula1>categories</formula1>
    </dataValidation>
  </dataValidations>
  <printOptions/>
  <pageMargins left="0.4" right="0.24" top="0.91" bottom="0.65" header="0" footer="0"/>
  <pageSetup horizontalDpi="300" verticalDpi="300" orientation="portrait" scale="66" r:id="rId1"/>
  <headerFooter alignWithMargins="0">
    <oddFooter>&amp;CPágina &amp;P</oddFooter>
  </headerFooter>
</worksheet>
</file>

<file path=xl/worksheets/sheet3.xml><?xml version="1.0" encoding="utf-8"?>
<worksheet xmlns="http://schemas.openxmlformats.org/spreadsheetml/2006/main" xmlns:r="http://schemas.openxmlformats.org/officeDocument/2006/relationships">
  <dimension ref="A5:F18"/>
  <sheetViews>
    <sheetView zoomScalePageLayoutView="0" workbookViewId="0" topLeftCell="A1">
      <selection activeCell="F19" sqref="F19"/>
    </sheetView>
  </sheetViews>
  <sheetFormatPr defaultColWidth="8.8515625" defaultRowHeight="12.75"/>
  <sheetData>
    <row r="5" spans="3:5" ht="12.75">
      <c r="C5">
        <v>1080121</v>
      </c>
      <c r="E5">
        <v>100</v>
      </c>
    </row>
    <row r="7" ht="12.75">
      <c r="B7">
        <v>77537</v>
      </c>
    </row>
    <row r="8" spans="1:4" ht="15">
      <c r="A8" t="s">
        <v>245</v>
      </c>
      <c r="B8" s="79"/>
      <c r="D8">
        <f>B7/C5*E5</f>
        <v>7.17854758864979</v>
      </c>
    </row>
    <row r="11" spans="1:2" ht="12.75">
      <c r="A11" t="s">
        <v>246</v>
      </c>
      <c r="B11">
        <v>53353</v>
      </c>
    </row>
    <row r="12" ht="12.75">
      <c r="D12">
        <f>B11*E5/C5</f>
        <v>4.939539181258396</v>
      </c>
    </row>
    <row r="15" spans="1:4" ht="12.75">
      <c r="A15" t="s">
        <v>247</v>
      </c>
      <c r="B15">
        <v>67430</v>
      </c>
      <c r="D15">
        <f>B7/C5*E5</f>
        <v>7.17854758864979</v>
      </c>
    </row>
    <row r="18" spans="2:6" ht="12.75">
      <c r="B18">
        <f>B7+B11+B15</f>
        <v>198320</v>
      </c>
      <c r="D18">
        <f>D8+D12+D15</f>
        <v>19.296634358557974</v>
      </c>
      <c r="F18">
        <f>B18*E5/C5</f>
        <v>18.36090586147293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M28"/>
  <sheetViews>
    <sheetView tabSelected="1" zoomScale="90" zoomScaleNormal="90" zoomScalePageLayoutView="0" workbookViewId="0" topLeftCell="A1">
      <selection activeCell="F23" sqref="F23"/>
    </sheetView>
  </sheetViews>
  <sheetFormatPr defaultColWidth="11.421875" defaultRowHeight="12.75"/>
  <cols>
    <col min="1" max="1" width="6.140625" style="1" customWidth="1"/>
    <col min="2" max="2" width="31.8515625" style="1" customWidth="1"/>
    <col min="3" max="5" width="15.7109375" style="1" customWidth="1"/>
    <col min="6" max="8" width="17.00390625" style="1" customWidth="1"/>
    <col min="9" max="11" width="14.28125" style="1" customWidth="1"/>
    <col min="12" max="12" width="17.00390625" style="1" bestFit="1" customWidth="1"/>
    <col min="13" max="13" width="13.421875" style="1" bestFit="1" customWidth="1"/>
    <col min="14" max="16384" width="11.421875" style="1" customWidth="1"/>
  </cols>
  <sheetData>
    <row r="1" spans="3:5" ht="15.75">
      <c r="C1" s="29" t="s">
        <v>21</v>
      </c>
      <c r="D1" s="29"/>
      <c r="E1" s="29"/>
    </row>
    <row r="2" spans="2:3" ht="12.75">
      <c r="B2" s="11" t="s">
        <v>16</v>
      </c>
      <c r="C2" s="1" t="s">
        <v>91</v>
      </c>
    </row>
    <row r="3" spans="2:3" ht="12.75">
      <c r="B3" s="11" t="s">
        <v>17</v>
      </c>
      <c r="C3" s="1" t="s">
        <v>175</v>
      </c>
    </row>
    <row r="4" spans="2:3" ht="12.75">
      <c r="B4" s="11" t="s">
        <v>14</v>
      </c>
      <c r="C4" s="1" t="s">
        <v>176</v>
      </c>
    </row>
    <row r="5" spans="2:5" ht="12.75">
      <c r="B5" s="11" t="s">
        <v>15</v>
      </c>
      <c r="C5" s="196" t="s">
        <v>261</v>
      </c>
      <c r="D5" s="180"/>
      <c r="E5" s="180"/>
    </row>
    <row r="6" spans="2:5" ht="12.75">
      <c r="B6" s="13" t="s">
        <v>242</v>
      </c>
      <c r="C6" s="196">
        <v>70654.15</v>
      </c>
      <c r="D6" s="181"/>
      <c r="E6" s="181"/>
    </row>
    <row r="7" spans="2:5" ht="12.75">
      <c r="B7" s="13" t="s">
        <v>26</v>
      </c>
      <c r="C7" s="196">
        <v>1080000</v>
      </c>
      <c r="D7" s="181"/>
      <c r="E7" s="181"/>
    </row>
    <row r="9" spans="2:13" ht="12.75">
      <c r="B9" s="8" t="s">
        <v>1</v>
      </c>
      <c r="C9" s="192" t="s">
        <v>58</v>
      </c>
      <c r="D9" s="8" t="s">
        <v>295</v>
      </c>
      <c r="E9" s="8" t="s">
        <v>296</v>
      </c>
      <c r="F9" s="192" t="s">
        <v>91</v>
      </c>
      <c r="G9" s="8" t="s">
        <v>295</v>
      </c>
      <c r="H9" s="8" t="s">
        <v>306</v>
      </c>
      <c r="I9" s="192" t="s">
        <v>143</v>
      </c>
      <c r="J9" s="8" t="s">
        <v>295</v>
      </c>
      <c r="K9" s="8" t="s">
        <v>296</v>
      </c>
      <c r="L9" s="8" t="s">
        <v>174</v>
      </c>
      <c r="M9" s="8" t="s">
        <v>27</v>
      </c>
    </row>
    <row r="10" spans="2:13" ht="29.25" customHeight="1">
      <c r="B10" s="4" t="s">
        <v>298</v>
      </c>
      <c r="C10" s="193">
        <v>78684</v>
      </c>
      <c r="D10" s="194">
        <f aca="true" t="shared" si="0" ref="D10:D16">C10/2</f>
        <v>39342</v>
      </c>
      <c r="E10" s="194">
        <f aca="true" t="shared" si="1" ref="E10:E16">C10/2</f>
        <v>39342</v>
      </c>
      <c r="F10" s="193">
        <v>87680</v>
      </c>
      <c r="G10" s="194">
        <f>F10/2</f>
        <v>43840</v>
      </c>
      <c r="H10" s="194">
        <f>F10/2</f>
        <v>43840</v>
      </c>
      <c r="I10" s="193">
        <v>48800</v>
      </c>
      <c r="J10" s="194">
        <f>I10/2</f>
        <v>24400</v>
      </c>
      <c r="K10" s="194">
        <f>I10/2</f>
        <v>24400</v>
      </c>
      <c r="L10" s="178">
        <f>C10+F10+I10</f>
        <v>215164</v>
      </c>
      <c r="M10" s="179">
        <f>L10/L19</f>
        <v>0.19922608272423178</v>
      </c>
    </row>
    <row r="11" spans="2:13" ht="27" customHeight="1">
      <c r="B11" s="5" t="s">
        <v>299</v>
      </c>
      <c r="C11" s="193">
        <v>17400</v>
      </c>
      <c r="D11" s="194">
        <f t="shared" si="0"/>
        <v>8700</v>
      </c>
      <c r="E11" s="194">
        <f t="shared" si="1"/>
        <v>8700</v>
      </c>
      <c r="F11" s="193">
        <v>3960</v>
      </c>
      <c r="G11" s="194">
        <f aca="true" t="shared" si="2" ref="G11:G16">F11/2</f>
        <v>1980</v>
      </c>
      <c r="H11" s="194">
        <f aca="true" t="shared" si="3" ref="H11:H16">F11/2</f>
        <v>1980</v>
      </c>
      <c r="I11" s="193">
        <v>3780</v>
      </c>
      <c r="J11" s="194">
        <f aca="true" t="shared" si="4" ref="J11:J16">I11/2</f>
        <v>1890</v>
      </c>
      <c r="K11" s="194">
        <f aca="true" t="shared" si="5" ref="K11:K16">I11/2</f>
        <v>1890</v>
      </c>
      <c r="L11" s="178">
        <f aca="true" t="shared" si="6" ref="L11:L17">C11+F11+I11</f>
        <v>25140</v>
      </c>
      <c r="M11" s="177">
        <f>L11/L19</f>
        <v>0.02327779609826545</v>
      </c>
    </row>
    <row r="12" spans="2:13" ht="15.75" customHeight="1">
      <c r="B12" s="195" t="s">
        <v>300</v>
      </c>
      <c r="C12" s="193">
        <v>0</v>
      </c>
      <c r="D12" s="194">
        <f t="shared" si="0"/>
        <v>0</v>
      </c>
      <c r="E12" s="194">
        <f t="shared" si="1"/>
        <v>0</v>
      </c>
      <c r="F12" s="193">
        <v>0</v>
      </c>
      <c r="G12" s="194">
        <f t="shared" si="2"/>
        <v>0</v>
      </c>
      <c r="H12" s="194">
        <f t="shared" si="3"/>
        <v>0</v>
      </c>
      <c r="I12" s="193">
        <v>1000</v>
      </c>
      <c r="J12" s="194">
        <f t="shared" si="4"/>
        <v>500</v>
      </c>
      <c r="K12" s="194">
        <f t="shared" si="5"/>
        <v>500</v>
      </c>
      <c r="L12" s="178">
        <f t="shared" si="6"/>
        <v>1000</v>
      </c>
      <c r="M12" s="177"/>
    </row>
    <row r="13" spans="2:13" ht="15" customHeight="1">
      <c r="B13" s="5" t="s">
        <v>301</v>
      </c>
      <c r="C13" s="193">
        <v>218520</v>
      </c>
      <c r="D13" s="194">
        <f t="shared" si="0"/>
        <v>109260</v>
      </c>
      <c r="E13" s="194">
        <f t="shared" si="1"/>
        <v>109260</v>
      </c>
      <c r="F13" s="193">
        <v>248275</v>
      </c>
      <c r="G13" s="194">
        <f t="shared" si="2"/>
        <v>124137.5</v>
      </c>
      <c r="H13" s="194">
        <f t="shared" si="3"/>
        <v>124137.5</v>
      </c>
      <c r="I13" s="193">
        <v>235200</v>
      </c>
      <c r="J13" s="194">
        <f t="shared" si="4"/>
        <v>117600</v>
      </c>
      <c r="K13" s="194">
        <f t="shared" si="5"/>
        <v>117600</v>
      </c>
      <c r="L13" s="178">
        <f t="shared" si="6"/>
        <v>701995</v>
      </c>
      <c r="M13" s="177">
        <f>L13/L17</f>
        <v>0.6954955936770876</v>
      </c>
    </row>
    <row r="14" spans="2:13" ht="15" customHeight="1">
      <c r="B14" s="6" t="s">
        <v>302</v>
      </c>
      <c r="C14" s="193">
        <v>6000</v>
      </c>
      <c r="D14" s="194">
        <f t="shared" si="0"/>
        <v>3000</v>
      </c>
      <c r="E14" s="194">
        <f t="shared" si="1"/>
        <v>3000</v>
      </c>
      <c r="F14" s="193">
        <v>17050</v>
      </c>
      <c r="G14" s="194">
        <f t="shared" si="2"/>
        <v>8525</v>
      </c>
      <c r="H14" s="194">
        <f t="shared" si="3"/>
        <v>8525</v>
      </c>
      <c r="I14" s="193">
        <v>6000</v>
      </c>
      <c r="J14" s="194">
        <f t="shared" si="4"/>
        <v>3000</v>
      </c>
      <c r="K14" s="194">
        <f t="shared" si="5"/>
        <v>3000</v>
      </c>
      <c r="L14" s="178">
        <f t="shared" si="6"/>
        <v>29050</v>
      </c>
      <c r="M14" s="177">
        <f>L14/L19</f>
        <v>0.026898169318003633</v>
      </c>
    </row>
    <row r="15" spans="2:13" ht="12.75">
      <c r="B15" s="12" t="s">
        <v>303</v>
      </c>
      <c r="C15" s="193">
        <v>0</v>
      </c>
      <c r="D15" s="194">
        <f t="shared" si="0"/>
        <v>0</v>
      </c>
      <c r="E15" s="194">
        <f t="shared" si="1"/>
        <v>0</v>
      </c>
      <c r="F15" s="193">
        <v>0</v>
      </c>
      <c r="G15" s="194">
        <f t="shared" si="2"/>
        <v>0</v>
      </c>
      <c r="H15" s="194">
        <f t="shared" si="3"/>
        <v>0</v>
      </c>
      <c r="I15" s="193">
        <v>0</v>
      </c>
      <c r="J15" s="194">
        <f t="shared" si="4"/>
        <v>0</v>
      </c>
      <c r="K15" s="194">
        <f t="shared" si="5"/>
        <v>0</v>
      </c>
      <c r="L15" s="178">
        <f t="shared" si="6"/>
        <v>0</v>
      </c>
      <c r="M15" s="177"/>
    </row>
    <row r="16" spans="2:13" ht="25.5">
      <c r="B16" s="6" t="s">
        <v>304</v>
      </c>
      <c r="C16" s="193">
        <v>0</v>
      </c>
      <c r="D16" s="194">
        <f t="shared" si="0"/>
        <v>0</v>
      </c>
      <c r="E16" s="194">
        <f t="shared" si="1"/>
        <v>0</v>
      </c>
      <c r="F16" s="193">
        <v>10000</v>
      </c>
      <c r="G16" s="194">
        <f t="shared" si="2"/>
        <v>5000</v>
      </c>
      <c r="H16" s="194">
        <f t="shared" si="3"/>
        <v>5000</v>
      </c>
      <c r="I16" s="193">
        <v>26996</v>
      </c>
      <c r="J16" s="194">
        <f t="shared" si="4"/>
        <v>13498</v>
      </c>
      <c r="K16" s="194">
        <f t="shared" si="5"/>
        <v>13498</v>
      </c>
      <c r="L16" s="178">
        <f t="shared" si="6"/>
        <v>36996</v>
      </c>
      <c r="M16" s="177">
        <f>L16/L19</f>
        <v>0.03425558251596773</v>
      </c>
    </row>
    <row r="17" spans="2:13" ht="25.5">
      <c r="B17" s="188" t="s">
        <v>305</v>
      </c>
      <c r="C17" s="190">
        <f aca="true" t="shared" si="7" ref="C17:K17">SUM(C10:C16)</f>
        <v>320604</v>
      </c>
      <c r="D17" s="190">
        <f t="shared" si="7"/>
        <v>160302</v>
      </c>
      <c r="E17" s="190">
        <f t="shared" si="7"/>
        <v>160302</v>
      </c>
      <c r="F17" s="190">
        <f t="shared" si="7"/>
        <v>366965</v>
      </c>
      <c r="G17" s="190">
        <f t="shared" si="7"/>
        <v>183482.5</v>
      </c>
      <c r="H17" s="190">
        <f t="shared" si="7"/>
        <v>183482.5</v>
      </c>
      <c r="I17" s="190">
        <f t="shared" si="7"/>
        <v>321776</v>
      </c>
      <c r="J17" s="190">
        <f t="shared" si="7"/>
        <v>160888</v>
      </c>
      <c r="K17" s="190">
        <f t="shared" si="7"/>
        <v>160888</v>
      </c>
      <c r="L17" s="183">
        <f t="shared" si="6"/>
        <v>1009345</v>
      </c>
      <c r="M17" s="184">
        <f>L17/L19</f>
        <v>0.9345794392523366</v>
      </c>
    </row>
    <row r="18" spans="2:13" ht="12.75">
      <c r="B18" s="185" t="s">
        <v>243</v>
      </c>
      <c r="C18" s="186">
        <f>0.07*C17</f>
        <v>22442.280000000002</v>
      </c>
      <c r="D18" s="186">
        <f>C18/2</f>
        <v>11221.140000000001</v>
      </c>
      <c r="E18" s="186">
        <f>C18/2</f>
        <v>11221.140000000001</v>
      </c>
      <c r="F18" s="186">
        <f>0.07*F17</f>
        <v>25687.550000000003</v>
      </c>
      <c r="G18" s="186">
        <f>F18/2</f>
        <v>12843.775000000001</v>
      </c>
      <c r="H18" s="186">
        <f>F18/2</f>
        <v>12843.775000000001</v>
      </c>
      <c r="I18" s="186">
        <f>0.07*I17</f>
        <v>22524.320000000003</v>
      </c>
      <c r="J18" s="186">
        <f>I18/2</f>
        <v>11262.160000000002</v>
      </c>
      <c r="K18" s="186">
        <f>I18/2</f>
        <v>11262.160000000002</v>
      </c>
      <c r="L18" s="186">
        <f>C18+F18+I18</f>
        <v>70654.15000000001</v>
      </c>
      <c r="M18" s="187">
        <f>L18/L19</f>
        <v>0.06542056074766356</v>
      </c>
    </row>
    <row r="19" spans="2:13" ht="12.75">
      <c r="B19" s="182" t="s">
        <v>2</v>
      </c>
      <c r="C19" s="189">
        <f>C17+C18</f>
        <v>343046.28</v>
      </c>
      <c r="D19" s="189">
        <f>D17+D18</f>
        <v>171523.14</v>
      </c>
      <c r="E19" s="189">
        <f>E17+E18</f>
        <v>171523.14</v>
      </c>
      <c r="F19" s="189">
        <f>F18+F17</f>
        <v>392652.55</v>
      </c>
      <c r="G19" s="189">
        <f>G17+G18</f>
        <v>196326.275</v>
      </c>
      <c r="H19" s="189">
        <f>H17+H18</f>
        <v>196326.275</v>
      </c>
      <c r="I19" s="189">
        <f>I18+I17</f>
        <v>344300.32</v>
      </c>
      <c r="J19" s="189">
        <f>J17+J18</f>
        <v>172150.16</v>
      </c>
      <c r="K19" s="189">
        <f>K17+K18</f>
        <v>172150.16</v>
      </c>
      <c r="L19" s="189">
        <f>L17+L18</f>
        <v>1079999.15</v>
      </c>
      <c r="M19" s="191">
        <f>M17+M18</f>
        <v>1</v>
      </c>
    </row>
    <row r="21" ht="12.75">
      <c r="B21" s="1" t="s">
        <v>52</v>
      </c>
    </row>
    <row r="22" spans="2:11" ht="12.75">
      <c r="B22" s="373"/>
      <c r="C22" s="373"/>
      <c r="D22" s="373"/>
      <c r="E22" s="373"/>
      <c r="F22" s="373"/>
      <c r="G22" s="373"/>
      <c r="H22" s="373"/>
      <c r="I22" s="373"/>
      <c r="J22" s="174"/>
      <c r="K22" s="174"/>
    </row>
    <row r="24" spans="2:12" ht="30">
      <c r="B24" s="198" t="s">
        <v>308</v>
      </c>
      <c r="C24" s="198" t="s">
        <v>309</v>
      </c>
      <c r="D24" s="198" t="s">
        <v>310</v>
      </c>
      <c r="L24" s="214"/>
    </row>
    <row r="25" spans="2:12" ht="42.75">
      <c r="B25" s="199" t="s">
        <v>311</v>
      </c>
      <c r="C25" s="201">
        <v>701995</v>
      </c>
      <c r="D25" s="202">
        <f>C25/L19</f>
        <v>0.6499958819412034</v>
      </c>
      <c r="J25" s="214"/>
      <c r="L25" s="214"/>
    </row>
    <row r="26" spans="2:4" ht="57.75">
      <c r="B26" s="199" t="s">
        <v>312</v>
      </c>
      <c r="C26" s="201">
        <v>307350</v>
      </c>
      <c r="D26" s="202">
        <f>C26/L19</f>
        <v>0.2845835573111331</v>
      </c>
    </row>
    <row r="27" spans="2:4" ht="15">
      <c r="B27" s="199" t="s">
        <v>313</v>
      </c>
      <c r="C27" s="201">
        <v>70654.15</v>
      </c>
      <c r="D27" s="202">
        <f>C27/L19</f>
        <v>0.06542056074766354</v>
      </c>
    </row>
    <row r="28" spans="2:4" ht="15">
      <c r="B28" s="200" t="s">
        <v>297</v>
      </c>
      <c r="C28" s="212">
        <f>SUM(C25:C27)</f>
        <v>1079999.15</v>
      </c>
      <c r="D28" s="213">
        <f>SUM(D25:D27)</f>
        <v>1</v>
      </c>
    </row>
  </sheetData>
  <sheetProtection/>
  <mergeCells count="1">
    <mergeCell ref="B22:I22"/>
  </mergeCells>
  <printOptions/>
  <pageMargins left="0.28" right="0.25" top="1" bottom="1" header="0" footer="0"/>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Q195"/>
  <sheetViews>
    <sheetView showRowColHeaders="0" zoomScale="70" zoomScaleNormal="70" workbookViewId="0" topLeftCell="A169">
      <selection activeCell="J130" sqref="J130"/>
    </sheetView>
  </sheetViews>
  <sheetFormatPr defaultColWidth="11.421875" defaultRowHeight="12.75"/>
  <cols>
    <col min="1" max="1" width="50.00390625" style="245" customWidth="1"/>
    <col min="2" max="2" width="48.28125" style="245" customWidth="1"/>
    <col min="3" max="3" width="18.57421875" style="245" customWidth="1"/>
    <col min="4" max="4" width="18.7109375" style="245" customWidth="1"/>
    <col min="5" max="5" width="11.421875" style="245" customWidth="1"/>
    <col min="6" max="6" width="14.28125" style="245" customWidth="1"/>
    <col min="7" max="7" width="13.7109375" style="245" customWidth="1"/>
    <col min="8" max="9" width="14.8515625" style="245" customWidth="1"/>
    <col min="10" max="10" width="11.421875" style="245" customWidth="1"/>
    <col min="11" max="11" width="26.00390625" style="245" bestFit="1" customWidth="1"/>
    <col min="12" max="12" width="13.57421875" style="245" customWidth="1"/>
    <col min="13" max="13" width="16.7109375" style="245" customWidth="1"/>
    <col min="14" max="14" width="36.8515625" style="245" customWidth="1"/>
    <col min="15" max="16384" width="11.421875" style="245" customWidth="1"/>
  </cols>
  <sheetData>
    <row r="1" spans="3:7" ht="18.75">
      <c r="C1" s="246"/>
      <c r="D1" s="247" t="s">
        <v>20</v>
      </c>
      <c r="E1" s="248"/>
      <c r="F1" s="249"/>
      <c r="G1" s="249"/>
    </row>
    <row r="2" spans="1:2" ht="15">
      <c r="A2" s="250" t="s">
        <v>16</v>
      </c>
      <c r="B2" s="251" t="s">
        <v>158</v>
      </c>
    </row>
    <row r="3" spans="1:2" ht="45">
      <c r="A3" s="250" t="s">
        <v>17</v>
      </c>
      <c r="B3" s="252" t="s">
        <v>177</v>
      </c>
    </row>
    <row r="4" spans="1:2" ht="15">
      <c r="A4" s="250" t="s">
        <v>14</v>
      </c>
      <c r="B4" s="253" t="s">
        <v>318</v>
      </c>
    </row>
    <row r="5" spans="1:2" ht="15">
      <c r="A5" s="250" t="s">
        <v>15</v>
      </c>
      <c r="B5" s="254" t="s">
        <v>261</v>
      </c>
    </row>
    <row r="6" spans="1:2" ht="15">
      <c r="A6" s="250" t="s">
        <v>263</v>
      </c>
      <c r="B6" s="255"/>
    </row>
    <row r="7" spans="1:9" ht="15">
      <c r="A7" s="250" t="s">
        <v>26</v>
      </c>
      <c r="B7" s="253" t="s">
        <v>262</v>
      </c>
      <c r="H7" s="308"/>
      <c r="I7" s="308"/>
    </row>
    <row r="9" spans="1:14" ht="66.75" customHeight="1">
      <c r="A9" s="256" t="s">
        <v>8</v>
      </c>
      <c r="B9" s="256" t="s">
        <v>9</v>
      </c>
      <c r="C9" s="256" t="s">
        <v>165</v>
      </c>
      <c r="D9" s="256" t="s">
        <v>24</v>
      </c>
      <c r="E9" s="257" t="s">
        <v>5</v>
      </c>
      <c r="F9" s="258" t="s">
        <v>6</v>
      </c>
      <c r="G9" s="258" t="s">
        <v>7</v>
      </c>
      <c r="H9" s="259" t="s">
        <v>349</v>
      </c>
      <c r="I9" s="259" t="s">
        <v>348</v>
      </c>
      <c r="J9" s="259" t="s">
        <v>18</v>
      </c>
      <c r="K9" s="259" t="s">
        <v>240</v>
      </c>
      <c r="L9" s="259" t="s">
        <v>395</v>
      </c>
      <c r="M9" s="259" t="s">
        <v>317</v>
      </c>
      <c r="N9" s="259" t="s">
        <v>28</v>
      </c>
    </row>
    <row r="10" spans="1:14" ht="15">
      <c r="A10" s="376" t="s">
        <v>39</v>
      </c>
      <c r="B10" s="377"/>
      <c r="C10" s="377"/>
      <c r="D10" s="377"/>
      <c r="E10" s="377"/>
      <c r="F10" s="377"/>
      <c r="G10" s="377"/>
      <c r="H10" s="377"/>
      <c r="I10" s="377"/>
      <c r="J10" s="377"/>
      <c r="K10" s="377"/>
      <c r="L10" s="377"/>
      <c r="M10" s="377"/>
      <c r="N10" s="378"/>
    </row>
    <row r="11" spans="1:14" ht="69" customHeight="1">
      <c r="A11" s="351" t="s">
        <v>55</v>
      </c>
      <c r="B11" s="379"/>
      <c r="C11" s="379"/>
      <c r="D11" s="379"/>
      <c r="E11" s="379"/>
      <c r="F11" s="379"/>
      <c r="G11" s="379"/>
      <c r="H11" s="379"/>
      <c r="I11" s="379"/>
      <c r="J11" s="379"/>
      <c r="K11" s="379"/>
      <c r="L11" s="379"/>
      <c r="M11" s="379"/>
      <c r="N11" s="380"/>
    </row>
    <row r="12" spans="1:14" ht="46.5" customHeight="1">
      <c r="A12" s="381" t="s">
        <v>105</v>
      </c>
      <c r="B12" s="379"/>
      <c r="C12" s="260"/>
      <c r="D12" s="261"/>
      <c r="E12" s="262"/>
      <c r="F12" s="263"/>
      <c r="G12" s="263"/>
      <c r="H12" s="260"/>
      <c r="I12" s="298"/>
      <c r="J12" s="260"/>
      <c r="K12" s="260"/>
      <c r="L12" s="260"/>
      <c r="M12" s="260"/>
      <c r="N12" s="264"/>
    </row>
    <row r="13" spans="1:14" s="266" customFormat="1" ht="80.25" customHeight="1">
      <c r="A13" s="335" t="s">
        <v>106</v>
      </c>
      <c r="B13" s="303" t="s">
        <v>353</v>
      </c>
      <c r="C13" s="303" t="s">
        <v>32</v>
      </c>
      <c r="D13" s="303" t="s">
        <v>143</v>
      </c>
      <c r="E13" s="303">
        <v>1</v>
      </c>
      <c r="F13" s="303">
        <v>15000</v>
      </c>
      <c r="G13" s="303">
        <v>1</v>
      </c>
      <c r="H13" s="304">
        <f>E13*F13*G13</f>
        <v>15000</v>
      </c>
      <c r="I13" s="304">
        <v>0</v>
      </c>
      <c r="J13" s="304">
        <v>0</v>
      </c>
      <c r="K13" s="305">
        <f>H13*J13</f>
        <v>0</v>
      </c>
      <c r="L13" s="305">
        <v>0</v>
      </c>
      <c r="M13" s="305">
        <v>0</v>
      </c>
      <c r="N13" s="303" t="s">
        <v>374</v>
      </c>
    </row>
    <row r="14" spans="1:14" s="266" customFormat="1" ht="50.25" customHeight="1">
      <c r="A14" s="335"/>
      <c r="B14" s="44" t="s">
        <v>335</v>
      </c>
      <c r="C14" s="44" t="s">
        <v>32</v>
      </c>
      <c r="D14" s="58" t="s">
        <v>143</v>
      </c>
      <c r="E14" s="58">
        <v>1</v>
      </c>
      <c r="F14" s="58">
        <v>5800</v>
      </c>
      <c r="G14" s="58">
        <v>1</v>
      </c>
      <c r="H14" s="50">
        <f>E14*F14*G14</f>
        <v>5800</v>
      </c>
      <c r="I14" s="50">
        <v>5800</v>
      </c>
      <c r="J14" s="50">
        <v>20</v>
      </c>
      <c r="K14" s="45">
        <f>I14*J14/100</f>
        <v>1160</v>
      </c>
      <c r="L14" s="45">
        <v>5800</v>
      </c>
      <c r="M14" s="45">
        <f>L14/H14*100</f>
        <v>100</v>
      </c>
      <c r="N14" s="58" t="s">
        <v>188</v>
      </c>
    </row>
    <row r="15" spans="1:14" s="266" customFormat="1" ht="50.25" customHeight="1">
      <c r="A15" s="335"/>
      <c r="B15" s="44" t="s">
        <v>357</v>
      </c>
      <c r="C15" s="44" t="s">
        <v>32</v>
      </c>
      <c r="D15" s="58" t="s">
        <v>143</v>
      </c>
      <c r="E15" s="58">
        <v>1</v>
      </c>
      <c r="F15" s="317">
        <v>1290</v>
      </c>
      <c r="G15" s="58">
        <v>1</v>
      </c>
      <c r="H15" s="50">
        <v>0</v>
      </c>
      <c r="I15" s="50">
        <f>E15*F15*G15</f>
        <v>1290</v>
      </c>
      <c r="J15" s="50">
        <v>10</v>
      </c>
      <c r="K15" s="45">
        <f>I15*J15/100</f>
        <v>129</v>
      </c>
      <c r="L15" s="45">
        <v>1290</v>
      </c>
      <c r="M15" s="45">
        <f>L15/I15*100</f>
        <v>100</v>
      </c>
      <c r="N15" s="58" t="s">
        <v>378</v>
      </c>
    </row>
    <row r="16" spans="1:14" s="266" customFormat="1" ht="50.25" customHeight="1">
      <c r="A16" s="335"/>
      <c r="B16" s="44" t="s">
        <v>336</v>
      </c>
      <c r="C16" s="44" t="s">
        <v>32</v>
      </c>
      <c r="D16" s="58" t="s">
        <v>143</v>
      </c>
      <c r="E16" s="58">
        <v>1</v>
      </c>
      <c r="F16" s="58">
        <v>7000</v>
      </c>
      <c r="G16" s="58">
        <v>1</v>
      </c>
      <c r="H16" s="50">
        <f>E16*F16*G16</f>
        <v>7000</v>
      </c>
      <c r="I16" s="50">
        <v>7000</v>
      </c>
      <c r="J16" s="50">
        <v>20</v>
      </c>
      <c r="K16" s="45">
        <f>I16*J16/100</f>
        <v>1400</v>
      </c>
      <c r="L16" s="45">
        <v>7000</v>
      </c>
      <c r="M16" s="45">
        <f>L16/H16*100</f>
        <v>100</v>
      </c>
      <c r="N16" s="58" t="s">
        <v>361</v>
      </c>
    </row>
    <row r="17" spans="1:14" s="266" customFormat="1" ht="50.25" customHeight="1">
      <c r="A17" s="335"/>
      <c r="B17" s="44" t="s">
        <v>359</v>
      </c>
      <c r="C17" s="44" t="s">
        <v>32</v>
      </c>
      <c r="D17" s="58" t="s">
        <v>143</v>
      </c>
      <c r="E17" s="58">
        <v>1</v>
      </c>
      <c r="F17" s="58">
        <v>3560</v>
      </c>
      <c r="G17" s="58">
        <v>1</v>
      </c>
      <c r="H17" s="50">
        <v>0</v>
      </c>
      <c r="I17" s="50">
        <f>E17*F17*G17</f>
        <v>3560</v>
      </c>
      <c r="J17" s="50">
        <v>20</v>
      </c>
      <c r="K17" s="45">
        <f aca="true" t="shared" si="0" ref="K17:K23">I17*J17/100</f>
        <v>712</v>
      </c>
      <c r="L17" s="45">
        <v>3560</v>
      </c>
      <c r="M17" s="45">
        <f>L17/I17*100</f>
        <v>100</v>
      </c>
      <c r="N17" s="58" t="s">
        <v>377</v>
      </c>
    </row>
    <row r="18" spans="1:14" s="266" customFormat="1" ht="50.25" customHeight="1">
      <c r="A18" s="335"/>
      <c r="B18" s="44" t="s">
        <v>354</v>
      </c>
      <c r="C18" s="44" t="s">
        <v>32</v>
      </c>
      <c r="D18" s="58" t="s">
        <v>143</v>
      </c>
      <c r="E18" s="58">
        <v>1</v>
      </c>
      <c r="F18" s="58">
        <v>3000</v>
      </c>
      <c r="G18" s="58">
        <v>2</v>
      </c>
      <c r="H18" s="50">
        <v>0</v>
      </c>
      <c r="I18" s="50">
        <f>E18*F18*G18</f>
        <v>6000</v>
      </c>
      <c r="J18" s="50">
        <v>10</v>
      </c>
      <c r="K18" s="45">
        <f>I18*J18/100</f>
        <v>600</v>
      </c>
      <c r="L18" s="45">
        <v>3000</v>
      </c>
      <c r="M18" s="45">
        <f>L18/I18*100</f>
        <v>50</v>
      </c>
      <c r="N18" s="58" t="s">
        <v>375</v>
      </c>
    </row>
    <row r="19" spans="1:14" s="266" customFormat="1" ht="50.25" customHeight="1">
      <c r="A19" s="335"/>
      <c r="B19" s="44" t="s">
        <v>358</v>
      </c>
      <c r="C19" s="44" t="s">
        <v>32</v>
      </c>
      <c r="D19" s="58" t="s">
        <v>143</v>
      </c>
      <c r="E19" s="58">
        <v>1</v>
      </c>
      <c r="F19" s="58">
        <v>7500</v>
      </c>
      <c r="G19" s="58">
        <v>1</v>
      </c>
      <c r="H19" s="50">
        <v>0</v>
      </c>
      <c r="I19" s="50">
        <v>10000</v>
      </c>
      <c r="J19" s="50">
        <v>30</v>
      </c>
      <c r="K19" s="45">
        <f t="shared" si="0"/>
        <v>3000</v>
      </c>
      <c r="L19" s="45">
        <v>10000</v>
      </c>
      <c r="M19" s="45">
        <f>L19/I19*100</f>
        <v>100</v>
      </c>
      <c r="N19" s="58" t="s">
        <v>376</v>
      </c>
    </row>
    <row r="20" spans="1:14" s="266" customFormat="1" ht="51.75" customHeight="1">
      <c r="A20" s="335"/>
      <c r="B20" s="44" t="s">
        <v>355</v>
      </c>
      <c r="C20" s="44" t="s">
        <v>32</v>
      </c>
      <c r="D20" s="58" t="s">
        <v>143</v>
      </c>
      <c r="E20" s="58">
        <v>1</v>
      </c>
      <c r="F20" s="58">
        <v>0</v>
      </c>
      <c r="G20" s="58">
        <v>0</v>
      </c>
      <c r="H20" s="50">
        <v>0</v>
      </c>
      <c r="I20" s="50">
        <v>2500</v>
      </c>
      <c r="J20" s="50">
        <v>10</v>
      </c>
      <c r="K20" s="45">
        <f t="shared" si="0"/>
        <v>250</v>
      </c>
      <c r="L20" s="45">
        <v>0</v>
      </c>
      <c r="M20" s="45">
        <f>L20/I20*100</f>
        <v>0</v>
      </c>
      <c r="N20" s="58" t="s">
        <v>387</v>
      </c>
    </row>
    <row r="21" spans="1:14" s="266" customFormat="1" ht="111.75" customHeight="1">
      <c r="A21" s="335"/>
      <c r="B21" s="44" t="s">
        <v>356</v>
      </c>
      <c r="C21" s="44" t="s">
        <v>32</v>
      </c>
      <c r="D21" s="58" t="s">
        <v>143</v>
      </c>
      <c r="E21" s="58">
        <v>1</v>
      </c>
      <c r="F21" s="44">
        <v>32540</v>
      </c>
      <c r="G21" s="44">
        <v>1</v>
      </c>
      <c r="H21" s="50">
        <v>0</v>
      </c>
      <c r="I21" s="50">
        <v>34520</v>
      </c>
      <c r="J21" s="50">
        <v>30</v>
      </c>
      <c r="K21" s="45">
        <f t="shared" si="0"/>
        <v>10356</v>
      </c>
      <c r="L21" s="45">
        <v>0</v>
      </c>
      <c r="M21" s="45">
        <v>0</v>
      </c>
      <c r="N21" s="58" t="s">
        <v>361</v>
      </c>
    </row>
    <row r="22" spans="1:14" s="266" customFormat="1" ht="60">
      <c r="A22" s="335"/>
      <c r="B22" s="303" t="s">
        <v>153</v>
      </c>
      <c r="C22" s="303" t="s">
        <v>32</v>
      </c>
      <c r="D22" s="303" t="s">
        <v>143</v>
      </c>
      <c r="E22" s="303">
        <v>3</v>
      </c>
      <c r="F22" s="303">
        <v>7500</v>
      </c>
      <c r="G22" s="303">
        <v>1</v>
      </c>
      <c r="H22" s="304">
        <f>E22*F22*G22</f>
        <v>22500</v>
      </c>
      <c r="I22" s="304">
        <v>0</v>
      </c>
      <c r="J22" s="304">
        <v>0</v>
      </c>
      <c r="K22" s="305">
        <f t="shared" si="0"/>
        <v>0</v>
      </c>
      <c r="L22" s="305">
        <v>0</v>
      </c>
      <c r="M22" s="305"/>
      <c r="N22" s="303" t="s">
        <v>380</v>
      </c>
    </row>
    <row r="23" spans="1:14" s="266" customFormat="1" ht="45.75" customHeight="1">
      <c r="A23" s="335"/>
      <c r="B23" s="44" t="s">
        <v>381</v>
      </c>
      <c r="C23" s="44" t="s">
        <v>32</v>
      </c>
      <c r="D23" s="58" t="s">
        <v>143</v>
      </c>
      <c r="E23" s="58">
        <v>1</v>
      </c>
      <c r="F23" s="58">
        <v>0</v>
      </c>
      <c r="G23" s="58">
        <v>1</v>
      </c>
      <c r="H23" s="50">
        <v>0</v>
      </c>
      <c r="I23" s="50">
        <v>0</v>
      </c>
      <c r="J23" s="50">
        <v>0</v>
      </c>
      <c r="K23" s="45">
        <f t="shared" si="0"/>
        <v>0</v>
      </c>
      <c r="L23" s="45">
        <v>0</v>
      </c>
      <c r="M23" s="45"/>
      <c r="N23" s="65" t="s">
        <v>379</v>
      </c>
    </row>
    <row r="24" spans="1:14" ht="26.25" customHeight="1">
      <c r="A24" s="335"/>
      <c r="B24" s="59" t="s">
        <v>332</v>
      </c>
      <c r="C24" s="59"/>
      <c r="D24" s="59" t="s">
        <v>143</v>
      </c>
      <c r="E24" s="59"/>
      <c r="F24" s="59"/>
      <c r="G24" s="59"/>
      <c r="H24" s="318">
        <f>SUM(H13:H23)</f>
        <v>50300</v>
      </c>
      <c r="I24" s="318">
        <f>SUM(I13:I23)</f>
        <v>70670</v>
      </c>
      <c r="J24" s="52"/>
      <c r="K24" s="319">
        <f>SUM(K13:K23)</f>
        <v>17607</v>
      </c>
      <c r="L24" s="319">
        <f>SUM(L16:L23)</f>
        <v>23560</v>
      </c>
      <c r="M24" s="155"/>
      <c r="N24" s="155"/>
    </row>
    <row r="25" spans="1:14" ht="30">
      <c r="A25" s="335"/>
      <c r="B25" s="44" t="s">
        <v>141</v>
      </c>
      <c r="C25" s="44"/>
      <c r="D25" s="58"/>
      <c r="E25" s="58"/>
      <c r="F25" s="58"/>
      <c r="G25" s="58"/>
      <c r="H25" s="50"/>
      <c r="I25" s="50"/>
      <c r="J25" s="50"/>
      <c r="K25" s="45"/>
      <c r="L25" s="45"/>
      <c r="M25" s="45"/>
      <c r="N25" s="45"/>
    </row>
    <row r="26" spans="1:14" ht="75">
      <c r="A26" s="335"/>
      <c r="B26" s="44" t="s">
        <v>360</v>
      </c>
      <c r="C26" s="44" t="s">
        <v>32</v>
      </c>
      <c r="D26" s="58" t="s">
        <v>143</v>
      </c>
      <c r="E26" s="58">
        <v>1</v>
      </c>
      <c r="F26" s="58">
        <v>7500</v>
      </c>
      <c r="G26" s="58">
        <v>1</v>
      </c>
      <c r="H26" s="50">
        <f>E26*F26*G26</f>
        <v>7500</v>
      </c>
      <c r="I26" s="50">
        <v>0</v>
      </c>
      <c r="J26" s="50">
        <v>0</v>
      </c>
      <c r="K26" s="45">
        <v>0</v>
      </c>
      <c r="L26" s="45">
        <v>0</v>
      </c>
      <c r="M26" s="45"/>
      <c r="N26" s="58" t="s">
        <v>382</v>
      </c>
    </row>
    <row r="27" spans="1:14" ht="45">
      <c r="A27" s="335"/>
      <c r="B27" s="44" t="s">
        <v>155</v>
      </c>
      <c r="C27" s="44" t="s">
        <v>32</v>
      </c>
      <c r="D27" s="58" t="s">
        <v>143</v>
      </c>
      <c r="E27" s="58">
        <v>1</v>
      </c>
      <c r="F27" s="58">
        <v>7000</v>
      </c>
      <c r="G27" s="58">
        <v>1</v>
      </c>
      <c r="H27" s="50">
        <f>E27*F27*G27</f>
        <v>7000</v>
      </c>
      <c r="I27" s="50">
        <v>0</v>
      </c>
      <c r="J27" s="50">
        <v>0</v>
      </c>
      <c r="K27" s="45">
        <v>0</v>
      </c>
      <c r="L27" s="45">
        <v>0</v>
      </c>
      <c r="M27" s="45"/>
      <c r="N27" s="58" t="s">
        <v>382</v>
      </c>
    </row>
    <row r="28" spans="1:14" ht="60">
      <c r="A28" s="335"/>
      <c r="B28" s="44" t="s">
        <v>191</v>
      </c>
      <c r="C28" s="44" t="s">
        <v>32</v>
      </c>
      <c r="D28" s="58" t="s">
        <v>143</v>
      </c>
      <c r="E28" s="58">
        <v>1</v>
      </c>
      <c r="F28" s="58">
        <v>0</v>
      </c>
      <c r="G28" s="58">
        <v>1</v>
      </c>
      <c r="H28" s="50">
        <f>E28*F28*G28</f>
        <v>0</v>
      </c>
      <c r="I28" s="50">
        <v>0</v>
      </c>
      <c r="J28" s="50">
        <v>0</v>
      </c>
      <c r="K28" s="45">
        <v>0</v>
      </c>
      <c r="L28" s="45">
        <v>0</v>
      </c>
      <c r="M28" s="45"/>
      <c r="N28" s="58" t="s">
        <v>385</v>
      </c>
    </row>
    <row r="29" spans="1:14" ht="60">
      <c r="A29" s="335"/>
      <c r="B29" s="44" t="s">
        <v>384</v>
      </c>
      <c r="C29" s="44" t="s">
        <v>32</v>
      </c>
      <c r="D29" s="44" t="s">
        <v>143</v>
      </c>
      <c r="E29" s="44">
        <v>1</v>
      </c>
      <c r="F29" s="44">
        <v>4682</v>
      </c>
      <c r="G29" s="44">
        <v>1</v>
      </c>
      <c r="H29" s="44">
        <v>0</v>
      </c>
      <c r="I29" s="44">
        <v>3130</v>
      </c>
      <c r="J29" s="50">
        <v>30</v>
      </c>
      <c r="K29" s="78">
        <f>J29*I29/100</f>
        <v>939</v>
      </c>
      <c r="L29" s="78">
        <v>0</v>
      </c>
      <c r="M29" s="78"/>
      <c r="N29" s="44" t="s">
        <v>388</v>
      </c>
    </row>
    <row r="30" spans="1:14" ht="60">
      <c r="A30" s="335"/>
      <c r="B30" s="44" t="s">
        <v>383</v>
      </c>
      <c r="C30" s="44" t="s">
        <v>32</v>
      </c>
      <c r="D30" s="58" t="s">
        <v>143</v>
      </c>
      <c r="E30" s="58">
        <v>1</v>
      </c>
      <c r="F30" s="58">
        <v>2000</v>
      </c>
      <c r="G30" s="58">
        <v>1</v>
      </c>
      <c r="H30" s="50">
        <f>E30*F30*G30</f>
        <v>2000</v>
      </c>
      <c r="I30" s="44">
        <v>3000</v>
      </c>
      <c r="J30" s="50">
        <v>30</v>
      </c>
      <c r="K30" s="78">
        <f>J30*I30/100</f>
        <v>900</v>
      </c>
      <c r="L30" s="45">
        <v>0</v>
      </c>
      <c r="M30" s="45"/>
      <c r="N30" s="44" t="s">
        <v>388</v>
      </c>
    </row>
    <row r="31" spans="1:14" ht="60">
      <c r="A31" s="335"/>
      <c r="B31" s="44" t="s">
        <v>157</v>
      </c>
      <c r="C31" s="44" t="s">
        <v>32</v>
      </c>
      <c r="D31" s="58" t="s">
        <v>143</v>
      </c>
      <c r="E31" s="58">
        <v>1</v>
      </c>
      <c r="F31" s="58">
        <v>500</v>
      </c>
      <c r="G31" s="58">
        <v>1</v>
      </c>
      <c r="H31" s="50">
        <f>E31*F31*G31</f>
        <v>500</v>
      </c>
      <c r="I31" s="50">
        <v>500</v>
      </c>
      <c r="J31" s="50">
        <v>0</v>
      </c>
      <c r="K31" s="78">
        <f>J31*I31/100</f>
        <v>0</v>
      </c>
      <c r="L31" s="45">
        <v>0</v>
      </c>
      <c r="M31" s="45"/>
      <c r="N31" s="45" t="s">
        <v>386</v>
      </c>
    </row>
    <row r="32" spans="1:14" ht="32.25" customHeight="1">
      <c r="A32" s="335"/>
      <c r="B32" s="59" t="s">
        <v>332</v>
      </c>
      <c r="C32" s="59" t="s">
        <v>32</v>
      </c>
      <c r="D32" s="59" t="s">
        <v>143</v>
      </c>
      <c r="E32" s="59"/>
      <c r="F32" s="59"/>
      <c r="G32" s="67"/>
      <c r="H32" s="318">
        <f>SUM(H26:H31)</f>
        <v>17000</v>
      </c>
      <c r="I32" s="318">
        <f>SUM(I26:I31)</f>
        <v>6630</v>
      </c>
      <c r="J32" s="54"/>
      <c r="K32" s="54"/>
      <c r="L32" s="52">
        <v>0</v>
      </c>
      <c r="M32" s="54"/>
      <c r="N32" s="54"/>
    </row>
    <row r="33" spans="1:14" ht="41.25" customHeight="1">
      <c r="A33" s="351" t="s">
        <v>66</v>
      </c>
      <c r="B33" s="352"/>
      <c r="C33" s="44"/>
      <c r="D33" s="44"/>
      <c r="E33" s="44"/>
      <c r="F33" s="44"/>
      <c r="G33" s="71"/>
      <c r="H33" s="57"/>
      <c r="I33" s="57"/>
      <c r="J33" s="57"/>
      <c r="K33" s="57"/>
      <c r="L33" s="57"/>
      <c r="M33" s="57"/>
      <c r="N33" s="57"/>
    </row>
    <row r="34" spans="1:14" ht="90">
      <c r="A34" s="336" t="s">
        <v>107</v>
      </c>
      <c r="B34" s="44" t="s">
        <v>182</v>
      </c>
      <c r="C34" s="44" t="s">
        <v>32</v>
      </c>
      <c r="D34" s="44" t="s">
        <v>143</v>
      </c>
      <c r="E34" s="44">
        <v>3</v>
      </c>
      <c r="F34" s="44">
        <v>6400</v>
      </c>
      <c r="G34" s="44">
        <v>1</v>
      </c>
      <c r="H34" s="44">
        <f>E34*F34*G34</f>
        <v>19200</v>
      </c>
      <c r="I34" s="44">
        <v>19200</v>
      </c>
      <c r="J34" s="50">
        <v>40</v>
      </c>
      <c r="K34" s="78">
        <f>J34*I34/100</f>
        <v>7680</v>
      </c>
      <c r="L34" s="78">
        <v>19200</v>
      </c>
      <c r="M34" s="45">
        <f>L34/H34*100</f>
        <v>100</v>
      </c>
      <c r="N34" s="167" t="s">
        <v>330</v>
      </c>
    </row>
    <row r="35" spans="1:14" ht="69" customHeight="1">
      <c r="A35" s="337"/>
      <c r="B35" s="44" t="s">
        <v>362</v>
      </c>
      <c r="C35" s="44" t="s">
        <v>32</v>
      </c>
      <c r="D35" s="44" t="s">
        <v>143</v>
      </c>
      <c r="E35" s="44">
        <v>1</v>
      </c>
      <c r="F35" s="44">
        <v>9000</v>
      </c>
      <c r="G35" s="44">
        <v>1</v>
      </c>
      <c r="H35" s="44">
        <f>E35*F35*G35</f>
        <v>9000</v>
      </c>
      <c r="I35" s="44">
        <v>0</v>
      </c>
      <c r="J35" s="50">
        <v>40</v>
      </c>
      <c r="K35" s="78">
        <f>J35*I35/100</f>
        <v>0</v>
      </c>
      <c r="L35" s="78">
        <v>0</v>
      </c>
      <c r="M35" s="45"/>
      <c r="N35" s="167" t="s">
        <v>365</v>
      </c>
    </row>
    <row r="36" spans="1:14" ht="75">
      <c r="A36" s="337"/>
      <c r="B36" s="44" t="s">
        <v>389</v>
      </c>
      <c r="C36" s="44" t="s">
        <v>32</v>
      </c>
      <c r="D36" s="44" t="s">
        <v>143</v>
      </c>
      <c r="E36" s="44">
        <v>3</v>
      </c>
      <c r="F36" s="44">
        <v>12000</v>
      </c>
      <c r="G36" s="44">
        <v>1</v>
      </c>
      <c r="H36" s="44">
        <f>E36*F36*G36</f>
        <v>36000</v>
      </c>
      <c r="I36" s="44">
        <v>36000</v>
      </c>
      <c r="J36" s="50">
        <v>30</v>
      </c>
      <c r="K36" s="78">
        <f>J36*I36/100</f>
        <v>10800</v>
      </c>
      <c r="L36" s="78">
        <v>36000</v>
      </c>
      <c r="M36" s="45">
        <f>L36/H36*100</f>
        <v>100</v>
      </c>
      <c r="N36" s="148" t="s">
        <v>396</v>
      </c>
    </row>
    <row r="37" spans="1:14" ht="15.75">
      <c r="A37" s="338"/>
      <c r="B37" s="59" t="s">
        <v>332</v>
      </c>
      <c r="C37" s="59"/>
      <c r="D37" s="59" t="s">
        <v>0</v>
      </c>
      <c r="E37" s="59"/>
      <c r="F37" s="59"/>
      <c r="G37" s="67"/>
      <c r="H37" s="318">
        <f>SUM(H34:H36)</f>
        <v>64200</v>
      </c>
      <c r="I37" s="318">
        <f>SUM(I34:I36)</f>
        <v>55200</v>
      </c>
      <c r="J37" s="268"/>
      <c r="K37" s="318">
        <f>SUM(K34:K36)</f>
        <v>18480</v>
      </c>
      <c r="L37" s="269">
        <f>+L36+L34</f>
        <v>55200</v>
      </c>
      <c r="M37" s="54"/>
      <c r="N37" s="54"/>
    </row>
    <row r="38" spans="1:14" ht="57">
      <c r="A38" s="320" t="s">
        <v>108</v>
      </c>
      <c r="B38" s="197"/>
      <c r="C38" s="197"/>
      <c r="D38" s="171"/>
      <c r="E38" s="172"/>
      <c r="F38" s="172"/>
      <c r="G38" s="172"/>
      <c r="H38" s="172"/>
      <c r="I38" s="172"/>
      <c r="J38" s="172"/>
      <c r="K38" s="172"/>
      <c r="L38" s="172"/>
      <c r="M38" s="172"/>
      <c r="N38" s="173"/>
    </row>
    <row r="39" spans="1:14" ht="15" customHeight="1">
      <c r="A39" s="302"/>
      <c r="B39" s="382" t="s">
        <v>391</v>
      </c>
      <c r="C39" s="387" t="s">
        <v>32</v>
      </c>
      <c r="D39" s="390" t="s">
        <v>143</v>
      </c>
      <c r="E39" s="393">
        <v>3</v>
      </c>
      <c r="F39" s="393">
        <v>0</v>
      </c>
      <c r="G39" s="393">
        <v>1</v>
      </c>
      <c r="H39" s="393">
        <v>0</v>
      </c>
      <c r="I39" s="396">
        <v>0</v>
      </c>
      <c r="J39" s="393">
        <v>0</v>
      </c>
      <c r="K39" s="393"/>
      <c r="L39" s="396">
        <v>0</v>
      </c>
      <c r="M39" s="393"/>
      <c r="N39" s="399" t="s">
        <v>371</v>
      </c>
    </row>
    <row r="40" spans="1:14" ht="15" customHeight="1">
      <c r="A40" s="302"/>
      <c r="B40" s="383"/>
      <c r="C40" s="388"/>
      <c r="D40" s="391"/>
      <c r="E40" s="394"/>
      <c r="F40" s="394"/>
      <c r="G40" s="394"/>
      <c r="H40" s="394"/>
      <c r="I40" s="397"/>
      <c r="J40" s="394"/>
      <c r="K40" s="394"/>
      <c r="L40" s="397"/>
      <c r="M40" s="394"/>
      <c r="N40" s="400"/>
    </row>
    <row r="41" spans="1:14" ht="28.5">
      <c r="A41" s="302" t="s">
        <v>370</v>
      </c>
      <c r="B41" s="383"/>
      <c r="C41" s="388"/>
      <c r="D41" s="391"/>
      <c r="E41" s="394"/>
      <c r="F41" s="394"/>
      <c r="G41" s="394"/>
      <c r="H41" s="394"/>
      <c r="I41" s="397"/>
      <c r="J41" s="394"/>
      <c r="K41" s="394"/>
      <c r="L41" s="397"/>
      <c r="M41" s="394"/>
      <c r="N41" s="400"/>
    </row>
    <row r="42" spans="1:14" ht="15" customHeight="1">
      <c r="A42" s="302"/>
      <c r="B42" s="383"/>
      <c r="C42" s="388"/>
      <c r="D42" s="391"/>
      <c r="E42" s="394"/>
      <c r="F42" s="394"/>
      <c r="G42" s="394"/>
      <c r="H42" s="394"/>
      <c r="I42" s="397"/>
      <c r="J42" s="394"/>
      <c r="K42" s="394"/>
      <c r="L42" s="397"/>
      <c r="M42" s="394"/>
      <c r="N42" s="400"/>
    </row>
    <row r="43" spans="1:14" ht="15" customHeight="1">
      <c r="A43" s="302"/>
      <c r="B43" s="384"/>
      <c r="C43" s="389"/>
      <c r="D43" s="392"/>
      <c r="E43" s="395"/>
      <c r="F43" s="395"/>
      <c r="G43" s="395"/>
      <c r="H43" s="395"/>
      <c r="I43" s="398"/>
      <c r="J43" s="395"/>
      <c r="K43" s="395"/>
      <c r="L43" s="398"/>
      <c r="M43" s="395"/>
      <c r="N43" s="401"/>
    </row>
    <row r="44" spans="1:14" ht="102" customHeight="1">
      <c r="A44" s="350" t="s">
        <v>373</v>
      </c>
      <c r="B44" s="58" t="s">
        <v>134</v>
      </c>
      <c r="C44" s="44" t="s">
        <v>32</v>
      </c>
      <c r="D44" s="58" t="s">
        <v>143</v>
      </c>
      <c r="E44" s="58">
        <v>2</v>
      </c>
      <c r="F44" s="58">
        <v>5000</v>
      </c>
      <c r="G44" s="58">
        <v>1</v>
      </c>
      <c r="H44" s="44">
        <f>E44*F44*G44</f>
        <v>10000</v>
      </c>
      <c r="I44" s="44">
        <v>10000</v>
      </c>
      <c r="J44" s="50">
        <v>37</v>
      </c>
      <c r="K44" s="45">
        <f>I44*J44/100</f>
        <v>3700</v>
      </c>
      <c r="L44" s="45">
        <v>10000</v>
      </c>
      <c r="M44" s="45">
        <f>L44/H44*100</f>
        <v>100</v>
      </c>
      <c r="N44" s="167" t="s">
        <v>331</v>
      </c>
    </row>
    <row r="45" spans="1:14" ht="49.5" customHeight="1">
      <c r="A45" s="350"/>
      <c r="B45" s="44" t="s">
        <v>392</v>
      </c>
      <c r="C45" s="44" t="s">
        <v>32</v>
      </c>
      <c r="D45" s="58" t="s">
        <v>143</v>
      </c>
      <c r="E45" s="58">
        <v>12</v>
      </c>
      <c r="F45" s="58">
        <v>500</v>
      </c>
      <c r="G45" s="58">
        <v>1</v>
      </c>
      <c r="H45" s="44">
        <f>E45*F45*G45</f>
        <v>6000</v>
      </c>
      <c r="I45" s="44">
        <v>6000</v>
      </c>
      <c r="J45" s="50">
        <v>0</v>
      </c>
      <c r="K45" s="45">
        <f>I45*J45/100</f>
        <v>0</v>
      </c>
      <c r="L45" s="45">
        <v>5300</v>
      </c>
      <c r="M45" s="45">
        <f>L45/H45*100</f>
        <v>88.33333333333333</v>
      </c>
      <c r="N45" s="148" t="s">
        <v>397</v>
      </c>
    </row>
    <row r="46" spans="1:14" ht="90">
      <c r="A46" s="350"/>
      <c r="B46" s="44" t="s">
        <v>393</v>
      </c>
      <c r="C46" s="44" t="s">
        <v>32</v>
      </c>
      <c r="D46" s="58" t="s">
        <v>143</v>
      </c>
      <c r="E46" s="58">
        <v>5</v>
      </c>
      <c r="F46" s="58">
        <v>720</v>
      </c>
      <c r="G46" s="58">
        <v>12</v>
      </c>
      <c r="H46" s="44">
        <f>E46*F46*G46</f>
        <v>43200</v>
      </c>
      <c r="I46" s="44">
        <v>43200</v>
      </c>
      <c r="J46" s="50">
        <v>30</v>
      </c>
      <c r="K46" s="45">
        <f>I46*J46/100</f>
        <v>12960</v>
      </c>
      <c r="L46" s="45">
        <v>36000</v>
      </c>
      <c r="M46" s="45">
        <f>L46/H46*100</f>
        <v>83.33333333333334</v>
      </c>
      <c r="N46" s="148" t="s">
        <v>397</v>
      </c>
    </row>
    <row r="47" spans="1:14" ht="69" customHeight="1">
      <c r="A47" s="350"/>
      <c r="B47" s="44" t="s">
        <v>394</v>
      </c>
      <c r="C47" s="44" t="s">
        <v>32</v>
      </c>
      <c r="D47" s="58" t="s">
        <v>143</v>
      </c>
      <c r="E47" s="58">
        <v>1</v>
      </c>
      <c r="F47" s="58">
        <v>500</v>
      </c>
      <c r="G47" s="58">
        <v>6</v>
      </c>
      <c r="H47" s="44">
        <f>E47*F47*G47</f>
        <v>3000</v>
      </c>
      <c r="I47" s="44">
        <v>3000</v>
      </c>
      <c r="J47" s="50">
        <v>15</v>
      </c>
      <c r="K47" s="45">
        <f>I47*J47/100</f>
        <v>450</v>
      </c>
      <c r="L47" s="45">
        <v>3000</v>
      </c>
      <c r="M47" s="45">
        <v>100</v>
      </c>
      <c r="N47" s="148" t="s">
        <v>239</v>
      </c>
    </row>
    <row r="48" spans="1:14" ht="15">
      <c r="A48" s="350"/>
      <c r="B48" s="59" t="s">
        <v>333</v>
      </c>
      <c r="C48" s="59"/>
      <c r="D48" s="59"/>
      <c r="E48" s="59"/>
      <c r="F48" s="59"/>
      <c r="G48" s="59"/>
      <c r="H48" s="318">
        <f>SUM(H44:H47)</f>
        <v>62200</v>
      </c>
      <c r="I48" s="318">
        <f>SUM(I44:I47)</f>
        <v>62200</v>
      </c>
      <c r="J48" s="52"/>
      <c r="K48" s="155">
        <f>SUM(K44:K46)</f>
        <v>16660</v>
      </c>
      <c r="L48" s="319">
        <f>+L46+L45+L44</f>
        <v>51300</v>
      </c>
      <c r="M48" s="155"/>
      <c r="N48" s="45"/>
    </row>
    <row r="49" spans="1:14" ht="47.25" customHeight="1">
      <c r="A49" s="350" t="s">
        <v>372</v>
      </c>
      <c r="B49" s="58" t="s">
        <v>137</v>
      </c>
      <c r="C49" s="44" t="s">
        <v>32</v>
      </c>
      <c r="D49" s="58" t="s">
        <v>143</v>
      </c>
      <c r="E49" s="58">
        <v>5</v>
      </c>
      <c r="F49" s="58">
        <v>6500</v>
      </c>
      <c r="G49" s="58">
        <v>1</v>
      </c>
      <c r="H49" s="44">
        <f>E49*F49*G49</f>
        <v>32500</v>
      </c>
      <c r="I49" s="44">
        <v>32500</v>
      </c>
      <c r="J49" s="50">
        <v>37</v>
      </c>
      <c r="K49" s="45">
        <f>I49*J49/100</f>
        <v>12025</v>
      </c>
      <c r="L49" s="45">
        <v>32500</v>
      </c>
      <c r="M49" s="45">
        <f>L49/H49*100</f>
        <v>100</v>
      </c>
      <c r="N49" s="45" t="s">
        <v>398</v>
      </c>
    </row>
    <row r="50" spans="1:14" ht="30">
      <c r="A50" s="350"/>
      <c r="B50" s="58" t="s">
        <v>138</v>
      </c>
      <c r="C50" s="44" t="s">
        <v>32</v>
      </c>
      <c r="D50" s="58" t="s">
        <v>143</v>
      </c>
      <c r="E50" s="58">
        <v>1</v>
      </c>
      <c r="F50" s="58">
        <v>4000</v>
      </c>
      <c r="G50" s="58">
        <v>2</v>
      </c>
      <c r="H50" s="44">
        <f>E50*F50*G50</f>
        <v>8000</v>
      </c>
      <c r="I50" s="44">
        <v>8000</v>
      </c>
      <c r="J50" s="50">
        <v>37</v>
      </c>
      <c r="K50" s="45">
        <f>I50*J50/100</f>
        <v>2960</v>
      </c>
      <c r="L50" s="45">
        <v>8000</v>
      </c>
      <c r="M50" s="45">
        <f>L50/H50*100</f>
        <v>100</v>
      </c>
      <c r="N50" s="167" t="s">
        <v>334</v>
      </c>
    </row>
    <row r="51" spans="1:14" ht="60" customHeight="1">
      <c r="A51" s="350"/>
      <c r="B51" s="58" t="s">
        <v>363</v>
      </c>
      <c r="C51" s="44" t="s">
        <v>32</v>
      </c>
      <c r="D51" s="58" t="s">
        <v>143</v>
      </c>
      <c r="E51" s="58">
        <v>1</v>
      </c>
      <c r="F51" s="58">
        <v>500</v>
      </c>
      <c r="G51" s="58">
        <v>2</v>
      </c>
      <c r="H51" s="44">
        <f>E51*F51*G51</f>
        <v>1000</v>
      </c>
      <c r="I51" s="44">
        <v>0</v>
      </c>
      <c r="J51" s="50">
        <v>37</v>
      </c>
      <c r="K51" s="45">
        <f>I51*J51/100</f>
        <v>0</v>
      </c>
      <c r="L51" s="45">
        <v>0</v>
      </c>
      <c r="M51" s="45"/>
      <c r="N51" s="167" t="s">
        <v>364</v>
      </c>
    </row>
    <row r="52" spans="1:17" s="270" customFormat="1" ht="15">
      <c r="A52" s="350"/>
      <c r="B52" s="59" t="s">
        <v>332</v>
      </c>
      <c r="C52" s="59"/>
      <c r="D52" s="59"/>
      <c r="E52" s="59"/>
      <c r="F52" s="59"/>
      <c r="G52" s="59"/>
      <c r="H52" s="318">
        <f>SUM(H49:H51)</f>
        <v>41500</v>
      </c>
      <c r="I52" s="318">
        <f>SUM(I49:I51)</f>
        <v>40500</v>
      </c>
      <c r="J52" s="52"/>
      <c r="K52" s="155"/>
      <c r="L52" s="319">
        <f>L49+L50+L51</f>
        <v>40500</v>
      </c>
      <c r="M52" s="155"/>
      <c r="N52" s="155"/>
      <c r="O52" s="306"/>
      <c r="P52" s="306"/>
      <c r="Q52" s="306"/>
    </row>
    <row r="53" spans="1:17" s="266" customFormat="1" ht="60.75" customHeight="1">
      <c r="A53" s="350"/>
      <c r="B53" s="44"/>
      <c r="C53" s="44"/>
      <c r="D53" s="44"/>
      <c r="E53" s="44"/>
      <c r="F53" s="44"/>
      <c r="G53" s="44"/>
      <c r="H53" s="50"/>
      <c r="I53" s="50"/>
      <c r="J53" s="50"/>
      <c r="K53" s="78"/>
      <c r="L53" s="321"/>
      <c r="M53" s="78"/>
      <c r="N53" s="44"/>
      <c r="O53" s="306"/>
      <c r="P53" s="306"/>
      <c r="Q53" s="306"/>
    </row>
    <row r="54" spans="1:17" s="266" customFormat="1" ht="15">
      <c r="A54" s="350"/>
      <c r="B54" s="59" t="s">
        <v>332</v>
      </c>
      <c r="C54" s="59"/>
      <c r="D54" s="59"/>
      <c r="E54" s="59"/>
      <c r="F54" s="59"/>
      <c r="G54" s="59"/>
      <c r="H54" s="318">
        <f>H53</f>
        <v>0</v>
      </c>
      <c r="I54" s="318">
        <v>0</v>
      </c>
      <c r="J54" s="52"/>
      <c r="K54" s="155"/>
      <c r="L54" s="319">
        <v>0</v>
      </c>
      <c r="M54" s="155"/>
      <c r="N54" s="155"/>
      <c r="O54" s="306"/>
      <c r="P54" s="306"/>
      <c r="Q54" s="306"/>
    </row>
    <row r="55" spans="1:17" s="272" customFormat="1" ht="27" customHeight="1">
      <c r="A55" s="365"/>
      <c r="B55" s="322" t="s">
        <v>307</v>
      </c>
      <c r="C55" s="322"/>
      <c r="D55" s="322" t="s">
        <v>0</v>
      </c>
      <c r="E55" s="322"/>
      <c r="F55" s="322"/>
      <c r="G55" s="323"/>
      <c r="H55" s="324">
        <f>+H54+H52+H48+H37+H32+H24</f>
        <v>235200</v>
      </c>
      <c r="I55" s="324">
        <f>+I54+I52+I48+I37+I32+I24</f>
        <v>235200</v>
      </c>
      <c r="J55" s="324">
        <f>+J54+J52+J48+J37+J32+J24</f>
        <v>0</v>
      </c>
      <c r="K55" s="324">
        <f>+K54+K52+K48+K37+K32+K24</f>
        <v>52747</v>
      </c>
      <c r="L55" s="324">
        <f>+L54+L52+L48+L37+L32+L24</f>
        <v>170560</v>
      </c>
      <c r="M55" s="324"/>
      <c r="N55" s="271"/>
      <c r="O55" s="307"/>
      <c r="P55" s="307"/>
      <c r="Q55" s="307"/>
    </row>
    <row r="56" spans="1:14" ht="27.75" customHeight="1">
      <c r="A56" s="385" t="s">
        <v>29</v>
      </c>
      <c r="B56" s="386"/>
      <c r="C56" s="309"/>
      <c r="D56" s="61"/>
      <c r="E56" s="61"/>
      <c r="F56" s="61"/>
      <c r="G56" s="62"/>
      <c r="H56" s="273">
        <f>H24+H32+H37+H48+H52+H54</f>
        <v>235200</v>
      </c>
      <c r="I56" s="273">
        <f>I24+I32+I37+I48+I52+I54</f>
        <v>235200</v>
      </c>
      <c r="J56" s="273">
        <f>J24+J32+J37+J48+J52+J54</f>
        <v>0</v>
      </c>
      <c r="K56" s="273">
        <f>K24+K32+K37+K48+K52+K54</f>
        <v>52747</v>
      </c>
      <c r="L56" s="273">
        <f>L24+L32+L37+L48+L52+L54</f>
        <v>170560</v>
      </c>
      <c r="M56" s="79"/>
      <c r="N56" s="63"/>
    </row>
    <row r="57" spans="1:14" ht="21" customHeight="1">
      <c r="A57" s="342" t="s">
        <v>53</v>
      </c>
      <c r="B57" s="343"/>
      <c r="C57" s="343"/>
      <c r="D57" s="343"/>
      <c r="E57" s="343"/>
      <c r="F57" s="343"/>
      <c r="G57" s="343"/>
      <c r="H57" s="343"/>
      <c r="I57" s="343"/>
      <c r="J57" s="343"/>
      <c r="K57" s="343"/>
      <c r="L57" s="343"/>
      <c r="M57" s="343"/>
      <c r="N57" s="343"/>
    </row>
    <row r="58" spans="1:14" ht="25.5" customHeight="1">
      <c r="A58" s="342" t="s">
        <v>57</v>
      </c>
      <c r="B58" s="343"/>
      <c r="C58" s="343"/>
      <c r="D58" s="343"/>
      <c r="E58" s="343"/>
      <c r="F58" s="343"/>
      <c r="G58" s="343"/>
      <c r="H58" s="343"/>
      <c r="I58" s="343"/>
      <c r="J58" s="343"/>
      <c r="K58" s="343"/>
      <c r="L58" s="343"/>
      <c r="M58" s="343"/>
      <c r="N58" s="343"/>
    </row>
    <row r="59" spans="1:14" ht="50.25" customHeight="1">
      <c r="A59" s="336" t="s">
        <v>84</v>
      </c>
      <c r="B59" s="65" t="s">
        <v>151</v>
      </c>
      <c r="C59" s="44" t="s">
        <v>32</v>
      </c>
      <c r="D59" s="58" t="s">
        <v>58</v>
      </c>
      <c r="E59" s="65">
        <v>6</v>
      </c>
      <c r="F59" s="58">
        <v>1200</v>
      </c>
      <c r="G59" s="58">
        <v>1</v>
      </c>
      <c r="H59" s="50">
        <f>G59*F59*E59</f>
        <v>7200</v>
      </c>
      <c r="I59" s="50">
        <v>7200</v>
      </c>
      <c r="J59" s="66">
        <v>20</v>
      </c>
      <c r="K59" s="45">
        <f>I59*J59/100</f>
        <v>1440</v>
      </c>
      <c r="L59" s="328">
        <v>6841</v>
      </c>
      <c r="M59" s="329">
        <f>M13+L59/H59</f>
        <v>0.9501388888888889</v>
      </c>
      <c r="N59" s="58" t="s">
        <v>202</v>
      </c>
    </row>
    <row r="60" spans="1:14" ht="58.5" customHeight="1">
      <c r="A60" s="337"/>
      <c r="B60" s="65" t="s">
        <v>98</v>
      </c>
      <c r="C60" s="44" t="s">
        <v>32</v>
      </c>
      <c r="D60" s="44" t="s">
        <v>58</v>
      </c>
      <c r="E60" s="65">
        <v>15</v>
      </c>
      <c r="F60" s="44">
        <v>1294</v>
      </c>
      <c r="G60" s="44">
        <v>1</v>
      </c>
      <c r="H60" s="50">
        <f>E60*F60</f>
        <v>19410</v>
      </c>
      <c r="I60" s="50">
        <v>19410</v>
      </c>
      <c r="J60" s="50">
        <v>20</v>
      </c>
      <c r="K60" s="45">
        <f>I60*J60/100</f>
        <v>3882</v>
      </c>
      <c r="L60" s="328">
        <v>0</v>
      </c>
      <c r="M60" s="329">
        <f>+L60/H60</f>
        <v>0</v>
      </c>
      <c r="N60" s="58" t="s">
        <v>203</v>
      </c>
    </row>
    <row r="61" spans="1:14" ht="57" customHeight="1">
      <c r="A61" s="337"/>
      <c r="B61" s="65" t="s">
        <v>99</v>
      </c>
      <c r="C61" s="44" t="s">
        <v>32</v>
      </c>
      <c r="D61" s="44" t="s">
        <v>58</v>
      </c>
      <c r="E61" s="65">
        <v>35</v>
      </c>
      <c r="F61" s="44">
        <v>750</v>
      </c>
      <c r="G61" s="44">
        <v>1</v>
      </c>
      <c r="H61" s="50">
        <f>E61*F61</f>
        <v>26250</v>
      </c>
      <c r="I61" s="50">
        <v>26250</v>
      </c>
      <c r="J61" s="50">
        <v>20</v>
      </c>
      <c r="K61" s="45">
        <f>I61*J61/100</f>
        <v>5250</v>
      </c>
      <c r="L61" s="328">
        <v>141</v>
      </c>
      <c r="M61" s="329">
        <f>+L61/H61</f>
        <v>0.005371428571428571</v>
      </c>
      <c r="N61" s="58" t="s">
        <v>203</v>
      </c>
    </row>
    <row r="62" spans="1:14" ht="39.75" customHeight="1">
      <c r="A62" s="337"/>
      <c r="B62" s="65" t="s">
        <v>85</v>
      </c>
      <c r="C62" s="44" t="s">
        <v>32</v>
      </c>
      <c r="D62" s="58" t="s">
        <v>58</v>
      </c>
      <c r="E62" s="65">
        <v>1</v>
      </c>
      <c r="F62" s="58">
        <v>15000</v>
      </c>
      <c r="G62" s="58">
        <v>1</v>
      </c>
      <c r="H62" s="50">
        <f>G62*F62*E62</f>
        <v>15000</v>
      </c>
      <c r="I62" s="50">
        <v>15000</v>
      </c>
      <c r="J62" s="66">
        <v>20</v>
      </c>
      <c r="K62" s="45">
        <f>I62*J62/100</f>
        <v>3000</v>
      </c>
      <c r="L62" s="328">
        <v>0</v>
      </c>
      <c r="M62" s="329">
        <f>+L62/H62</f>
        <v>0</v>
      </c>
      <c r="N62" s="58" t="s">
        <v>203</v>
      </c>
    </row>
    <row r="63" spans="1:14" ht="27" customHeight="1">
      <c r="A63" s="338"/>
      <c r="B63" s="59"/>
      <c r="C63" s="59"/>
      <c r="D63" s="59" t="s">
        <v>0</v>
      </c>
      <c r="E63" s="59"/>
      <c r="F63" s="59"/>
      <c r="G63" s="67"/>
      <c r="H63" s="52">
        <f>SUM(H59:H62)</f>
        <v>67860</v>
      </c>
      <c r="I63" s="52">
        <f>SUM(I59:I62)</f>
        <v>67860</v>
      </c>
      <c r="J63" s="54"/>
      <c r="K63" s="52">
        <f>SUM(K59:K62)</f>
        <v>13572</v>
      </c>
      <c r="L63" s="52">
        <f>SUM(L59:L62)</f>
        <v>6982</v>
      </c>
      <c r="M63" s="52"/>
      <c r="N63" s="54"/>
    </row>
    <row r="64" spans="1:14" ht="50.25" customHeight="1">
      <c r="A64" s="336" t="s">
        <v>83</v>
      </c>
      <c r="B64" s="65" t="s">
        <v>132</v>
      </c>
      <c r="C64" s="44" t="s">
        <v>32</v>
      </c>
      <c r="D64" s="44" t="s">
        <v>58</v>
      </c>
      <c r="E64" s="44">
        <v>10</v>
      </c>
      <c r="F64" s="44">
        <v>500</v>
      </c>
      <c r="G64" s="44">
        <v>1</v>
      </c>
      <c r="H64" s="50">
        <f aca="true" t="shared" si="1" ref="H64:H70">G64*F64*E64</f>
        <v>5000</v>
      </c>
      <c r="I64" s="50">
        <v>5000</v>
      </c>
      <c r="J64" s="66">
        <v>20</v>
      </c>
      <c r="K64" s="66">
        <f>I64*J64/100</f>
        <v>1000</v>
      </c>
      <c r="L64" s="328">
        <v>2625</v>
      </c>
      <c r="M64" s="329">
        <f aca="true" t="shared" si="2" ref="M64:M69">+L64/H64</f>
        <v>0.525</v>
      </c>
      <c r="N64" s="68"/>
    </row>
    <row r="65" spans="1:14" ht="41.25" customHeight="1">
      <c r="A65" s="337"/>
      <c r="B65" s="65" t="s">
        <v>100</v>
      </c>
      <c r="C65" s="44" t="s">
        <v>32</v>
      </c>
      <c r="D65" s="44" t="s">
        <v>58</v>
      </c>
      <c r="E65" s="44">
        <v>10</v>
      </c>
      <c r="F65" s="44">
        <v>1300</v>
      </c>
      <c r="G65" s="44">
        <v>1</v>
      </c>
      <c r="H65" s="50">
        <f t="shared" si="1"/>
        <v>13000</v>
      </c>
      <c r="I65" s="50">
        <v>13000</v>
      </c>
      <c r="J65" s="66">
        <v>30</v>
      </c>
      <c r="K65" s="66">
        <f aca="true" t="shared" si="3" ref="K65:K70">I65*J65/100</f>
        <v>3900</v>
      </c>
      <c r="L65" s="328">
        <v>500</v>
      </c>
      <c r="M65" s="329">
        <f t="shared" si="2"/>
        <v>0.038461538461538464</v>
      </c>
      <c r="N65" s="143" t="s">
        <v>204</v>
      </c>
    </row>
    <row r="66" spans="1:14" ht="20.25" customHeight="1">
      <c r="A66" s="337"/>
      <c r="B66" s="70" t="s">
        <v>101</v>
      </c>
      <c r="C66" s="44" t="s">
        <v>32</v>
      </c>
      <c r="D66" s="44" t="s">
        <v>58</v>
      </c>
      <c r="E66" s="44">
        <v>10</v>
      </c>
      <c r="F66" s="44">
        <v>130</v>
      </c>
      <c r="G66" s="44">
        <v>3</v>
      </c>
      <c r="H66" s="50">
        <f t="shared" si="1"/>
        <v>3900</v>
      </c>
      <c r="I66" s="50">
        <v>3900</v>
      </c>
      <c r="J66" s="66">
        <v>20</v>
      </c>
      <c r="K66" s="66">
        <f t="shared" si="3"/>
        <v>780</v>
      </c>
      <c r="L66" s="328">
        <v>3976.54</v>
      </c>
      <c r="M66" s="329">
        <f t="shared" si="2"/>
        <v>1.019625641025641</v>
      </c>
      <c r="N66" s="66" t="s">
        <v>205</v>
      </c>
    </row>
    <row r="67" spans="1:14" ht="70.5" customHeight="1">
      <c r="A67" s="337"/>
      <c r="B67" s="65" t="s">
        <v>104</v>
      </c>
      <c r="C67" s="44" t="s">
        <v>32</v>
      </c>
      <c r="D67" s="44" t="s">
        <v>58</v>
      </c>
      <c r="E67" s="44">
        <v>190</v>
      </c>
      <c r="F67" s="44">
        <v>78</v>
      </c>
      <c r="G67" s="44">
        <v>3</v>
      </c>
      <c r="H67" s="50">
        <f>E67*F67*G67</f>
        <v>44460</v>
      </c>
      <c r="I67" s="50">
        <v>37779</v>
      </c>
      <c r="J67" s="66">
        <v>10</v>
      </c>
      <c r="K67" s="66">
        <f t="shared" si="3"/>
        <v>3777.9</v>
      </c>
      <c r="L67" s="328">
        <v>2916</v>
      </c>
      <c r="M67" s="329">
        <f t="shared" si="2"/>
        <v>0.06558704453441296</v>
      </c>
      <c r="N67" s="143" t="s">
        <v>352</v>
      </c>
    </row>
    <row r="68" spans="1:14" ht="36" customHeight="1">
      <c r="A68" s="337"/>
      <c r="B68" s="65" t="s">
        <v>59</v>
      </c>
      <c r="C68" s="44" t="s">
        <v>32</v>
      </c>
      <c r="D68" s="44" t="s">
        <v>58</v>
      </c>
      <c r="E68" s="44">
        <v>4</v>
      </c>
      <c r="F68" s="44">
        <v>1250</v>
      </c>
      <c r="G68" s="44">
        <v>1</v>
      </c>
      <c r="H68" s="50">
        <f t="shared" si="1"/>
        <v>5000</v>
      </c>
      <c r="I68" s="50">
        <v>5000</v>
      </c>
      <c r="J68" s="66">
        <v>20</v>
      </c>
      <c r="K68" s="66">
        <f t="shared" si="3"/>
        <v>1000</v>
      </c>
      <c r="L68" s="328">
        <v>0</v>
      </c>
      <c r="M68" s="329">
        <f t="shared" si="2"/>
        <v>0</v>
      </c>
      <c r="N68" s="66" t="s">
        <v>205</v>
      </c>
    </row>
    <row r="69" spans="1:14" ht="34.5" customHeight="1">
      <c r="A69" s="337"/>
      <c r="B69" s="65" t="s">
        <v>67</v>
      </c>
      <c r="C69" s="44" t="s">
        <v>32</v>
      </c>
      <c r="D69" s="44" t="s">
        <v>58</v>
      </c>
      <c r="E69" s="44">
        <v>6</v>
      </c>
      <c r="F69" s="44">
        <v>800</v>
      </c>
      <c r="G69" s="44">
        <v>1</v>
      </c>
      <c r="H69" s="50">
        <f t="shared" si="1"/>
        <v>4800</v>
      </c>
      <c r="I69" s="50">
        <v>4800</v>
      </c>
      <c r="J69" s="66">
        <v>10</v>
      </c>
      <c r="K69" s="66">
        <f t="shared" si="3"/>
        <v>480</v>
      </c>
      <c r="L69" s="328">
        <v>2354</v>
      </c>
      <c r="M69" s="329">
        <f t="shared" si="2"/>
        <v>0.49041666666666667</v>
      </c>
      <c r="N69" s="143" t="s">
        <v>206</v>
      </c>
    </row>
    <row r="70" spans="1:14" ht="60">
      <c r="A70" s="337"/>
      <c r="B70" s="65" t="s">
        <v>168</v>
      </c>
      <c r="C70" s="44" t="s">
        <v>32</v>
      </c>
      <c r="D70" s="44" t="s">
        <v>91</v>
      </c>
      <c r="E70" s="44">
        <v>1</v>
      </c>
      <c r="F70" s="44">
        <v>2500</v>
      </c>
      <c r="G70" s="44">
        <v>1</v>
      </c>
      <c r="H70" s="50">
        <f t="shared" si="1"/>
        <v>2500</v>
      </c>
      <c r="I70" s="50">
        <v>2500</v>
      </c>
      <c r="J70" s="66">
        <v>20</v>
      </c>
      <c r="K70" s="66">
        <f t="shared" si="3"/>
        <v>500</v>
      </c>
      <c r="L70" s="66">
        <v>2500</v>
      </c>
      <c r="M70" s="66">
        <f>L70/H70*100</f>
        <v>100</v>
      </c>
      <c r="N70" s="143" t="s">
        <v>207</v>
      </c>
    </row>
    <row r="71" spans="1:14" ht="22.5" customHeight="1">
      <c r="A71" s="337"/>
      <c r="B71" s="59"/>
      <c r="C71" s="59"/>
      <c r="D71" s="59" t="s">
        <v>0</v>
      </c>
      <c r="E71" s="59"/>
      <c r="F71" s="59"/>
      <c r="G71" s="67"/>
      <c r="H71" s="52">
        <f>SUM(H64:H70)</f>
        <v>78660</v>
      </c>
      <c r="I71" s="52">
        <f>SUM(I64:I70)</f>
        <v>71979</v>
      </c>
      <c r="J71" s="54"/>
      <c r="K71" s="52">
        <f>K64+K65+K66+K67+K68+K69+K70</f>
        <v>11437.9</v>
      </c>
      <c r="L71" s="52">
        <f>SUM(L64:L70)</f>
        <v>14871.54</v>
      </c>
      <c r="M71" s="52"/>
      <c r="N71" s="54"/>
    </row>
    <row r="72" spans="1:14" ht="38.25" customHeight="1">
      <c r="A72" s="335" t="s">
        <v>111</v>
      </c>
      <c r="B72" s="44" t="s">
        <v>56</v>
      </c>
      <c r="C72" s="44" t="s">
        <v>32</v>
      </c>
      <c r="D72" s="44" t="s">
        <v>91</v>
      </c>
      <c r="E72" s="44">
        <v>3</v>
      </c>
      <c r="F72" s="44">
        <v>3000</v>
      </c>
      <c r="G72" s="44">
        <v>1</v>
      </c>
      <c r="H72" s="50">
        <f>E72*F72*G72</f>
        <v>9000</v>
      </c>
      <c r="I72" s="50">
        <v>9000</v>
      </c>
      <c r="J72" s="50">
        <v>30</v>
      </c>
      <c r="K72" s="45">
        <f>I72*J72/100</f>
        <v>2700</v>
      </c>
      <c r="L72" s="45">
        <v>9000</v>
      </c>
      <c r="M72" s="45">
        <f>L72/H72*100</f>
        <v>100</v>
      </c>
      <c r="N72" s="58" t="s">
        <v>208</v>
      </c>
    </row>
    <row r="73" spans="1:14" ht="30" customHeight="1">
      <c r="A73" s="335"/>
      <c r="B73" s="44" t="s">
        <v>146</v>
      </c>
      <c r="C73" s="44" t="s">
        <v>32</v>
      </c>
      <c r="D73" s="58" t="s">
        <v>91</v>
      </c>
      <c r="E73" s="58">
        <v>2</v>
      </c>
      <c r="F73" s="58">
        <v>15000</v>
      </c>
      <c r="G73" s="58">
        <v>1</v>
      </c>
      <c r="H73" s="50">
        <f>E73*F73*G73</f>
        <v>30000</v>
      </c>
      <c r="I73" s="50">
        <v>30000</v>
      </c>
      <c r="J73" s="50">
        <v>30</v>
      </c>
      <c r="K73" s="45">
        <f>I73*J73/100</f>
        <v>9000</v>
      </c>
      <c r="L73" s="45">
        <v>17835</v>
      </c>
      <c r="M73" s="45">
        <f>L73/H73*100</f>
        <v>59.45</v>
      </c>
      <c r="N73" s="58" t="s">
        <v>244</v>
      </c>
    </row>
    <row r="74" spans="1:14" ht="21.75" customHeight="1">
      <c r="A74" s="335"/>
      <c r="B74" s="59"/>
      <c r="C74" s="59"/>
      <c r="D74" s="59" t="s">
        <v>0</v>
      </c>
      <c r="E74" s="59"/>
      <c r="F74" s="59"/>
      <c r="G74" s="67"/>
      <c r="H74" s="52">
        <f>SUM(H72:H73)</f>
        <v>39000</v>
      </c>
      <c r="I74" s="52">
        <f>SUM(I72:I73)</f>
        <v>39000</v>
      </c>
      <c r="J74" s="54"/>
      <c r="K74" s="52">
        <f>K72+K73</f>
        <v>11700</v>
      </c>
      <c r="L74" s="52">
        <f>SUM(L72:L73)</f>
        <v>26835</v>
      </c>
      <c r="M74" s="52"/>
      <c r="N74" s="54"/>
    </row>
    <row r="75" spans="1:14" ht="54.75" customHeight="1">
      <c r="A75" s="342" t="s">
        <v>319</v>
      </c>
      <c r="B75" s="343"/>
      <c r="C75" s="343"/>
      <c r="D75" s="343"/>
      <c r="E75" s="343"/>
      <c r="F75" s="343"/>
      <c r="G75" s="343"/>
      <c r="H75" s="343"/>
      <c r="I75" s="343"/>
      <c r="J75" s="343"/>
      <c r="K75" s="343"/>
      <c r="L75" s="343"/>
      <c r="M75" s="343"/>
      <c r="N75" s="343"/>
    </row>
    <row r="76" spans="1:14" ht="90" customHeight="1">
      <c r="A76" s="374" t="s">
        <v>87</v>
      </c>
      <c r="B76" s="59" t="s">
        <v>116</v>
      </c>
      <c r="C76" s="325" t="s">
        <v>32</v>
      </c>
      <c r="D76" s="59" t="s">
        <v>91</v>
      </c>
      <c r="E76" s="59">
        <v>1</v>
      </c>
      <c r="F76" s="59">
        <v>2500</v>
      </c>
      <c r="G76" s="67">
        <v>1</v>
      </c>
      <c r="H76" s="52">
        <f>E76*F76*G76</f>
        <v>2500</v>
      </c>
      <c r="I76" s="52">
        <v>0</v>
      </c>
      <c r="J76" s="54"/>
      <c r="K76" s="52"/>
      <c r="L76" s="52">
        <v>0</v>
      </c>
      <c r="M76" s="52"/>
      <c r="N76" s="300" t="s">
        <v>350</v>
      </c>
    </row>
    <row r="77" spans="1:14" ht="51" customHeight="1">
      <c r="A77" s="375"/>
      <c r="B77" s="59" t="s">
        <v>117</v>
      </c>
      <c r="C77" s="326" t="s">
        <v>32</v>
      </c>
      <c r="D77" s="59" t="s">
        <v>91</v>
      </c>
      <c r="E77" s="59">
        <v>1</v>
      </c>
      <c r="F77" s="59">
        <v>6000</v>
      </c>
      <c r="G77" s="67">
        <v>1</v>
      </c>
      <c r="H77" s="52">
        <f aca="true" t="shared" si="4" ref="H77:H82">E77*F77*G77</f>
        <v>6000</v>
      </c>
      <c r="I77" s="52">
        <v>0</v>
      </c>
      <c r="J77" s="54"/>
      <c r="K77" s="52"/>
      <c r="L77" s="52">
        <v>0</v>
      </c>
      <c r="M77" s="52"/>
      <c r="N77" s="300" t="s">
        <v>350</v>
      </c>
    </row>
    <row r="78" spans="1:14" ht="97.5" customHeight="1">
      <c r="A78" s="72"/>
      <c r="B78" s="59" t="s">
        <v>184</v>
      </c>
      <c r="C78" s="326" t="s">
        <v>32</v>
      </c>
      <c r="D78" s="59" t="s">
        <v>91</v>
      </c>
      <c r="E78" s="59">
        <v>1</v>
      </c>
      <c r="F78" s="59">
        <v>6000</v>
      </c>
      <c r="G78" s="67">
        <v>1</v>
      </c>
      <c r="H78" s="52">
        <f t="shared" si="4"/>
        <v>6000</v>
      </c>
      <c r="I78" s="52">
        <v>0</v>
      </c>
      <c r="J78" s="54"/>
      <c r="K78" s="52"/>
      <c r="L78" s="52">
        <v>0</v>
      </c>
      <c r="M78" s="52"/>
      <c r="N78" s="300" t="s">
        <v>350</v>
      </c>
    </row>
    <row r="79" spans="1:14" ht="43.5" customHeight="1">
      <c r="A79" s="72"/>
      <c r="B79" s="59"/>
      <c r="C79" s="326"/>
      <c r="D79" s="59" t="s">
        <v>0</v>
      </c>
      <c r="E79" s="59"/>
      <c r="F79" s="59"/>
      <c r="G79" s="67"/>
      <c r="H79" s="52">
        <f>SUM(H76:H78)</f>
        <v>14500</v>
      </c>
      <c r="I79" s="52">
        <v>0</v>
      </c>
      <c r="J79" s="54"/>
      <c r="K79" s="52"/>
      <c r="L79" s="52">
        <v>0</v>
      </c>
      <c r="M79" s="52"/>
      <c r="N79" s="54"/>
    </row>
    <row r="80" spans="1:14" ht="44.25" customHeight="1">
      <c r="A80" s="316" t="s">
        <v>88</v>
      </c>
      <c r="B80" s="59" t="s">
        <v>144</v>
      </c>
      <c r="C80" s="326" t="s">
        <v>32</v>
      </c>
      <c r="D80" s="59" t="s">
        <v>91</v>
      </c>
      <c r="E80" s="59">
        <v>1</v>
      </c>
      <c r="F80" s="59">
        <v>2500</v>
      </c>
      <c r="G80" s="67">
        <v>1</v>
      </c>
      <c r="H80" s="52">
        <f t="shared" si="4"/>
        <v>2500</v>
      </c>
      <c r="I80" s="52">
        <v>0</v>
      </c>
      <c r="J80" s="54"/>
      <c r="K80" s="52"/>
      <c r="L80" s="52">
        <v>0</v>
      </c>
      <c r="M80" s="52"/>
      <c r="N80" s="300" t="s">
        <v>350</v>
      </c>
    </row>
    <row r="81" spans="1:14" ht="87" customHeight="1">
      <c r="A81" s="72"/>
      <c r="B81" s="59" t="s">
        <v>145</v>
      </c>
      <c r="C81" s="326" t="s">
        <v>32</v>
      </c>
      <c r="D81" s="59" t="s">
        <v>91</v>
      </c>
      <c r="E81" s="59">
        <v>1</v>
      </c>
      <c r="F81" s="59">
        <v>2500</v>
      </c>
      <c r="G81" s="67">
        <v>1</v>
      </c>
      <c r="H81" s="52">
        <f t="shared" si="4"/>
        <v>2500</v>
      </c>
      <c r="I81" s="52">
        <v>0</v>
      </c>
      <c r="J81" s="54"/>
      <c r="K81" s="52"/>
      <c r="L81" s="52">
        <v>0</v>
      </c>
      <c r="M81" s="52"/>
      <c r="N81" s="300" t="s">
        <v>350</v>
      </c>
    </row>
    <row r="82" spans="1:14" ht="60" customHeight="1">
      <c r="A82" s="72"/>
      <c r="B82" s="59" t="s">
        <v>159</v>
      </c>
      <c r="C82" s="326" t="s">
        <v>32</v>
      </c>
      <c r="D82" s="59" t="s">
        <v>91</v>
      </c>
      <c r="E82" s="59">
        <v>1</v>
      </c>
      <c r="F82" s="59">
        <v>2500</v>
      </c>
      <c r="G82" s="67">
        <v>1</v>
      </c>
      <c r="H82" s="52">
        <f t="shared" si="4"/>
        <v>2500</v>
      </c>
      <c r="I82" s="52">
        <v>0</v>
      </c>
      <c r="J82" s="54"/>
      <c r="K82" s="52"/>
      <c r="L82" s="52">
        <v>0</v>
      </c>
      <c r="M82" s="52"/>
      <c r="N82" s="300" t="s">
        <v>350</v>
      </c>
    </row>
    <row r="83" spans="1:14" ht="29.25" customHeight="1">
      <c r="A83" s="72"/>
      <c r="B83" s="59"/>
      <c r="C83" s="326"/>
      <c r="D83" s="59" t="s">
        <v>0</v>
      </c>
      <c r="E83" s="59"/>
      <c r="F83" s="59"/>
      <c r="G83" s="67"/>
      <c r="H83" s="52">
        <f>SUM(H80:H82)</f>
        <v>7500</v>
      </c>
      <c r="I83" s="52">
        <v>0</v>
      </c>
      <c r="J83" s="54"/>
      <c r="K83" s="52"/>
      <c r="L83" s="52">
        <v>0</v>
      </c>
      <c r="M83" s="52"/>
      <c r="N83" s="54"/>
    </row>
    <row r="84" spans="1:14" ht="29.25" customHeight="1">
      <c r="A84" s="72"/>
      <c r="B84" s="59"/>
      <c r="C84" s="326"/>
      <c r="D84" s="59"/>
      <c r="E84" s="59"/>
      <c r="F84" s="59"/>
      <c r="G84" s="67"/>
      <c r="H84" s="52"/>
      <c r="I84" s="52"/>
      <c r="J84" s="54"/>
      <c r="K84" s="52"/>
      <c r="L84" s="52"/>
      <c r="M84" s="52"/>
      <c r="N84" s="54"/>
    </row>
    <row r="85" spans="1:14" ht="33" customHeight="1">
      <c r="A85" s="73" t="s">
        <v>89</v>
      </c>
      <c r="B85" s="75"/>
      <c r="C85" s="313"/>
      <c r="D85" s="75"/>
      <c r="E85" s="75"/>
      <c r="F85" s="75"/>
      <c r="G85" s="76"/>
      <c r="H85" s="77"/>
      <c r="I85" s="77"/>
      <c r="J85" s="77"/>
      <c r="K85" s="157"/>
      <c r="L85" s="157"/>
      <c r="M85" s="157"/>
      <c r="N85" s="77"/>
    </row>
    <row r="86" spans="1:14" ht="117" customHeight="1">
      <c r="A86" s="336" t="s">
        <v>90</v>
      </c>
      <c r="B86" s="48" t="s">
        <v>112</v>
      </c>
      <c r="C86" s="64" t="s">
        <v>32</v>
      </c>
      <c r="D86" s="65" t="s">
        <v>91</v>
      </c>
      <c r="E86" s="65">
        <v>3</v>
      </c>
      <c r="F86" s="65">
        <v>0</v>
      </c>
      <c r="G86" s="65">
        <v>3</v>
      </c>
      <c r="H86" s="66">
        <f>E86*F86*G86</f>
        <v>0</v>
      </c>
      <c r="I86" s="66">
        <v>0</v>
      </c>
      <c r="J86" s="68">
        <v>0</v>
      </c>
      <c r="K86" s="66">
        <f>H86*J86</f>
        <v>0</v>
      </c>
      <c r="L86" s="66">
        <v>0</v>
      </c>
      <c r="M86" s="66"/>
      <c r="N86" s="301" t="s">
        <v>366</v>
      </c>
    </row>
    <row r="87" spans="1:14" ht="42.75" customHeight="1">
      <c r="A87" s="337"/>
      <c r="B87" s="48" t="s">
        <v>113</v>
      </c>
      <c r="C87" s="64" t="s">
        <v>32</v>
      </c>
      <c r="D87" s="65" t="s">
        <v>91</v>
      </c>
      <c r="E87" s="65">
        <v>1</v>
      </c>
      <c r="F87" s="65">
        <v>30000</v>
      </c>
      <c r="G87" s="65">
        <v>1</v>
      </c>
      <c r="H87" s="66">
        <f>E87*F87*G87</f>
        <v>30000</v>
      </c>
      <c r="I87" s="66">
        <v>30000</v>
      </c>
      <c r="J87" s="66">
        <v>30</v>
      </c>
      <c r="K87" s="66">
        <f>I87*J87/100</f>
        <v>9000</v>
      </c>
      <c r="L87" s="66">
        <v>0</v>
      </c>
      <c r="M87" s="66"/>
      <c r="N87" s="143" t="s">
        <v>211</v>
      </c>
    </row>
    <row r="88" spans="1:14" ht="28.5" customHeight="1">
      <c r="A88" s="337"/>
      <c r="B88" s="48" t="s">
        <v>114</v>
      </c>
      <c r="C88" s="64" t="s">
        <v>32</v>
      </c>
      <c r="D88" s="65" t="s">
        <v>91</v>
      </c>
      <c r="E88" s="65">
        <v>1</v>
      </c>
      <c r="F88" s="65">
        <v>2500</v>
      </c>
      <c r="G88" s="65">
        <v>1</v>
      </c>
      <c r="H88" s="66">
        <f>E88*F88*G88</f>
        <v>2500</v>
      </c>
      <c r="I88" s="66">
        <v>2500</v>
      </c>
      <c r="J88" s="66">
        <v>10</v>
      </c>
      <c r="K88" s="66">
        <f>I88*J88/100</f>
        <v>250</v>
      </c>
      <c r="L88" s="66">
        <v>0</v>
      </c>
      <c r="M88" s="66"/>
      <c r="N88" s="143" t="s">
        <v>209</v>
      </c>
    </row>
    <row r="89" spans="1:14" ht="30" customHeight="1">
      <c r="A89" s="338"/>
      <c r="B89" s="59"/>
      <c r="C89" s="59"/>
      <c r="D89" s="59" t="s">
        <v>0</v>
      </c>
      <c r="E89" s="59"/>
      <c r="F89" s="59"/>
      <c r="G89" s="59"/>
      <c r="H89" s="52">
        <f>SUM(H86:H88)</f>
        <v>32500</v>
      </c>
      <c r="I89" s="52">
        <f>SUM(I86:I88)</f>
        <v>32500</v>
      </c>
      <c r="J89" s="54"/>
      <c r="K89" s="52">
        <f>SUM(K86:K88)</f>
        <v>9250</v>
      </c>
      <c r="L89" s="52">
        <f>SUM(L86:L88)</f>
        <v>0</v>
      </c>
      <c r="M89" s="52"/>
      <c r="N89" s="54"/>
    </row>
    <row r="90" spans="1:14" ht="48" customHeight="1">
      <c r="A90" s="336" t="s">
        <v>92</v>
      </c>
      <c r="B90" s="65" t="s">
        <v>102</v>
      </c>
      <c r="C90" s="64" t="s">
        <v>32</v>
      </c>
      <c r="D90" s="65" t="s">
        <v>58</v>
      </c>
      <c r="E90" s="65">
        <v>1</v>
      </c>
      <c r="F90" s="65">
        <v>10000</v>
      </c>
      <c r="G90" s="65">
        <v>1</v>
      </c>
      <c r="H90" s="66">
        <f>G90*F90*E90</f>
        <v>10000</v>
      </c>
      <c r="I90" s="66">
        <v>10000</v>
      </c>
      <c r="J90" s="66">
        <v>10</v>
      </c>
      <c r="K90" s="66">
        <f>I90*J90/100</f>
        <v>1000</v>
      </c>
      <c r="L90" s="330">
        <v>629</v>
      </c>
      <c r="M90" s="329">
        <f>+L90/H90</f>
        <v>0.0629</v>
      </c>
      <c r="N90" s="143" t="s">
        <v>210</v>
      </c>
    </row>
    <row r="91" spans="1:14" ht="36" customHeight="1">
      <c r="A91" s="337"/>
      <c r="B91" s="65" t="s">
        <v>103</v>
      </c>
      <c r="C91" s="64" t="s">
        <v>32</v>
      </c>
      <c r="D91" s="65" t="s">
        <v>58</v>
      </c>
      <c r="E91" s="65">
        <v>1</v>
      </c>
      <c r="F91" s="65">
        <v>6100</v>
      </c>
      <c r="G91" s="65">
        <v>1</v>
      </c>
      <c r="H91" s="66">
        <f>G91*F91*E91</f>
        <v>6100</v>
      </c>
      <c r="I91" s="66">
        <v>6100</v>
      </c>
      <c r="J91" s="66">
        <v>10</v>
      </c>
      <c r="K91" s="66">
        <f>I91*J91/100</f>
        <v>610</v>
      </c>
      <c r="L91" s="330">
        <v>300</v>
      </c>
      <c r="M91" s="329">
        <f>+L91/H91</f>
        <v>0.04918032786885246</v>
      </c>
      <c r="N91" s="143" t="s">
        <v>212</v>
      </c>
    </row>
    <row r="92" spans="1:14" ht="15">
      <c r="A92" s="338"/>
      <c r="B92" s="59"/>
      <c r="C92" s="59"/>
      <c r="D92" s="59" t="s">
        <v>0</v>
      </c>
      <c r="E92" s="59"/>
      <c r="F92" s="59"/>
      <c r="G92" s="59"/>
      <c r="H92" s="52">
        <f>SUM(H90:H91)</f>
        <v>16100</v>
      </c>
      <c r="I92" s="52">
        <f>SUM(I90:I91)</f>
        <v>16100</v>
      </c>
      <c r="J92" s="52"/>
      <c r="K92" s="52">
        <f>K90+K91</f>
        <v>1610</v>
      </c>
      <c r="L92" s="52"/>
      <c r="M92" s="52"/>
      <c r="N92" s="54"/>
    </row>
    <row r="93" spans="1:14" ht="52.5" customHeight="1">
      <c r="A93" s="336" t="s">
        <v>93</v>
      </c>
      <c r="B93" s="65" t="s">
        <v>94</v>
      </c>
      <c r="C93" s="64" t="s">
        <v>32</v>
      </c>
      <c r="D93" s="65" t="s">
        <v>58</v>
      </c>
      <c r="E93" s="65">
        <v>1</v>
      </c>
      <c r="F93" s="65">
        <v>18000</v>
      </c>
      <c r="G93" s="65">
        <v>1</v>
      </c>
      <c r="H93" s="66">
        <f>G93*F93*E93</f>
        <v>18000</v>
      </c>
      <c r="I93" s="66">
        <v>18000</v>
      </c>
      <c r="J93" s="66">
        <v>10</v>
      </c>
      <c r="K93" s="66">
        <f>I93*J93/100</f>
        <v>1800</v>
      </c>
      <c r="L93" s="330">
        <v>5186</v>
      </c>
      <c r="M93" s="329">
        <f>+L93/H93</f>
        <v>0.2881111111111111</v>
      </c>
      <c r="N93" s="143" t="s">
        <v>213</v>
      </c>
    </row>
    <row r="94" spans="1:14" ht="15">
      <c r="A94" s="338"/>
      <c r="B94" s="59"/>
      <c r="C94" s="59"/>
      <c r="D94" s="59" t="s">
        <v>0</v>
      </c>
      <c r="E94" s="59"/>
      <c r="F94" s="59"/>
      <c r="G94" s="59"/>
      <c r="H94" s="52">
        <f>SUM(H93)</f>
        <v>18000</v>
      </c>
      <c r="I94" s="52">
        <f>SUM(I93)</f>
        <v>18000</v>
      </c>
      <c r="J94" s="52"/>
      <c r="K94" s="52">
        <f>K93</f>
        <v>1800</v>
      </c>
      <c r="L94" s="52">
        <f>SUM(L93)</f>
        <v>5186</v>
      </c>
      <c r="M94" s="52"/>
      <c r="N94" s="54"/>
    </row>
    <row r="95" spans="1:14" ht="54" customHeight="1">
      <c r="A95" s="336" t="s">
        <v>95</v>
      </c>
      <c r="B95" s="65" t="s">
        <v>115</v>
      </c>
      <c r="C95" s="64" t="s">
        <v>32</v>
      </c>
      <c r="D95" s="65" t="s">
        <v>58</v>
      </c>
      <c r="E95" s="65">
        <v>1</v>
      </c>
      <c r="F95" s="65">
        <v>9000</v>
      </c>
      <c r="G95" s="65">
        <v>1</v>
      </c>
      <c r="H95" s="66">
        <f>G95*F95*E95</f>
        <v>9000</v>
      </c>
      <c r="I95" s="66">
        <v>9000</v>
      </c>
      <c r="J95" s="66">
        <v>10</v>
      </c>
      <c r="K95" s="66">
        <f>I95*J95/100</f>
        <v>900</v>
      </c>
      <c r="L95" s="66">
        <v>6907</v>
      </c>
      <c r="M95" s="66">
        <f>L95/H95*100</f>
        <v>76.74444444444445</v>
      </c>
      <c r="N95" s="143" t="s">
        <v>214</v>
      </c>
    </row>
    <row r="96" spans="1:14" ht="30" customHeight="1">
      <c r="A96" s="337"/>
      <c r="B96" s="48" t="s">
        <v>163</v>
      </c>
      <c r="C96" s="64" t="s">
        <v>32</v>
      </c>
      <c r="D96" s="65" t="s">
        <v>58</v>
      </c>
      <c r="E96" s="65">
        <v>1</v>
      </c>
      <c r="F96" s="65">
        <v>11100</v>
      </c>
      <c r="G96" s="65">
        <v>1</v>
      </c>
      <c r="H96" s="66">
        <f>G96*F96*E96</f>
        <v>11100</v>
      </c>
      <c r="I96" s="66">
        <v>11100</v>
      </c>
      <c r="J96" s="66">
        <v>10</v>
      </c>
      <c r="K96" s="66">
        <f>I96*J96/100</f>
        <v>1110</v>
      </c>
      <c r="L96" s="66">
        <v>6659</v>
      </c>
      <c r="M96" s="66">
        <f>L96/H96*100</f>
        <v>59.99099099099099</v>
      </c>
      <c r="N96" s="143" t="s">
        <v>215</v>
      </c>
    </row>
    <row r="97" spans="1:14" ht="31.5" customHeight="1">
      <c r="A97" s="337"/>
      <c r="B97" s="48" t="s">
        <v>164</v>
      </c>
      <c r="C97" s="64" t="s">
        <v>32</v>
      </c>
      <c r="D97" s="65" t="s">
        <v>58</v>
      </c>
      <c r="E97" s="65">
        <v>4</v>
      </c>
      <c r="F97" s="65">
        <v>1700</v>
      </c>
      <c r="G97" s="65">
        <v>1</v>
      </c>
      <c r="H97" s="66">
        <f>G97*F97*E97</f>
        <v>6800</v>
      </c>
      <c r="I97" s="66">
        <v>6800</v>
      </c>
      <c r="J97" s="66">
        <v>10</v>
      </c>
      <c r="K97" s="66">
        <f>I97*J97/100</f>
        <v>680</v>
      </c>
      <c r="L97" s="66">
        <v>0</v>
      </c>
      <c r="M97" s="66">
        <v>0</v>
      </c>
      <c r="N97" s="143" t="s">
        <v>216</v>
      </c>
    </row>
    <row r="98" spans="1:14" ht="15">
      <c r="A98" s="338"/>
      <c r="B98" s="59"/>
      <c r="C98" s="59"/>
      <c r="D98" s="59" t="s">
        <v>0</v>
      </c>
      <c r="E98" s="59"/>
      <c r="F98" s="59"/>
      <c r="G98" s="59"/>
      <c r="H98" s="52">
        <f>SUM(H95:H97)</f>
        <v>26900</v>
      </c>
      <c r="I98" s="52">
        <f>SUM(I95:I97)</f>
        <v>26900</v>
      </c>
      <c r="J98" s="54"/>
      <c r="K98" s="52">
        <f>K95+K96+K97</f>
        <v>2690</v>
      </c>
      <c r="L98" s="52">
        <f>SUM(L95:L97)</f>
        <v>13566</v>
      </c>
      <c r="M98" s="52"/>
      <c r="N98" s="54"/>
    </row>
    <row r="99" spans="1:14" ht="27.75" customHeight="1">
      <c r="A99" s="347" t="s">
        <v>35</v>
      </c>
      <c r="B99" s="348"/>
      <c r="C99" s="309"/>
      <c r="D99" s="61"/>
      <c r="E99" s="61"/>
      <c r="F99" s="61"/>
      <c r="G99" s="62"/>
      <c r="H99" s="79">
        <f>H98+H94+H92+H89+H74+H71+H63</f>
        <v>279020</v>
      </c>
      <c r="I99" s="79">
        <f>I98+I94+I92+I89+I74+I71+I63</f>
        <v>272339</v>
      </c>
      <c r="J99" s="63"/>
      <c r="K99" s="79" t="e">
        <f>K98+K94+K92+K89+K76+#REF!+K74+K71+K63</f>
        <v>#REF!</v>
      </c>
      <c r="L99" s="79"/>
      <c r="M99" s="79"/>
      <c r="N99" s="63"/>
    </row>
    <row r="100" spans="1:14" ht="23.25" customHeight="1">
      <c r="A100" s="342" t="s">
        <v>54</v>
      </c>
      <c r="B100" s="343"/>
      <c r="C100" s="343"/>
      <c r="D100" s="343"/>
      <c r="E100" s="343"/>
      <c r="F100" s="343"/>
      <c r="G100" s="343"/>
      <c r="H100" s="343"/>
      <c r="I100" s="343"/>
      <c r="J100" s="343"/>
      <c r="K100" s="343"/>
      <c r="L100" s="343"/>
      <c r="M100" s="343"/>
      <c r="N100" s="343"/>
    </row>
    <row r="101" spans="1:14" ht="32.25" customHeight="1">
      <c r="A101" s="312" t="s">
        <v>65</v>
      </c>
      <c r="B101" s="313"/>
      <c r="C101" s="313"/>
      <c r="D101" s="313"/>
      <c r="E101" s="313"/>
      <c r="F101" s="313"/>
      <c r="G101" s="313"/>
      <c r="H101" s="313"/>
      <c r="I101" s="313"/>
      <c r="J101" s="313"/>
      <c r="K101" s="313"/>
      <c r="L101" s="313"/>
      <c r="M101" s="313"/>
      <c r="N101" s="313"/>
    </row>
    <row r="102" spans="1:14" ht="44.25" customHeight="1">
      <c r="A102" s="335" t="s">
        <v>118</v>
      </c>
      <c r="B102" s="44" t="s">
        <v>60</v>
      </c>
      <c r="C102" s="44" t="s">
        <v>32</v>
      </c>
      <c r="D102" s="44" t="s">
        <v>91</v>
      </c>
      <c r="E102" s="44">
        <v>1</v>
      </c>
      <c r="F102" s="44">
        <v>2000</v>
      </c>
      <c r="G102" s="44">
        <v>1</v>
      </c>
      <c r="H102" s="50">
        <f aca="true" t="shared" si="5" ref="H102:H109">E102*F102*G102</f>
        <v>2000</v>
      </c>
      <c r="I102" s="50">
        <v>2000</v>
      </c>
      <c r="J102" s="50">
        <v>33</v>
      </c>
      <c r="K102" s="45">
        <f>I102*J102/100</f>
        <v>660</v>
      </c>
      <c r="L102" s="45">
        <v>2000</v>
      </c>
      <c r="M102" s="45">
        <f>L102/H102*100</f>
        <v>100</v>
      </c>
      <c r="N102" s="58" t="s">
        <v>217</v>
      </c>
    </row>
    <row r="103" spans="1:14" ht="33.75" customHeight="1">
      <c r="A103" s="335"/>
      <c r="B103" s="44" t="s">
        <v>61</v>
      </c>
      <c r="C103" s="44" t="s">
        <v>32</v>
      </c>
      <c r="D103" s="58" t="s">
        <v>91</v>
      </c>
      <c r="E103" s="58">
        <v>1</v>
      </c>
      <c r="F103" s="58">
        <v>1000</v>
      </c>
      <c r="G103" s="58">
        <v>1</v>
      </c>
      <c r="H103" s="50">
        <f t="shared" si="5"/>
        <v>1000</v>
      </c>
      <c r="I103" s="50">
        <v>1475</v>
      </c>
      <c r="J103" s="50">
        <v>33</v>
      </c>
      <c r="K103" s="45">
        <f aca="true" t="shared" si="6" ref="K103:K109">I103*J103/100</f>
        <v>486.75</v>
      </c>
      <c r="L103" s="45">
        <v>1000</v>
      </c>
      <c r="M103" s="45">
        <f>L103/H103*100</f>
        <v>100</v>
      </c>
      <c r="N103" s="45" t="s">
        <v>218</v>
      </c>
    </row>
    <row r="104" spans="1:14" ht="36" customHeight="1">
      <c r="A104" s="335"/>
      <c r="B104" s="44" t="s">
        <v>62</v>
      </c>
      <c r="C104" s="44" t="s">
        <v>32</v>
      </c>
      <c r="D104" s="58" t="s">
        <v>91</v>
      </c>
      <c r="E104" s="58">
        <v>10</v>
      </c>
      <c r="F104" s="58">
        <v>150</v>
      </c>
      <c r="G104" s="58">
        <v>1</v>
      </c>
      <c r="H104" s="50">
        <f t="shared" si="5"/>
        <v>1500</v>
      </c>
      <c r="I104" s="50">
        <v>1800</v>
      </c>
      <c r="J104" s="50">
        <v>30</v>
      </c>
      <c r="K104" s="45">
        <f t="shared" si="6"/>
        <v>540</v>
      </c>
      <c r="L104" s="45">
        <v>1500</v>
      </c>
      <c r="M104" s="45">
        <f>L104/H104*100</f>
        <v>100</v>
      </c>
      <c r="N104" s="58" t="s">
        <v>219</v>
      </c>
    </row>
    <row r="105" spans="1:14" ht="32.25" customHeight="1">
      <c r="A105" s="335"/>
      <c r="B105" s="44" t="s">
        <v>63</v>
      </c>
      <c r="C105" s="44" t="s">
        <v>32</v>
      </c>
      <c r="D105" s="58" t="s">
        <v>91</v>
      </c>
      <c r="E105" s="58">
        <v>20</v>
      </c>
      <c r="F105" s="58">
        <v>0</v>
      </c>
      <c r="G105" s="58">
        <v>1</v>
      </c>
      <c r="H105" s="50">
        <f t="shared" si="5"/>
        <v>0</v>
      </c>
      <c r="I105" s="50">
        <v>0</v>
      </c>
      <c r="J105" s="50">
        <v>0</v>
      </c>
      <c r="K105" s="45">
        <f t="shared" si="6"/>
        <v>0</v>
      </c>
      <c r="L105" s="45">
        <v>0</v>
      </c>
      <c r="M105" s="45">
        <v>0</v>
      </c>
      <c r="N105" s="45"/>
    </row>
    <row r="106" spans="1:14" ht="30">
      <c r="A106" s="335"/>
      <c r="B106" s="81" t="s">
        <v>119</v>
      </c>
      <c r="C106" s="44" t="s">
        <v>32</v>
      </c>
      <c r="D106" s="58" t="s">
        <v>91</v>
      </c>
      <c r="E106" s="58">
        <v>10</v>
      </c>
      <c r="F106" s="58">
        <v>600</v>
      </c>
      <c r="G106" s="58">
        <v>1</v>
      </c>
      <c r="H106" s="50">
        <f t="shared" si="5"/>
        <v>6000</v>
      </c>
      <c r="I106" s="50">
        <v>7200</v>
      </c>
      <c r="J106" s="50">
        <v>0.4</v>
      </c>
      <c r="K106" s="45">
        <f t="shared" si="6"/>
        <v>28.8</v>
      </c>
      <c r="L106" s="45">
        <v>6000</v>
      </c>
      <c r="M106" s="45">
        <f>L106/H106*100</f>
        <v>100</v>
      </c>
      <c r="N106" s="58" t="s">
        <v>220</v>
      </c>
    </row>
    <row r="107" spans="1:14" ht="60">
      <c r="A107" s="335"/>
      <c r="B107" s="44" t="s">
        <v>160</v>
      </c>
      <c r="C107" s="44" t="s">
        <v>32</v>
      </c>
      <c r="D107" s="58" t="s">
        <v>91</v>
      </c>
      <c r="E107" s="58">
        <v>120</v>
      </c>
      <c r="F107" s="58">
        <v>150</v>
      </c>
      <c r="G107" s="58">
        <v>1</v>
      </c>
      <c r="H107" s="50">
        <f t="shared" si="5"/>
        <v>18000</v>
      </c>
      <c r="I107" s="50">
        <v>30000</v>
      </c>
      <c r="J107" s="50">
        <v>8</v>
      </c>
      <c r="K107" s="45">
        <f t="shared" si="6"/>
        <v>2400</v>
      </c>
      <c r="L107" s="45">
        <v>18000</v>
      </c>
      <c r="M107" s="45">
        <f>L107/H107*100</f>
        <v>100</v>
      </c>
      <c r="N107" s="58" t="s">
        <v>367</v>
      </c>
    </row>
    <row r="108" spans="1:14" ht="45">
      <c r="A108" s="335"/>
      <c r="B108" s="44" t="s">
        <v>161</v>
      </c>
      <c r="C108" s="44" t="s">
        <v>32</v>
      </c>
      <c r="D108" s="58" t="s">
        <v>91</v>
      </c>
      <c r="E108" s="58">
        <v>280</v>
      </c>
      <c r="F108" s="58">
        <v>150</v>
      </c>
      <c r="G108" s="58">
        <v>1</v>
      </c>
      <c r="H108" s="50">
        <f t="shared" si="5"/>
        <v>42000</v>
      </c>
      <c r="I108" s="50">
        <v>42000</v>
      </c>
      <c r="J108" s="50">
        <v>50</v>
      </c>
      <c r="K108" s="45">
        <f t="shared" si="6"/>
        <v>21000</v>
      </c>
      <c r="L108" s="45">
        <v>42000</v>
      </c>
      <c r="M108" s="45">
        <f>L108/H108*100</f>
        <v>100</v>
      </c>
      <c r="N108" s="58" t="s">
        <v>222</v>
      </c>
    </row>
    <row r="109" spans="1:14" ht="30">
      <c r="A109" s="335"/>
      <c r="B109" s="82" t="s">
        <v>64</v>
      </c>
      <c r="C109" s="44" t="s">
        <v>32</v>
      </c>
      <c r="D109" s="58" t="s">
        <v>91</v>
      </c>
      <c r="E109" s="58">
        <v>4</v>
      </c>
      <c r="F109" s="58">
        <v>250</v>
      </c>
      <c r="G109" s="58">
        <v>6</v>
      </c>
      <c r="H109" s="50">
        <f t="shared" si="5"/>
        <v>6000</v>
      </c>
      <c r="I109" s="50">
        <v>7000</v>
      </c>
      <c r="J109" s="50">
        <v>60</v>
      </c>
      <c r="K109" s="45">
        <f t="shared" si="6"/>
        <v>4200</v>
      </c>
      <c r="L109" s="45">
        <v>6000</v>
      </c>
      <c r="M109" s="45">
        <f>L109/H109*100</f>
        <v>100</v>
      </c>
      <c r="N109" s="58" t="s">
        <v>223</v>
      </c>
    </row>
    <row r="110" spans="1:14" ht="15">
      <c r="A110" s="335"/>
      <c r="B110" s="59"/>
      <c r="C110" s="59"/>
      <c r="D110" s="59" t="s">
        <v>0</v>
      </c>
      <c r="E110" s="59"/>
      <c r="F110" s="59"/>
      <c r="G110" s="67"/>
      <c r="H110" s="52">
        <f>SUM(H102:H109)</f>
        <v>76500</v>
      </c>
      <c r="I110" s="52">
        <f>SUM(I102:I109)</f>
        <v>91475</v>
      </c>
      <c r="J110" s="54"/>
      <c r="K110" s="52">
        <f>SUM(K102:K109)</f>
        <v>29315.55</v>
      </c>
      <c r="L110" s="52">
        <f>SUM(L102:L109)</f>
        <v>76500</v>
      </c>
      <c r="M110" s="54"/>
      <c r="N110" s="54"/>
    </row>
    <row r="111" spans="1:14" ht="30">
      <c r="A111" s="335" t="s">
        <v>96</v>
      </c>
      <c r="B111" s="48" t="s">
        <v>124</v>
      </c>
      <c r="C111" s="44" t="s">
        <v>32</v>
      </c>
      <c r="D111" s="44" t="s">
        <v>91</v>
      </c>
      <c r="E111" s="44">
        <v>1</v>
      </c>
      <c r="F111" s="44">
        <v>0</v>
      </c>
      <c r="G111" s="44">
        <v>0</v>
      </c>
      <c r="H111" s="50">
        <v>0</v>
      </c>
      <c r="I111" s="50">
        <v>0</v>
      </c>
      <c r="J111" s="50">
        <v>0</v>
      </c>
      <c r="K111" s="45">
        <f>H111*J111</f>
        <v>0</v>
      </c>
      <c r="L111" s="45">
        <v>0</v>
      </c>
      <c r="M111" s="45">
        <v>0</v>
      </c>
      <c r="N111" s="45"/>
    </row>
    <row r="112" spans="1:14" ht="30">
      <c r="A112" s="335"/>
      <c r="B112" s="46" t="s">
        <v>120</v>
      </c>
      <c r="C112" s="44" t="s">
        <v>32</v>
      </c>
      <c r="D112" s="44" t="s">
        <v>91</v>
      </c>
      <c r="E112" s="44">
        <v>25</v>
      </c>
      <c r="F112" s="44">
        <v>100</v>
      </c>
      <c r="G112" s="44">
        <v>1</v>
      </c>
      <c r="H112" s="50">
        <f>E112*F112*G112</f>
        <v>2500</v>
      </c>
      <c r="I112" s="50">
        <v>2500</v>
      </c>
      <c r="J112" s="50">
        <v>50</v>
      </c>
      <c r="K112" s="45">
        <f>I112*J112/100</f>
        <v>1250</v>
      </c>
      <c r="L112" s="45">
        <v>2500</v>
      </c>
      <c r="M112" s="45">
        <f>L112/H112*100</f>
        <v>100</v>
      </c>
      <c r="N112" s="58" t="s">
        <v>224</v>
      </c>
    </row>
    <row r="113" spans="1:14" ht="45">
      <c r="A113" s="335"/>
      <c r="B113" s="48" t="s">
        <v>121</v>
      </c>
      <c r="C113" s="44" t="s">
        <v>32</v>
      </c>
      <c r="D113" s="58" t="s">
        <v>91</v>
      </c>
      <c r="E113" s="58">
        <v>10</v>
      </c>
      <c r="F113" s="58">
        <v>300</v>
      </c>
      <c r="G113" s="58">
        <v>1</v>
      </c>
      <c r="H113" s="50">
        <f>E113*F113*G113</f>
        <v>3000</v>
      </c>
      <c r="I113" s="50">
        <v>4800</v>
      </c>
      <c r="J113" s="50">
        <v>40</v>
      </c>
      <c r="K113" s="45">
        <f>I113*J113/100</f>
        <v>1920</v>
      </c>
      <c r="L113" s="45">
        <v>3000</v>
      </c>
      <c r="M113" s="45">
        <f>L113/H113*100</f>
        <v>100</v>
      </c>
      <c r="N113" s="58" t="s">
        <v>225</v>
      </c>
    </row>
    <row r="114" spans="1:14" ht="30">
      <c r="A114" s="335"/>
      <c r="B114" s="46" t="s">
        <v>122</v>
      </c>
      <c r="C114" s="44" t="s">
        <v>32</v>
      </c>
      <c r="D114" s="58" t="s">
        <v>91</v>
      </c>
      <c r="E114" s="58">
        <v>25</v>
      </c>
      <c r="F114" s="58">
        <v>75</v>
      </c>
      <c r="G114" s="58">
        <v>1</v>
      </c>
      <c r="H114" s="50">
        <f>E114*F114*G114</f>
        <v>1875</v>
      </c>
      <c r="I114" s="50">
        <v>2100</v>
      </c>
      <c r="J114" s="50">
        <v>40</v>
      </c>
      <c r="K114" s="45">
        <f>I114*J114/100</f>
        <v>840</v>
      </c>
      <c r="L114" s="45">
        <v>1875</v>
      </c>
      <c r="M114" s="45">
        <f>L114/H114*100</f>
        <v>100</v>
      </c>
      <c r="N114" s="58" t="s">
        <v>368</v>
      </c>
    </row>
    <row r="115" spans="1:14" ht="30">
      <c r="A115" s="335"/>
      <c r="B115" s="46" t="s">
        <v>123</v>
      </c>
      <c r="C115" s="44" t="s">
        <v>32</v>
      </c>
      <c r="D115" s="58" t="s">
        <v>91</v>
      </c>
      <c r="E115" s="58">
        <v>4</v>
      </c>
      <c r="F115" s="58">
        <v>300</v>
      </c>
      <c r="G115" s="58">
        <v>6</v>
      </c>
      <c r="H115" s="50">
        <f>E115*F115*G115</f>
        <v>7200</v>
      </c>
      <c r="I115" s="50">
        <v>7200</v>
      </c>
      <c r="J115" s="50">
        <v>40</v>
      </c>
      <c r="K115" s="45">
        <f>I115*J115/100</f>
        <v>2880</v>
      </c>
      <c r="L115" s="45">
        <v>7200</v>
      </c>
      <c r="M115" s="45">
        <f>L115/H115*100</f>
        <v>100</v>
      </c>
      <c r="N115" s="45" t="s">
        <v>227</v>
      </c>
    </row>
    <row r="116" spans="1:14" ht="15">
      <c r="A116" s="335"/>
      <c r="B116" s="59"/>
      <c r="C116" s="59"/>
      <c r="D116" s="59" t="s">
        <v>0</v>
      </c>
      <c r="E116" s="59"/>
      <c r="F116" s="59"/>
      <c r="G116" s="59"/>
      <c r="H116" s="52">
        <f>SUM(H111:H115)</f>
        <v>14575</v>
      </c>
      <c r="I116" s="52">
        <f>SUM(I111:I115)</f>
        <v>16600</v>
      </c>
      <c r="J116" s="54"/>
      <c r="K116" s="52">
        <f>K111+K112+K113+K114+K115</f>
        <v>6890</v>
      </c>
      <c r="L116" s="52">
        <f>SUM(L111:L115)</f>
        <v>14575</v>
      </c>
      <c r="M116" s="52"/>
      <c r="N116" s="54"/>
    </row>
    <row r="117" spans="1:14" ht="30">
      <c r="A117" s="312" t="s">
        <v>97</v>
      </c>
      <c r="B117" s="83"/>
      <c r="C117" s="313"/>
      <c r="D117" s="75"/>
      <c r="E117" s="75"/>
      <c r="F117" s="75"/>
      <c r="G117" s="76"/>
      <c r="H117" s="77"/>
      <c r="I117" s="77"/>
      <c r="J117" s="77"/>
      <c r="K117" s="84"/>
      <c r="L117" s="84"/>
      <c r="M117" s="84"/>
      <c r="N117" s="84"/>
    </row>
    <row r="118" spans="1:14" ht="30">
      <c r="A118" s="336" t="s">
        <v>127</v>
      </c>
      <c r="B118" s="44" t="s">
        <v>125</v>
      </c>
      <c r="C118" s="64" t="s">
        <v>32</v>
      </c>
      <c r="D118" s="59" t="s">
        <v>91</v>
      </c>
      <c r="E118" s="65">
        <v>60</v>
      </c>
      <c r="F118" s="65">
        <v>50</v>
      </c>
      <c r="G118" s="65">
        <v>1</v>
      </c>
      <c r="H118" s="66">
        <f aca="true" t="shared" si="7" ref="H118:H127">G118*F118*E118</f>
        <v>3000</v>
      </c>
      <c r="I118" s="66">
        <v>3000</v>
      </c>
      <c r="J118" s="66">
        <v>50</v>
      </c>
      <c r="K118" s="66">
        <f>I118*J118/100</f>
        <v>1500</v>
      </c>
      <c r="L118" s="66">
        <v>3000</v>
      </c>
      <c r="M118" s="66">
        <f>L118/H118*100</f>
        <v>100</v>
      </c>
      <c r="N118" s="143" t="s">
        <v>228</v>
      </c>
    </row>
    <row r="119" spans="1:14" ht="75">
      <c r="A119" s="337"/>
      <c r="B119" s="44" t="s">
        <v>128</v>
      </c>
      <c r="C119" s="64" t="s">
        <v>32</v>
      </c>
      <c r="D119" s="59" t="s">
        <v>91</v>
      </c>
      <c r="E119" s="65">
        <v>10</v>
      </c>
      <c r="F119" s="65">
        <v>600</v>
      </c>
      <c r="G119" s="65">
        <v>1</v>
      </c>
      <c r="H119" s="66">
        <f t="shared" si="7"/>
        <v>6000</v>
      </c>
      <c r="I119" s="66">
        <v>6000</v>
      </c>
      <c r="J119" s="66">
        <v>50</v>
      </c>
      <c r="K119" s="66">
        <f aca="true" t="shared" si="8" ref="K119:K127">I119*J119/100</f>
        <v>3000</v>
      </c>
      <c r="L119" s="66">
        <v>6000</v>
      </c>
      <c r="M119" s="66">
        <f>L119/H119*100</f>
        <v>100</v>
      </c>
      <c r="N119" s="143" t="s">
        <v>229</v>
      </c>
    </row>
    <row r="120" spans="1:14" ht="60">
      <c r="A120" s="337"/>
      <c r="B120" s="44" t="s">
        <v>173</v>
      </c>
      <c r="C120" s="64" t="s">
        <v>32</v>
      </c>
      <c r="D120" s="59" t="s">
        <v>91</v>
      </c>
      <c r="E120" s="65">
        <v>1</v>
      </c>
      <c r="F120" s="65">
        <v>12000</v>
      </c>
      <c r="G120" s="65">
        <v>1</v>
      </c>
      <c r="H120" s="66">
        <f t="shared" si="7"/>
        <v>12000</v>
      </c>
      <c r="I120" s="66">
        <v>12000</v>
      </c>
      <c r="J120" s="66">
        <v>50</v>
      </c>
      <c r="K120" s="66">
        <f t="shared" si="8"/>
        <v>6000</v>
      </c>
      <c r="L120" s="66">
        <v>12000</v>
      </c>
      <c r="M120" s="66">
        <f>L120/H120*100</f>
        <v>100</v>
      </c>
      <c r="N120" s="143" t="s">
        <v>230</v>
      </c>
    </row>
    <row r="121" spans="1:14" ht="30">
      <c r="A121" s="337"/>
      <c r="B121" s="44" t="s">
        <v>126</v>
      </c>
      <c r="C121" s="64" t="s">
        <v>32</v>
      </c>
      <c r="D121" s="59" t="s">
        <v>91</v>
      </c>
      <c r="E121" s="65">
        <v>2</v>
      </c>
      <c r="F121" s="65">
        <v>300</v>
      </c>
      <c r="G121" s="65">
        <v>2</v>
      </c>
      <c r="H121" s="66">
        <f t="shared" si="7"/>
        <v>1200</v>
      </c>
      <c r="I121" s="66">
        <v>1200</v>
      </c>
      <c r="J121" s="66">
        <v>50</v>
      </c>
      <c r="K121" s="66">
        <f t="shared" si="8"/>
        <v>600</v>
      </c>
      <c r="L121" s="66">
        <v>1200</v>
      </c>
      <c r="M121" s="66">
        <f>L121/H121*100</f>
        <v>100</v>
      </c>
      <c r="N121" s="143" t="s">
        <v>231</v>
      </c>
    </row>
    <row r="122" spans="1:14" ht="45">
      <c r="A122" s="337"/>
      <c r="B122" s="48" t="s">
        <v>129</v>
      </c>
      <c r="C122" s="64" t="s">
        <v>32</v>
      </c>
      <c r="D122" s="59" t="s">
        <v>58</v>
      </c>
      <c r="E122" s="65">
        <v>1</v>
      </c>
      <c r="F122" s="65">
        <v>0</v>
      </c>
      <c r="G122" s="65">
        <v>1</v>
      </c>
      <c r="H122" s="66">
        <f t="shared" si="7"/>
        <v>0</v>
      </c>
      <c r="I122" s="66">
        <v>0</v>
      </c>
      <c r="J122" s="66">
        <v>0</v>
      </c>
      <c r="K122" s="66">
        <f t="shared" si="8"/>
        <v>0</v>
      </c>
      <c r="L122" s="66">
        <v>0</v>
      </c>
      <c r="M122" s="66"/>
      <c r="N122" s="143" t="s">
        <v>232</v>
      </c>
    </row>
    <row r="123" spans="1:14" ht="45">
      <c r="A123" s="337"/>
      <c r="B123" s="48" t="s">
        <v>130</v>
      </c>
      <c r="C123" s="64" t="s">
        <v>32</v>
      </c>
      <c r="D123" s="59" t="s">
        <v>58</v>
      </c>
      <c r="E123" s="65">
        <v>1</v>
      </c>
      <c r="F123" s="65">
        <v>8500</v>
      </c>
      <c r="G123" s="65">
        <v>1</v>
      </c>
      <c r="H123" s="66">
        <f t="shared" si="7"/>
        <v>8500</v>
      </c>
      <c r="I123" s="66">
        <v>8500</v>
      </c>
      <c r="J123" s="66">
        <v>10</v>
      </c>
      <c r="K123" s="66">
        <f t="shared" si="8"/>
        <v>850</v>
      </c>
      <c r="L123" s="331">
        <v>5832</v>
      </c>
      <c r="M123" s="332">
        <f>+L123/H123</f>
        <v>0.6861176470588235</v>
      </c>
      <c r="N123" s="143" t="s">
        <v>233</v>
      </c>
    </row>
    <row r="124" spans="1:14" ht="30">
      <c r="A124" s="337"/>
      <c r="B124" s="48" t="s">
        <v>131</v>
      </c>
      <c r="C124" s="64" t="s">
        <v>32</v>
      </c>
      <c r="D124" s="59" t="s">
        <v>58</v>
      </c>
      <c r="E124" s="65">
        <v>4</v>
      </c>
      <c r="F124" s="65">
        <v>1250</v>
      </c>
      <c r="G124" s="65">
        <v>1</v>
      </c>
      <c r="H124" s="66">
        <f t="shared" si="7"/>
        <v>5000</v>
      </c>
      <c r="I124" s="66">
        <v>5000</v>
      </c>
      <c r="J124" s="66">
        <v>10</v>
      </c>
      <c r="K124" s="66">
        <f t="shared" si="8"/>
        <v>500</v>
      </c>
      <c r="L124" s="331">
        <v>2527</v>
      </c>
      <c r="M124" s="332">
        <f>+L124/H124</f>
        <v>0.5054</v>
      </c>
      <c r="N124" s="143" t="s">
        <v>234</v>
      </c>
    </row>
    <row r="125" spans="1:14" ht="30">
      <c r="A125" s="337"/>
      <c r="B125" s="48" t="s">
        <v>169</v>
      </c>
      <c r="C125" s="64" t="s">
        <v>32</v>
      </c>
      <c r="D125" s="59" t="s">
        <v>171</v>
      </c>
      <c r="E125" s="65">
        <v>1</v>
      </c>
      <c r="F125" s="65">
        <v>17000</v>
      </c>
      <c r="G125" s="65">
        <v>1</v>
      </c>
      <c r="H125" s="66">
        <f t="shared" si="7"/>
        <v>17000</v>
      </c>
      <c r="I125" s="66">
        <v>17000</v>
      </c>
      <c r="J125" s="66">
        <v>50</v>
      </c>
      <c r="K125" s="66">
        <f t="shared" si="8"/>
        <v>8500</v>
      </c>
      <c r="L125" s="66">
        <v>0</v>
      </c>
      <c r="M125" s="66">
        <v>0</v>
      </c>
      <c r="N125" s="66" t="s">
        <v>235</v>
      </c>
    </row>
    <row r="126" spans="1:14" ht="30">
      <c r="A126" s="337"/>
      <c r="B126" s="48" t="s">
        <v>320</v>
      </c>
      <c r="C126" s="64" t="s">
        <v>12</v>
      </c>
      <c r="D126" s="59" t="s">
        <v>91</v>
      </c>
      <c r="E126" s="65">
        <v>1</v>
      </c>
      <c r="F126" s="65">
        <v>5000</v>
      </c>
      <c r="G126" s="65">
        <v>1</v>
      </c>
      <c r="H126" s="66">
        <v>0</v>
      </c>
      <c r="I126" s="66">
        <v>5000</v>
      </c>
      <c r="J126" s="66">
        <v>50</v>
      </c>
      <c r="K126" s="66">
        <f t="shared" si="8"/>
        <v>2500</v>
      </c>
      <c r="L126" s="66">
        <v>4295</v>
      </c>
      <c r="M126" s="66">
        <f>L126/I126*100</f>
        <v>85.9</v>
      </c>
      <c r="N126" s="143" t="s">
        <v>321</v>
      </c>
    </row>
    <row r="127" spans="1:14" ht="30">
      <c r="A127" s="337"/>
      <c r="B127" s="48" t="s">
        <v>170</v>
      </c>
      <c r="C127" s="64" t="s">
        <v>32</v>
      </c>
      <c r="D127" s="59" t="s">
        <v>172</v>
      </c>
      <c r="E127" s="65">
        <v>1</v>
      </c>
      <c r="F127" s="65">
        <v>22000</v>
      </c>
      <c r="G127" s="65">
        <v>1</v>
      </c>
      <c r="H127" s="66">
        <f t="shared" si="7"/>
        <v>22000</v>
      </c>
      <c r="I127" s="66">
        <v>22000</v>
      </c>
      <c r="J127" s="66">
        <v>50</v>
      </c>
      <c r="K127" s="66">
        <f t="shared" si="8"/>
        <v>11000</v>
      </c>
      <c r="L127" s="66">
        <v>0</v>
      </c>
      <c r="M127" s="66">
        <f>L127/H127*100</f>
        <v>0</v>
      </c>
      <c r="N127" s="143" t="s">
        <v>236</v>
      </c>
    </row>
    <row r="128" spans="1:14" ht="15">
      <c r="A128" s="338"/>
      <c r="B128" s="59"/>
      <c r="C128" s="59"/>
      <c r="D128" s="59" t="s">
        <v>0</v>
      </c>
      <c r="E128" s="59"/>
      <c r="F128" s="59"/>
      <c r="G128" s="59"/>
      <c r="H128" s="52">
        <f>SUM(H118:H127)</f>
        <v>74700</v>
      </c>
      <c r="I128" s="52">
        <f>SUM(I118:I127)</f>
        <v>79700</v>
      </c>
      <c r="J128" s="52"/>
      <c r="K128" s="52">
        <f>SUM(K118:K127)</f>
        <v>34450</v>
      </c>
      <c r="L128" s="52">
        <f>SUM(L118:L127)</f>
        <v>34854</v>
      </c>
      <c r="M128" s="52"/>
      <c r="N128" s="54"/>
    </row>
    <row r="129" spans="1:14" ht="15">
      <c r="A129" s="347" t="s">
        <v>36</v>
      </c>
      <c r="B129" s="348"/>
      <c r="C129" s="309"/>
      <c r="D129" s="61"/>
      <c r="E129" s="61"/>
      <c r="F129" s="61"/>
      <c r="G129" s="62"/>
      <c r="H129" s="79">
        <f>H128+H116+H110</f>
        <v>165775</v>
      </c>
      <c r="I129" s="79">
        <f>I128+I116+I110</f>
        <v>187775</v>
      </c>
      <c r="J129" s="63"/>
      <c r="K129" s="79">
        <f>K110+K116+K128</f>
        <v>70655.55</v>
      </c>
      <c r="L129" s="274"/>
      <c r="M129" s="79"/>
      <c r="N129" s="63"/>
    </row>
    <row r="130" spans="1:14" ht="18.75" customHeight="1">
      <c r="A130" s="347" t="s">
        <v>40</v>
      </c>
      <c r="B130" s="348"/>
      <c r="C130" s="314"/>
      <c r="D130" s="61"/>
      <c r="E130" s="61"/>
      <c r="F130" s="61"/>
      <c r="G130" s="62"/>
      <c r="H130" s="79">
        <f>H129+H99+H56</f>
        <v>679995</v>
      </c>
      <c r="I130" s="79">
        <f>I129+I99+I56</f>
        <v>695314</v>
      </c>
      <c r="J130" s="203">
        <f>H130/H194</f>
        <v>0.6296254955385845</v>
      </c>
      <c r="K130" s="63"/>
      <c r="L130" s="63"/>
      <c r="M130" s="63"/>
      <c r="N130" s="63"/>
    </row>
    <row r="131" spans="1:14" ht="15">
      <c r="A131" s="371" t="s">
        <v>48</v>
      </c>
      <c r="B131" s="372"/>
      <c r="C131" s="88"/>
      <c r="D131" s="88"/>
      <c r="E131" s="88"/>
      <c r="F131" s="88"/>
      <c r="G131" s="88"/>
      <c r="H131" s="88"/>
      <c r="I131" s="88"/>
      <c r="J131" s="88"/>
      <c r="K131" s="88"/>
      <c r="L131" s="88"/>
      <c r="M131" s="88"/>
      <c r="N131" s="89"/>
    </row>
    <row r="132" spans="1:14" ht="15">
      <c r="A132" s="369" t="s">
        <v>41</v>
      </c>
      <c r="B132" s="370"/>
      <c r="C132" s="310"/>
      <c r="D132" s="310"/>
      <c r="E132" s="310"/>
      <c r="F132" s="310"/>
      <c r="G132" s="310"/>
      <c r="H132" s="310"/>
      <c r="I132" s="310"/>
      <c r="J132" s="310"/>
      <c r="K132" s="310"/>
      <c r="L132" s="310"/>
      <c r="M132" s="310"/>
      <c r="N132" s="91"/>
    </row>
    <row r="133" spans="1:14" ht="32.25" customHeight="1">
      <c r="A133" s="78"/>
      <c r="B133" s="47" t="s">
        <v>249</v>
      </c>
      <c r="C133" s="47" t="s">
        <v>10</v>
      </c>
      <c r="D133" s="93" t="s">
        <v>254</v>
      </c>
      <c r="E133" s="44">
        <v>1</v>
      </c>
      <c r="F133" s="44">
        <v>4240</v>
      </c>
      <c r="G133" s="44">
        <v>12</v>
      </c>
      <c r="H133" s="50">
        <f aca="true" t="shared" si="9" ref="H133:H138">E133*F133*G133</f>
        <v>50880</v>
      </c>
      <c r="I133" s="50">
        <v>50880</v>
      </c>
      <c r="J133" s="57"/>
      <c r="K133" s="57"/>
      <c r="L133" s="50">
        <f>F133*10</f>
        <v>42400</v>
      </c>
      <c r="M133" s="50">
        <f aca="true" t="shared" si="10" ref="M133:M138">L133/I133*100</f>
        <v>83.33333333333334</v>
      </c>
      <c r="N133" s="156" t="s">
        <v>250</v>
      </c>
    </row>
    <row r="134" spans="1:14" ht="30">
      <c r="A134" s="78"/>
      <c r="B134" s="47" t="s">
        <v>162</v>
      </c>
      <c r="C134" s="47" t="s">
        <v>10</v>
      </c>
      <c r="D134" s="93" t="s">
        <v>91</v>
      </c>
      <c r="E134" s="44">
        <v>1</v>
      </c>
      <c r="F134" s="44">
        <v>1500</v>
      </c>
      <c r="G134" s="44">
        <v>12</v>
      </c>
      <c r="H134" s="50">
        <f t="shared" si="9"/>
        <v>18000</v>
      </c>
      <c r="I134" s="50">
        <v>18000</v>
      </c>
      <c r="J134" s="57"/>
      <c r="K134" s="57"/>
      <c r="L134" s="50">
        <f>F134*6</f>
        <v>9000</v>
      </c>
      <c r="M134" s="50">
        <f t="shared" si="10"/>
        <v>50</v>
      </c>
      <c r="N134" s="156" t="s">
        <v>266</v>
      </c>
    </row>
    <row r="135" spans="1:14" ht="30">
      <c r="A135" s="78"/>
      <c r="B135" s="47" t="s">
        <v>166</v>
      </c>
      <c r="C135" s="47" t="s">
        <v>10</v>
      </c>
      <c r="D135" s="93" t="s">
        <v>91</v>
      </c>
      <c r="E135" s="44">
        <v>1</v>
      </c>
      <c r="F135" s="44">
        <v>700</v>
      </c>
      <c r="G135" s="44">
        <v>12</v>
      </c>
      <c r="H135" s="50">
        <f t="shared" si="9"/>
        <v>8400</v>
      </c>
      <c r="I135" s="50">
        <v>8400</v>
      </c>
      <c r="J135" s="57"/>
      <c r="K135" s="57"/>
      <c r="L135" s="50">
        <f>F135*10</f>
        <v>7000</v>
      </c>
      <c r="M135" s="50">
        <f t="shared" si="10"/>
        <v>83.33333333333334</v>
      </c>
      <c r="N135" s="156" t="s">
        <v>269</v>
      </c>
    </row>
    <row r="136" spans="1:14" ht="30">
      <c r="A136" s="78"/>
      <c r="B136" s="47" t="s">
        <v>139</v>
      </c>
      <c r="C136" s="47" t="s">
        <v>10</v>
      </c>
      <c r="D136" s="93" t="s">
        <v>91</v>
      </c>
      <c r="E136" s="44">
        <v>1</v>
      </c>
      <c r="F136" s="44">
        <v>1300</v>
      </c>
      <c r="G136" s="44">
        <v>8</v>
      </c>
      <c r="H136" s="50">
        <f t="shared" si="9"/>
        <v>10400</v>
      </c>
      <c r="I136" s="50">
        <v>10400</v>
      </c>
      <c r="J136" s="57"/>
      <c r="K136" s="57"/>
      <c r="L136" s="50">
        <f>F136*7</f>
        <v>9100</v>
      </c>
      <c r="M136" s="50">
        <f t="shared" si="10"/>
        <v>87.5</v>
      </c>
      <c r="N136" s="156" t="s">
        <v>267</v>
      </c>
    </row>
    <row r="137" spans="1:14" ht="30">
      <c r="A137" s="78"/>
      <c r="B137" s="47" t="s">
        <v>252</v>
      </c>
      <c r="C137" s="47" t="s">
        <v>10</v>
      </c>
      <c r="D137" s="93" t="s">
        <v>143</v>
      </c>
      <c r="E137" s="44">
        <v>1</v>
      </c>
      <c r="F137" s="44">
        <v>3000</v>
      </c>
      <c r="G137" s="44">
        <v>12</v>
      </c>
      <c r="H137" s="50">
        <f t="shared" si="9"/>
        <v>36000</v>
      </c>
      <c r="I137" s="50">
        <v>36000</v>
      </c>
      <c r="J137" s="57"/>
      <c r="K137" s="57"/>
      <c r="L137" s="50">
        <f>F137*7</f>
        <v>21000</v>
      </c>
      <c r="M137" s="50">
        <f t="shared" si="10"/>
        <v>58.333333333333336</v>
      </c>
      <c r="N137" s="156" t="s">
        <v>268</v>
      </c>
    </row>
    <row r="138" spans="1:14" ht="21" customHeight="1">
      <c r="A138" s="78"/>
      <c r="B138" s="47" t="s">
        <v>139</v>
      </c>
      <c r="C138" s="47" t="s">
        <v>10</v>
      </c>
      <c r="D138" s="93" t="s">
        <v>143</v>
      </c>
      <c r="E138" s="44">
        <v>1</v>
      </c>
      <c r="F138" s="44">
        <v>1600</v>
      </c>
      <c r="G138" s="44">
        <v>8</v>
      </c>
      <c r="H138" s="50">
        <f t="shared" si="9"/>
        <v>12800</v>
      </c>
      <c r="I138" s="50">
        <v>12800</v>
      </c>
      <c r="J138" s="57"/>
      <c r="K138" s="57"/>
      <c r="L138" s="50">
        <f>F138*7</f>
        <v>11200</v>
      </c>
      <c r="M138" s="50">
        <f t="shared" si="10"/>
        <v>87.5</v>
      </c>
      <c r="N138" s="156" t="s">
        <v>270</v>
      </c>
    </row>
    <row r="139" spans="1:14" ht="30">
      <c r="A139" s="78"/>
      <c r="B139" s="47" t="s">
        <v>75</v>
      </c>
      <c r="C139" s="47" t="s">
        <v>10</v>
      </c>
      <c r="D139" s="93" t="s">
        <v>58</v>
      </c>
      <c r="E139" s="44">
        <v>1</v>
      </c>
      <c r="F139" s="44">
        <v>1026</v>
      </c>
      <c r="G139" s="44">
        <v>12</v>
      </c>
      <c r="H139" s="50">
        <f aca="true" t="shared" si="11" ref="H139:H146">+E139*F139*G139</f>
        <v>12312</v>
      </c>
      <c r="I139" s="50">
        <v>12312</v>
      </c>
      <c r="J139" s="57"/>
      <c r="K139" s="57"/>
      <c r="L139" s="327">
        <v>13164.96</v>
      </c>
      <c r="M139" s="332">
        <f>+L139/H139</f>
        <v>1.0692787524366472</v>
      </c>
      <c r="N139" s="156" t="s">
        <v>288</v>
      </c>
    </row>
    <row r="140" spans="1:14" ht="15">
      <c r="A140" s="78"/>
      <c r="B140" s="47" t="s">
        <v>76</v>
      </c>
      <c r="C140" s="47" t="s">
        <v>10</v>
      </c>
      <c r="D140" s="93" t="s">
        <v>58</v>
      </c>
      <c r="E140" s="44">
        <v>1</v>
      </c>
      <c r="F140" s="44">
        <v>350</v>
      </c>
      <c r="G140" s="44">
        <v>12</v>
      </c>
      <c r="H140" s="50">
        <f t="shared" si="11"/>
        <v>4200</v>
      </c>
      <c r="I140" s="50">
        <v>4200</v>
      </c>
      <c r="J140" s="57"/>
      <c r="K140" s="57"/>
      <c r="L140" s="327">
        <v>4294</v>
      </c>
      <c r="M140" s="332">
        <f aca="true" t="shared" si="12" ref="M140:M146">+L140/H140</f>
        <v>1.0223809523809524</v>
      </c>
      <c r="N140" s="50" t="s">
        <v>289</v>
      </c>
    </row>
    <row r="141" spans="1:14" ht="30">
      <c r="A141" s="78"/>
      <c r="B141" s="47" t="s">
        <v>77</v>
      </c>
      <c r="C141" s="47" t="s">
        <v>10</v>
      </c>
      <c r="D141" s="93" t="s">
        <v>58</v>
      </c>
      <c r="E141" s="44">
        <v>1</v>
      </c>
      <c r="F141" s="44">
        <v>500</v>
      </c>
      <c r="G141" s="44">
        <v>12</v>
      </c>
      <c r="H141" s="50">
        <f t="shared" si="11"/>
        <v>6000</v>
      </c>
      <c r="I141" s="50">
        <v>6000</v>
      </c>
      <c r="J141" s="57"/>
      <c r="K141" s="57"/>
      <c r="L141" s="327">
        <v>6538.82</v>
      </c>
      <c r="M141" s="332">
        <f t="shared" si="12"/>
        <v>1.0898033333333332</v>
      </c>
      <c r="N141" s="156" t="s">
        <v>290</v>
      </c>
    </row>
    <row r="142" spans="1:14" ht="30" customHeight="1">
      <c r="A142" s="78"/>
      <c r="B142" s="47" t="s">
        <v>78</v>
      </c>
      <c r="C142" s="47" t="s">
        <v>10</v>
      </c>
      <c r="D142" s="93" t="s">
        <v>58</v>
      </c>
      <c r="E142" s="44">
        <v>1</v>
      </c>
      <c r="F142" s="44">
        <v>2227</v>
      </c>
      <c r="G142" s="44">
        <v>12</v>
      </c>
      <c r="H142" s="50">
        <f t="shared" si="11"/>
        <v>26724</v>
      </c>
      <c r="I142" s="50">
        <v>33405</v>
      </c>
      <c r="J142" s="57"/>
      <c r="K142" s="57"/>
      <c r="L142" s="327">
        <v>29244.82</v>
      </c>
      <c r="M142" s="332">
        <f t="shared" si="12"/>
        <v>1.0943279449184253</v>
      </c>
      <c r="N142" s="156" t="s">
        <v>351</v>
      </c>
    </row>
    <row r="143" spans="1:14" ht="23.25" customHeight="1">
      <c r="A143" s="78"/>
      <c r="B143" s="47" t="s">
        <v>79</v>
      </c>
      <c r="C143" s="47" t="s">
        <v>10</v>
      </c>
      <c r="D143" s="93" t="s">
        <v>58</v>
      </c>
      <c r="E143" s="44">
        <v>1</v>
      </c>
      <c r="F143" s="44">
        <v>781</v>
      </c>
      <c r="G143" s="44">
        <v>12</v>
      </c>
      <c r="H143" s="50">
        <f t="shared" si="11"/>
        <v>9372</v>
      </c>
      <c r="I143" s="50">
        <v>9372</v>
      </c>
      <c r="J143" s="57"/>
      <c r="K143" s="57"/>
      <c r="L143" s="327">
        <v>6457</v>
      </c>
      <c r="M143" s="332">
        <f t="shared" si="12"/>
        <v>0.6889671361502347</v>
      </c>
      <c r="N143" s="156" t="s">
        <v>271</v>
      </c>
    </row>
    <row r="144" spans="1:14" ht="30">
      <c r="A144" s="78"/>
      <c r="B144" s="47" t="s">
        <v>80</v>
      </c>
      <c r="C144" s="47" t="s">
        <v>10</v>
      </c>
      <c r="D144" s="93" t="s">
        <v>58</v>
      </c>
      <c r="E144" s="44">
        <v>1</v>
      </c>
      <c r="F144" s="44">
        <v>172</v>
      </c>
      <c r="G144" s="44">
        <v>12</v>
      </c>
      <c r="H144" s="50">
        <f t="shared" si="11"/>
        <v>2064</v>
      </c>
      <c r="I144" s="50">
        <v>2064</v>
      </c>
      <c r="J144" s="57"/>
      <c r="K144" s="57"/>
      <c r="L144" s="327">
        <v>2064</v>
      </c>
      <c r="M144" s="332">
        <f t="shared" si="12"/>
        <v>1</v>
      </c>
      <c r="N144" s="156" t="s">
        <v>292</v>
      </c>
    </row>
    <row r="145" spans="1:14" ht="30">
      <c r="A145" s="78"/>
      <c r="B145" s="47" t="s">
        <v>81</v>
      </c>
      <c r="C145" s="47" t="s">
        <v>10</v>
      </c>
      <c r="D145" s="93" t="s">
        <v>58</v>
      </c>
      <c r="E145" s="44">
        <v>1</v>
      </c>
      <c r="F145" s="44">
        <v>1200</v>
      </c>
      <c r="G145" s="44">
        <v>10</v>
      </c>
      <c r="H145" s="50">
        <f t="shared" si="11"/>
        <v>12000</v>
      </c>
      <c r="I145" s="50">
        <v>12000</v>
      </c>
      <c r="J145" s="57"/>
      <c r="K145" s="57"/>
      <c r="L145" s="327">
        <v>11272</v>
      </c>
      <c r="M145" s="332">
        <f t="shared" si="12"/>
        <v>0.9393333333333334</v>
      </c>
      <c r="N145" s="156" t="s">
        <v>272</v>
      </c>
    </row>
    <row r="146" spans="1:14" ht="30">
      <c r="A146" s="78"/>
      <c r="B146" s="47" t="s">
        <v>82</v>
      </c>
      <c r="C146" s="47" t="s">
        <v>10</v>
      </c>
      <c r="D146" s="93" t="s">
        <v>58</v>
      </c>
      <c r="E146" s="44">
        <v>1</v>
      </c>
      <c r="F146" s="44">
        <v>501</v>
      </c>
      <c r="G146" s="44">
        <v>12</v>
      </c>
      <c r="H146" s="50">
        <f t="shared" si="11"/>
        <v>6012</v>
      </c>
      <c r="I146" s="50">
        <v>6012</v>
      </c>
      <c r="J146" s="57"/>
      <c r="K146" s="57"/>
      <c r="L146" s="327">
        <v>5453.11</v>
      </c>
      <c r="M146" s="332">
        <f t="shared" si="12"/>
        <v>0.9070375914836992</v>
      </c>
      <c r="N146" s="156" t="s">
        <v>293</v>
      </c>
    </row>
    <row r="147" spans="1:14" ht="15">
      <c r="A147" s="78"/>
      <c r="B147" s="47"/>
      <c r="C147" s="92"/>
      <c r="D147" s="59" t="s">
        <v>0</v>
      </c>
      <c r="E147" s="59"/>
      <c r="F147" s="59"/>
      <c r="G147" s="59"/>
      <c r="H147" s="52">
        <f>SUM(H133:H146)</f>
        <v>215164</v>
      </c>
      <c r="I147" s="52">
        <f>SUM(I133:I146)</f>
        <v>221845</v>
      </c>
      <c r="J147" s="54"/>
      <c r="K147" s="54"/>
      <c r="L147" s="52">
        <f>SUM(L133:L146)</f>
        <v>178188.71</v>
      </c>
      <c r="M147" s="54"/>
      <c r="N147" s="54"/>
    </row>
    <row r="148" spans="1:14" ht="15">
      <c r="A148" s="344" t="s">
        <v>42</v>
      </c>
      <c r="B148" s="345"/>
      <c r="C148" s="345"/>
      <c r="D148" s="345"/>
      <c r="E148" s="345"/>
      <c r="F148" s="345"/>
      <c r="G148" s="345"/>
      <c r="H148" s="345"/>
      <c r="I148" s="345"/>
      <c r="J148" s="345"/>
      <c r="K148" s="345"/>
      <c r="L148" s="345"/>
      <c r="M148" s="345"/>
      <c r="N148" s="346"/>
    </row>
    <row r="149" spans="1:14" ht="15">
      <c r="A149" s="78"/>
      <c r="B149" s="94" t="s">
        <v>147</v>
      </c>
      <c r="C149" s="47" t="s">
        <v>11</v>
      </c>
      <c r="D149" s="93" t="s">
        <v>91</v>
      </c>
      <c r="E149" s="44">
        <v>1</v>
      </c>
      <c r="F149" s="44">
        <v>330</v>
      </c>
      <c r="G149" s="44">
        <v>12</v>
      </c>
      <c r="H149" s="50">
        <f>E149*F149*G149</f>
        <v>3960</v>
      </c>
      <c r="I149" s="50">
        <v>3960</v>
      </c>
      <c r="J149" s="57"/>
      <c r="K149" s="57"/>
      <c r="L149" s="50">
        <f>F149*G149</f>
        <v>3960</v>
      </c>
      <c r="M149" s="57">
        <f>L149/I149*100</f>
        <v>100</v>
      </c>
      <c r="N149" s="156" t="s">
        <v>274</v>
      </c>
    </row>
    <row r="150" spans="1:14" ht="15">
      <c r="A150" s="78"/>
      <c r="B150" s="169" t="s">
        <v>147</v>
      </c>
      <c r="C150" s="47" t="s">
        <v>11</v>
      </c>
      <c r="D150" s="93" t="s">
        <v>143</v>
      </c>
      <c r="E150" s="44">
        <v>1</v>
      </c>
      <c r="F150" s="44">
        <v>315</v>
      </c>
      <c r="G150" s="44">
        <v>12</v>
      </c>
      <c r="H150" s="50">
        <f>E150*F150*G150</f>
        <v>3780</v>
      </c>
      <c r="I150" s="50">
        <v>3780</v>
      </c>
      <c r="J150" s="57"/>
      <c r="K150" s="57"/>
      <c r="L150" s="50">
        <f>F150*G150</f>
        <v>3780</v>
      </c>
      <c r="M150" s="57">
        <f>L150/I150*100</f>
        <v>100</v>
      </c>
      <c r="N150" s="156" t="s">
        <v>274</v>
      </c>
    </row>
    <row r="151" spans="1:14" ht="15">
      <c r="A151" s="78"/>
      <c r="B151" s="47" t="s">
        <v>68</v>
      </c>
      <c r="C151" s="47" t="s">
        <v>11</v>
      </c>
      <c r="D151" s="93" t="s">
        <v>58</v>
      </c>
      <c r="E151" s="44">
        <v>1</v>
      </c>
      <c r="F151" s="44">
        <v>150</v>
      </c>
      <c r="G151" s="44">
        <v>12</v>
      </c>
      <c r="H151" s="50">
        <f>+E151*F151*G151</f>
        <v>1800</v>
      </c>
      <c r="I151" s="50">
        <v>1800</v>
      </c>
      <c r="J151" s="57"/>
      <c r="K151" s="57"/>
      <c r="L151" s="327">
        <v>1354</v>
      </c>
      <c r="M151" s="332">
        <f>+L151/H151</f>
        <v>0.7522222222222222</v>
      </c>
      <c r="N151" s="50" t="s">
        <v>274</v>
      </c>
    </row>
    <row r="152" spans="1:14" ht="15">
      <c r="A152" s="78"/>
      <c r="B152" s="47" t="s">
        <v>69</v>
      </c>
      <c r="C152" s="47" t="s">
        <v>11</v>
      </c>
      <c r="D152" s="93" t="s">
        <v>58</v>
      </c>
      <c r="E152" s="44">
        <v>1</v>
      </c>
      <c r="F152" s="44">
        <v>100</v>
      </c>
      <c r="G152" s="44">
        <v>12</v>
      </c>
      <c r="H152" s="50">
        <f>+E152*F152*G152</f>
        <v>1200</v>
      </c>
      <c r="I152" s="50">
        <v>1200</v>
      </c>
      <c r="J152" s="57"/>
      <c r="K152" s="57"/>
      <c r="L152" s="327">
        <v>1308.42</v>
      </c>
      <c r="M152" s="332">
        <f>+L152/H152</f>
        <v>1.0903500000000002</v>
      </c>
      <c r="N152" s="50" t="s">
        <v>282</v>
      </c>
    </row>
    <row r="153" spans="1:14" ht="15">
      <c r="A153" s="78"/>
      <c r="B153" s="47" t="s">
        <v>70</v>
      </c>
      <c r="C153" s="47" t="s">
        <v>11</v>
      </c>
      <c r="D153" s="93" t="s">
        <v>58</v>
      </c>
      <c r="E153" s="44">
        <v>1</v>
      </c>
      <c r="F153" s="44">
        <v>600</v>
      </c>
      <c r="G153" s="44">
        <v>12</v>
      </c>
      <c r="H153" s="50">
        <f>+E153*F153*G153</f>
        <v>7200</v>
      </c>
      <c r="I153" s="50">
        <v>7200</v>
      </c>
      <c r="J153" s="57"/>
      <c r="K153" s="57"/>
      <c r="L153" s="327">
        <v>1613</v>
      </c>
      <c r="M153" s="332">
        <f>+L153/H153</f>
        <v>0.22402777777777777</v>
      </c>
      <c r="N153" s="156" t="s">
        <v>274</v>
      </c>
    </row>
    <row r="154" spans="1:14" ht="30">
      <c r="A154" s="78"/>
      <c r="B154" s="47" t="s">
        <v>71</v>
      </c>
      <c r="C154" s="47" t="s">
        <v>11</v>
      </c>
      <c r="D154" s="93" t="s">
        <v>58</v>
      </c>
      <c r="E154" s="44">
        <v>1</v>
      </c>
      <c r="F154" s="44">
        <v>300</v>
      </c>
      <c r="G154" s="44">
        <v>12</v>
      </c>
      <c r="H154" s="50">
        <f>+E154*F154*G154</f>
        <v>3600</v>
      </c>
      <c r="I154" s="50">
        <v>3600</v>
      </c>
      <c r="J154" s="57"/>
      <c r="K154" s="57"/>
      <c r="L154" s="327">
        <v>1163.76</v>
      </c>
      <c r="M154" s="332">
        <f>+L154/H154</f>
        <v>0.32326666666666665</v>
      </c>
      <c r="N154" s="156" t="s">
        <v>281</v>
      </c>
    </row>
    <row r="155" spans="1:14" ht="15">
      <c r="A155" s="78"/>
      <c r="B155" s="47" t="s">
        <v>72</v>
      </c>
      <c r="C155" s="47" t="s">
        <v>11</v>
      </c>
      <c r="D155" s="93" t="s">
        <v>58</v>
      </c>
      <c r="E155" s="44">
        <v>1</v>
      </c>
      <c r="F155" s="44">
        <v>300</v>
      </c>
      <c r="G155" s="44">
        <v>12</v>
      </c>
      <c r="H155" s="50">
        <f>+E155*F155*G155</f>
        <v>3600</v>
      </c>
      <c r="I155" s="50">
        <v>3600</v>
      </c>
      <c r="J155" s="57"/>
      <c r="K155" s="57"/>
      <c r="L155" s="327">
        <v>3600</v>
      </c>
      <c r="M155" s="332">
        <f>+L155/H155</f>
        <v>1</v>
      </c>
      <c r="N155" s="57"/>
    </row>
    <row r="156" spans="1:14" ht="15">
      <c r="A156" s="78"/>
      <c r="B156" s="95"/>
      <c r="C156" s="92"/>
      <c r="D156" s="59" t="s">
        <v>0</v>
      </c>
      <c r="E156" s="59"/>
      <c r="F156" s="59"/>
      <c r="G156" s="59"/>
      <c r="H156" s="52">
        <f>SUM(H149:H155)</f>
        <v>25140</v>
      </c>
      <c r="I156" s="52">
        <f>SUM(I149:I155)</f>
        <v>25140</v>
      </c>
      <c r="J156" s="54"/>
      <c r="K156" s="54"/>
      <c r="L156" s="52">
        <f>SUM(L149:L155)</f>
        <v>16779.18</v>
      </c>
      <c r="M156" s="54"/>
      <c r="N156" s="54"/>
    </row>
    <row r="157" spans="1:14" ht="15">
      <c r="A157" s="344" t="s">
        <v>43</v>
      </c>
      <c r="B157" s="345"/>
      <c r="C157" s="345"/>
      <c r="D157" s="345"/>
      <c r="E157" s="345"/>
      <c r="F157" s="345"/>
      <c r="G157" s="345"/>
      <c r="H157" s="345"/>
      <c r="I157" s="345"/>
      <c r="J157" s="345"/>
      <c r="K157" s="345"/>
      <c r="L157" s="345"/>
      <c r="M157" s="345"/>
      <c r="N157" s="346"/>
    </row>
    <row r="158" spans="1:14" ht="15">
      <c r="A158" s="78"/>
      <c r="B158" s="47"/>
      <c r="C158" s="47" t="s">
        <v>25</v>
      </c>
      <c r="D158" s="93" t="s">
        <v>91</v>
      </c>
      <c r="E158" s="44">
        <v>0</v>
      </c>
      <c r="F158" s="44">
        <v>0</v>
      </c>
      <c r="G158" s="44">
        <v>0</v>
      </c>
      <c r="H158" s="50">
        <v>0</v>
      </c>
      <c r="I158" s="50">
        <v>0</v>
      </c>
      <c r="J158" s="57"/>
      <c r="K158" s="57"/>
      <c r="L158" s="50">
        <v>0</v>
      </c>
      <c r="M158" s="57"/>
      <c r="N158" s="57"/>
    </row>
    <row r="159" spans="1:14" ht="15">
      <c r="A159" s="78">
        <f>A159:N159</f>
        <v>0</v>
      </c>
      <c r="B159" s="47"/>
      <c r="C159" s="47" t="s">
        <v>25</v>
      </c>
      <c r="D159" s="93" t="s">
        <v>143</v>
      </c>
      <c r="E159" s="44">
        <v>1</v>
      </c>
      <c r="F159" s="44">
        <v>1000</v>
      </c>
      <c r="G159" s="44">
        <v>1</v>
      </c>
      <c r="H159" s="50">
        <f>E159*F159*G159</f>
        <v>1000</v>
      </c>
      <c r="I159" s="50">
        <v>1000</v>
      </c>
      <c r="J159" s="57"/>
      <c r="K159" s="57"/>
      <c r="L159" s="50">
        <f>F159*G159</f>
        <v>1000</v>
      </c>
      <c r="M159" s="57">
        <f>L159/I159*100</f>
        <v>100</v>
      </c>
      <c r="N159" s="156" t="s">
        <v>280</v>
      </c>
    </row>
    <row r="160" spans="1:14" ht="15">
      <c r="A160" s="78"/>
      <c r="B160" s="47"/>
      <c r="C160" s="47" t="s">
        <v>25</v>
      </c>
      <c r="D160" s="93" t="s">
        <v>58</v>
      </c>
      <c r="E160" s="44">
        <v>0</v>
      </c>
      <c r="F160" s="44">
        <v>0</v>
      </c>
      <c r="G160" s="44">
        <v>0</v>
      </c>
      <c r="H160" s="50">
        <v>0</v>
      </c>
      <c r="I160" s="50">
        <v>0</v>
      </c>
      <c r="J160" s="57"/>
      <c r="K160" s="57"/>
      <c r="L160" s="50">
        <v>0</v>
      </c>
      <c r="M160" s="57"/>
      <c r="N160" s="57"/>
    </row>
    <row r="161" spans="1:14" ht="15">
      <c r="A161" s="78"/>
      <c r="B161" s="96"/>
      <c r="C161" s="78"/>
      <c r="D161" s="59" t="s">
        <v>0</v>
      </c>
      <c r="E161" s="59"/>
      <c r="F161" s="59"/>
      <c r="G161" s="67"/>
      <c r="H161" s="52">
        <f>SUM(H159:H160)</f>
        <v>1000</v>
      </c>
      <c r="I161" s="52">
        <f>SUM(I159:I160)</f>
        <v>1000</v>
      </c>
      <c r="J161" s="54"/>
      <c r="K161" s="54"/>
      <c r="L161" s="52">
        <f>SUM(L158:L160)</f>
        <v>1000</v>
      </c>
      <c r="M161" s="54"/>
      <c r="N161" s="54"/>
    </row>
    <row r="162" spans="1:14" ht="15">
      <c r="A162" s="344" t="s">
        <v>44</v>
      </c>
      <c r="B162" s="345"/>
      <c r="C162" s="345"/>
      <c r="D162" s="345"/>
      <c r="E162" s="345"/>
      <c r="F162" s="345"/>
      <c r="G162" s="345"/>
      <c r="H162" s="345"/>
      <c r="I162" s="345"/>
      <c r="J162" s="345"/>
      <c r="K162" s="345"/>
      <c r="L162" s="345"/>
      <c r="M162" s="345"/>
      <c r="N162" s="346"/>
    </row>
    <row r="163" spans="1:14" ht="30">
      <c r="A163" s="78"/>
      <c r="B163" s="47" t="s">
        <v>148</v>
      </c>
      <c r="C163" s="47" t="s">
        <v>32</v>
      </c>
      <c r="D163" s="93" t="s">
        <v>91</v>
      </c>
      <c r="E163" s="44"/>
      <c r="F163" s="44"/>
      <c r="G163" s="71"/>
      <c r="H163" s="50">
        <v>209275</v>
      </c>
      <c r="I163" s="50">
        <v>209275</v>
      </c>
      <c r="J163" s="57"/>
      <c r="K163" s="57"/>
      <c r="L163" s="50">
        <f>H163/2</f>
        <v>104637.5</v>
      </c>
      <c r="M163" s="57">
        <f>L163/I163*100</f>
        <v>50</v>
      </c>
      <c r="N163" s="156" t="s">
        <v>275</v>
      </c>
    </row>
    <row r="164" spans="1:14" ht="30">
      <c r="A164" s="78"/>
      <c r="B164" s="47" t="s">
        <v>149</v>
      </c>
      <c r="C164" s="47" t="s">
        <v>32</v>
      </c>
      <c r="D164" s="93" t="s">
        <v>254</v>
      </c>
      <c r="E164" s="44"/>
      <c r="F164" s="44"/>
      <c r="G164" s="71"/>
      <c r="H164" s="50">
        <v>22000</v>
      </c>
      <c r="I164" s="50">
        <v>22000</v>
      </c>
      <c r="J164" s="57"/>
      <c r="K164" s="57"/>
      <c r="L164" s="50">
        <v>0</v>
      </c>
      <c r="M164" s="50">
        <v>0</v>
      </c>
      <c r="N164" s="156" t="s">
        <v>276</v>
      </c>
    </row>
    <row r="165" spans="1:14" ht="30">
      <c r="A165" s="78"/>
      <c r="B165" s="93" t="s">
        <v>167</v>
      </c>
      <c r="C165" s="47" t="s">
        <v>32</v>
      </c>
      <c r="D165" s="93" t="s">
        <v>254</v>
      </c>
      <c r="E165" s="44"/>
      <c r="F165" s="44"/>
      <c r="G165" s="71"/>
      <c r="H165" s="50">
        <v>17000</v>
      </c>
      <c r="I165" s="50">
        <v>17000</v>
      </c>
      <c r="J165" s="57"/>
      <c r="K165" s="57"/>
      <c r="L165" s="50">
        <v>0</v>
      </c>
      <c r="M165" s="50">
        <v>0</v>
      </c>
      <c r="N165" s="156" t="s">
        <v>277</v>
      </c>
    </row>
    <row r="166" spans="1:14" ht="30">
      <c r="A166" s="78"/>
      <c r="B166" s="47" t="s">
        <v>148</v>
      </c>
      <c r="C166" s="47" t="s">
        <v>32</v>
      </c>
      <c r="D166" s="93" t="s">
        <v>58</v>
      </c>
      <c r="E166" s="44"/>
      <c r="F166" s="44"/>
      <c r="G166" s="71"/>
      <c r="H166" s="50">
        <v>218520</v>
      </c>
      <c r="I166" s="50">
        <v>211839</v>
      </c>
      <c r="J166" s="57"/>
      <c r="K166" s="57"/>
      <c r="L166" s="50"/>
      <c r="M166" s="50"/>
      <c r="N166" s="156" t="s">
        <v>278</v>
      </c>
    </row>
    <row r="167" spans="1:14" ht="30">
      <c r="A167" s="78"/>
      <c r="B167" s="47" t="s">
        <v>148</v>
      </c>
      <c r="C167" s="47" t="s">
        <v>32</v>
      </c>
      <c r="D167" s="93" t="s">
        <v>143</v>
      </c>
      <c r="E167" s="44"/>
      <c r="F167" s="44"/>
      <c r="G167" s="71"/>
      <c r="H167" s="50">
        <v>235200</v>
      </c>
      <c r="I167" s="50">
        <v>235200</v>
      </c>
      <c r="J167" s="57"/>
      <c r="K167" s="57"/>
      <c r="L167" s="50">
        <f>I167*90/100</f>
        <v>211680</v>
      </c>
      <c r="M167" s="50">
        <f>L167/I167*100</f>
        <v>90</v>
      </c>
      <c r="N167" s="156" t="s">
        <v>279</v>
      </c>
    </row>
    <row r="168" spans="1:14" ht="15">
      <c r="A168" s="78"/>
      <c r="B168" s="96"/>
      <c r="C168" s="78"/>
      <c r="D168" s="59" t="s">
        <v>0</v>
      </c>
      <c r="E168" s="59"/>
      <c r="F168" s="59"/>
      <c r="G168" s="67"/>
      <c r="H168" s="52">
        <f>SUM(H163:H167)</f>
        <v>701995</v>
      </c>
      <c r="I168" s="52">
        <f>SUM(I163:I167)</f>
        <v>695314</v>
      </c>
      <c r="J168" s="54"/>
      <c r="K168" s="54"/>
      <c r="L168" s="54"/>
      <c r="M168" s="54"/>
      <c r="N168" s="54"/>
    </row>
    <row r="169" spans="1:14" ht="15">
      <c r="A169" s="344" t="s">
        <v>46</v>
      </c>
      <c r="B169" s="345"/>
      <c r="C169" s="345"/>
      <c r="D169" s="345"/>
      <c r="E169" s="345"/>
      <c r="F169" s="345"/>
      <c r="G169" s="345"/>
      <c r="H169" s="345"/>
      <c r="I169" s="345"/>
      <c r="J169" s="345"/>
      <c r="K169" s="345"/>
      <c r="L169" s="345"/>
      <c r="M169" s="345"/>
      <c r="N169" s="346"/>
    </row>
    <row r="170" spans="1:14" ht="30">
      <c r="A170" s="78"/>
      <c r="B170" s="47" t="s">
        <v>133</v>
      </c>
      <c r="C170" s="47" t="s">
        <v>12</v>
      </c>
      <c r="D170" s="93" t="s">
        <v>254</v>
      </c>
      <c r="E170" s="44">
        <v>1</v>
      </c>
      <c r="F170" s="44">
        <v>7500</v>
      </c>
      <c r="G170" s="44">
        <v>2</v>
      </c>
      <c r="H170" s="50">
        <f>E170*F170*G170</f>
        <v>15000</v>
      </c>
      <c r="I170" s="50">
        <v>15000</v>
      </c>
      <c r="J170" s="57"/>
      <c r="K170" s="57"/>
      <c r="L170" s="50">
        <v>5038</v>
      </c>
      <c r="M170" s="50">
        <f>L170/H170*100</f>
        <v>33.586666666666666</v>
      </c>
      <c r="N170" s="156" t="s">
        <v>369</v>
      </c>
    </row>
    <row r="171" spans="1:14" ht="30">
      <c r="A171" s="78"/>
      <c r="B171" s="47" t="s">
        <v>257</v>
      </c>
      <c r="C171" s="47" t="s">
        <v>12</v>
      </c>
      <c r="D171" s="93" t="s">
        <v>91</v>
      </c>
      <c r="E171" s="44">
        <v>1</v>
      </c>
      <c r="F171" s="44">
        <v>2050</v>
      </c>
      <c r="G171" s="44">
        <v>1</v>
      </c>
      <c r="H171" s="50">
        <f>E171*F171*G171</f>
        <v>2050</v>
      </c>
      <c r="I171" s="50">
        <v>2050</v>
      </c>
      <c r="J171" s="57"/>
      <c r="K171" s="57"/>
      <c r="L171" s="50">
        <v>2050</v>
      </c>
      <c r="M171" s="50">
        <f>L171/H171*100</f>
        <v>100</v>
      </c>
      <c r="N171" s="156" t="s">
        <v>260</v>
      </c>
    </row>
    <row r="172" spans="1:14" ht="30">
      <c r="A172" s="78"/>
      <c r="B172" s="47" t="s">
        <v>140</v>
      </c>
      <c r="C172" s="47" t="s">
        <v>12</v>
      </c>
      <c r="D172" s="93" t="s">
        <v>143</v>
      </c>
      <c r="E172" s="44">
        <v>1</v>
      </c>
      <c r="F172" s="44">
        <v>500</v>
      </c>
      <c r="G172" s="44">
        <v>12</v>
      </c>
      <c r="H172" s="50">
        <f>E172*F172*G172</f>
        <v>6000</v>
      </c>
      <c r="I172" s="50">
        <v>6000</v>
      </c>
      <c r="J172" s="57"/>
      <c r="K172" s="57"/>
      <c r="L172" s="50">
        <f>F172*7</f>
        <v>3500</v>
      </c>
      <c r="M172" s="50">
        <f>L172/I172*100</f>
        <v>58.333333333333336</v>
      </c>
      <c r="N172" s="156" t="s">
        <v>294</v>
      </c>
    </row>
    <row r="173" spans="1:14" ht="30">
      <c r="A173" s="78"/>
      <c r="B173" s="47" t="s">
        <v>73</v>
      </c>
      <c r="C173" s="47" t="s">
        <v>12</v>
      </c>
      <c r="D173" s="93" t="s">
        <v>58</v>
      </c>
      <c r="E173" s="44">
        <v>1</v>
      </c>
      <c r="F173" s="44">
        <v>500</v>
      </c>
      <c r="G173" s="44">
        <v>12</v>
      </c>
      <c r="H173" s="50">
        <f>+E173*F173*G173</f>
        <v>6000</v>
      </c>
      <c r="I173" s="50">
        <v>6000</v>
      </c>
      <c r="J173" s="57"/>
      <c r="K173" s="57"/>
      <c r="L173" s="327">
        <v>3852</v>
      </c>
      <c r="M173" s="332">
        <v>0.64</v>
      </c>
      <c r="N173" s="156" t="s">
        <v>294</v>
      </c>
    </row>
    <row r="174" spans="1:14" ht="15">
      <c r="A174" s="78"/>
      <c r="B174" s="96"/>
      <c r="C174" s="78"/>
      <c r="D174" s="59" t="s">
        <v>0</v>
      </c>
      <c r="E174" s="59"/>
      <c r="F174" s="59"/>
      <c r="G174" s="59"/>
      <c r="H174" s="52">
        <f>SUM(H170:H173)</f>
        <v>29050</v>
      </c>
      <c r="I174" s="52">
        <f>SUM(I170:I173)</f>
        <v>29050</v>
      </c>
      <c r="J174" s="54"/>
      <c r="K174" s="54"/>
      <c r="L174" s="52">
        <f>SUM(L170:L173)</f>
        <v>14440</v>
      </c>
      <c r="M174" s="54"/>
      <c r="N174" s="54"/>
    </row>
    <row r="175" spans="1:14" ht="15">
      <c r="A175" s="344" t="s">
        <v>47</v>
      </c>
      <c r="B175" s="345"/>
      <c r="C175" s="345"/>
      <c r="D175" s="345"/>
      <c r="E175" s="345"/>
      <c r="F175" s="345"/>
      <c r="G175" s="345"/>
      <c r="H175" s="345"/>
      <c r="I175" s="345"/>
      <c r="J175" s="345"/>
      <c r="K175" s="345"/>
      <c r="L175" s="345"/>
      <c r="M175" s="345"/>
      <c r="N175" s="346"/>
    </row>
    <row r="176" spans="1:14" ht="15">
      <c r="A176" s="78"/>
      <c r="B176" s="47"/>
      <c r="C176" s="47" t="s">
        <v>33</v>
      </c>
      <c r="D176" s="93" t="s">
        <v>91</v>
      </c>
      <c r="E176" s="44"/>
      <c r="F176" s="44"/>
      <c r="G176" s="71"/>
      <c r="H176" s="50">
        <v>0</v>
      </c>
      <c r="I176" s="50">
        <v>0</v>
      </c>
      <c r="J176" s="57"/>
      <c r="K176" s="57"/>
      <c r="L176" s="50">
        <v>0</v>
      </c>
      <c r="M176" s="57"/>
      <c r="N176" s="57"/>
    </row>
    <row r="177" spans="1:14" ht="15">
      <c r="A177" s="78"/>
      <c r="B177" s="47"/>
      <c r="C177" s="47" t="s">
        <v>33</v>
      </c>
      <c r="D177" s="93" t="s">
        <v>143</v>
      </c>
      <c r="E177" s="71"/>
      <c r="F177" s="71"/>
      <c r="G177" s="71"/>
      <c r="H177" s="50">
        <v>0</v>
      </c>
      <c r="I177" s="50">
        <v>0</v>
      </c>
      <c r="J177" s="57"/>
      <c r="K177" s="57"/>
      <c r="L177" s="50">
        <v>0</v>
      </c>
      <c r="M177" s="57"/>
      <c r="N177" s="57"/>
    </row>
    <row r="178" spans="1:14" ht="15">
      <c r="A178" s="78"/>
      <c r="B178" s="47"/>
      <c r="C178" s="47" t="s">
        <v>33</v>
      </c>
      <c r="D178" s="93" t="s">
        <v>58</v>
      </c>
      <c r="E178" s="44"/>
      <c r="F178" s="44"/>
      <c r="G178" s="71"/>
      <c r="H178" s="50">
        <v>0</v>
      </c>
      <c r="I178" s="50">
        <v>0</v>
      </c>
      <c r="J178" s="57"/>
      <c r="K178" s="57"/>
      <c r="L178" s="50">
        <v>0</v>
      </c>
      <c r="M178" s="57"/>
      <c r="N178" s="57"/>
    </row>
    <row r="179" spans="1:14" ht="15">
      <c r="A179" s="78"/>
      <c r="B179" s="96"/>
      <c r="C179" s="78"/>
      <c r="D179" s="59" t="s">
        <v>0</v>
      </c>
      <c r="E179" s="59"/>
      <c r="F179" s="59"/>
      <c r="G179" s="67"/>
      <c r="H179" s="52">
        <f>SUM(H176:H178)</f>
        <v>0</v>
      </c>
      <c r="I179" s="52">
        <f>SUM(I176:I178)</f>
        <v>0</v>
      </c>
      <c r="J179" s="54"/>
      <c r="K179" s="54"/>
      <c r="L179" s="52">
        <f>SUM(L176:L178)</f>
        <v>0</v>
      </c>
      <c r="M179" s="54"/>
      <c r="N179" s="54"/>
    </row>
    <row r="180" spans="1:14" ht="15">
      <c r="A180" s="344" t="s">
        <v>45</v>
      </c>
      <c r="B180" s="345"/>
      <c r="C180" s="345"/>
      <c r="D180" s="345"/>
      <c r="E180" s="345"/>
      <c r="F180" s="345"/>
      <c r="G180" s="345"/>
      <c r="H180" s="345"/>
      <c r="I180" s="345"/>
      <c r="J180" s="345"/>
      <c r="K180" s="345"/>
      <c r="L180" s="345"/>
      <c r="M180" s="345"/>
      <c r="N180" s="346"/>
    </row>
    <row r="181" spans="1:14" ht="45">
      <c r="A181" s="78"/>
      <c r="B181" s="47"/>
      <c r="C181" s="93" t="s">
        <v>13</v>
      </c>
      <c r="D181" s="93" t="s">
        <v>91</v>
      </c>
      <c r="E181" s="44">
        <v>1</v>
      </c>
      <c r="F181" s="44">
        <v>10000</v>
      </c>
      <c r="G181" s="44">
        <v>1</v>
      </c>
      <c r="H181" s="50">
        <f>E181*F181*G181</f>
        <v>10000</v>
      </c>
      <c r="I181" s="50">
        <v>10000</v>
      </c>
      <c r="J181" s="57"/>
      <c r="K181" s="57"/>
      <c r="L181" s="50">
        <v>10000</v>
      </c>
      <c r="M181" s="50">
        <f>L181/H181*100</f>
        <v>100</v>
      </c>
      <c r="N181" s="156" t="s">
        <v>265</v>
      </c>
    </row>
    <row r="182" spans="1:14" ht="45">
      <c r="A182" s="78"/>
      <c r="B182" s="47"/>
      <c r="C182" s="93" t="s">
        <v>13</v>
      </c>
      <c r="D182" s="93" t="s">
        <v>143</v>
      </c>
      <c r="E182" s="44">
        <v>1</v>
      </c>
      <c r="F182" s="44">
        <v>10596</v>
      </c>
      <c r="G182" s="44">
        <v>1</v>
      </c>
      <c r="H182" s="50">
        <f>E182*F182*G182</f>
        <v>10596</v>
      </c>
      <c r="I182" s="50">
        <v>10596</v>
      </c>
      <c r="J182" s="57"/>
      <c r="K182" s="57"/>
      <c r="L182" s="50">
        <v>7064</v>
      </c>
      <c r="M182" s="50">
        <f>L182/H182*100</f>
        <v>66.66666666666666</v>
      </c>
      <c r="N182" s="156" t="s">
        <v>265</v>
      </c>
    </row>
    <row r="183" spans="1:14" ht="45">
      <c r="A183" s="78"/>
      <c r="B183" s="47"/>
      <c r="C183" s="93" t="s">
        <v>13</v>
      </c>
      <c r="D183" s="93" t="s">
        <v>143</v>
      </c>
      <c r="E183" s="44">
        <v>1</v>
      </c>
      <c r="F183" s="44">
        <v>2050</v>
      </c>
      <c r="G183" s="44">
        <v>8</v>
      </c>
      <c r="H183" s="50">
        <f>E183*F183*G183</f>
        <v>16400</v>
      </c>
      <c r="I183" s="50">
        <v>16400</v>
      </c>
      <c r="J183" s="57"/>
      <c r="K183" s="57"/>
      <c r="L183" s="50">
        <f>F183*G183</f>
        <v>16400</v>
      </c>
      <c r="M183" s="50">
        <f>L183/H183*100</f>
        <v>100</v>
      </c>
      <c r="N183" s="156" t="s">
        <v>264</v>
      </c>
    </row>
    <row r="184" spans="1:14" ht="45">
      <c r="A184" s="78"/>
      <c r="B184" s="47"/>
      <c r="C184" s="93" t="s">
        <v>13</v>
      </c>
      <c r="D184" s="93" t="s">
        <v>58</v>
      </c>
      <c r="E184" s="44">
        <v>0</v>
      </c>
      <c r="F184" s="44">
        <v>0</v>
      </c>
      <c r="G184" s="71">
        <v>0</v>
      </c>
      <c r="H184" s="50">
        <v>0</v>
      </c>
      <c r="I184" s="50">
        <v>0</v>
      </c>
      <c r="J184" s="57"/>
      <c r="K184" s="57"/>
      <c r="L184" s="50">
        <v>0</v>
      </c>
      <c r="M184" s="57"/>
      <c r="N184" s="156"/>
    </row>
    <row r="185" spans="1:14" ht="15">
      <c r="A185" s="78"/>
      <c r="B185" s="47"/>
      <c r="C185" s="92"/>
      <c r="D185" s="59" t="s">
        <v>0</v>
      </c>
      <c r="E185" s="59"/>
      <c r="F185" s="59"/>
      <c r="G185" s="67"/>
      <c r="H185" s="52">
        <f>SUM(H181:H184)</f>
        <v>36996</v>
      </c>
      <c r="I185" s="52">
        <f>SUM(I181:I184)</f>
        <v>36996</v>
      </c>
      <c r="J185" s="54"/>
      <c r="K185" s="54"/>
      <c r="L185" s="52">
        <f>SUM(L181:L184)</f>
        <v>33464</v>
      </c>
      <c r="M185" s="54"/>
      <c r="N185" s="54"/>
    </row>
    <row r="186" spans="1:14" ht="15">
      <c r="A186" s="347" t="s">
        <v>38</v>
      </c>
      <c r="B186" s="348"/>
      <c r="C186" s="314"/>
      <c r="D186" s="61"/>
      <c r="E186" s="61"/>
      <c r="F186" s="61"/>
      <c r="G186" s="62"/>
      <c r="H186" s="79">
        <f>H185+H179+H174+H161+H156+H147</f>
        <v>307350</v>
      </c>
      <c r="I186" s="79">
        <f>I185+I179+I174+I161+I156+I147</f>
        <v>314031</v>
      </c>
      <c r="J186" s="203">
        <f>H186/H194</f>
        <v>0.2845835573111331</v>
      </c>
      <c r="K186" s="63"/>
      <c r="L186" s="63"/>
      <c r="M186" s="63"/>
      <c r="N186" s="63"/>
    </row>
    <row r="187" spans="1:14" ht="15">
      <c r="A187" s="144"/>
      <c r="B187" s="145"/>
      <c r="C187" s="145"/>
      <c r="D187" s="146" t="s">
        <v>37</v>
      </c>
      <c r="E187" s="98"/>
      <c r="F187" s="98"/>
      <c r="G187" s="98"/>
      <c r="H187" s="99" t="s">
        <v>3</v>
      </c>
      <c r="I187" s="99"/>
      <c r="J187" s="99"/>
      <c r="K187" s="99"/>
      <c r="L187" s="99"/>
      <c r="M187" s="99"/>
      <c r="N187" s="99"/>
    </row>
    <row r="188" spans="1:14" ht="15">
      <c r="A188" s="149"/>
      <c r="B188" s="147"/>
      <c r="C188" s="147"/>
      <c r="D188" s="98"/>
      <c r="E188" s="146"/>
      <c r="F188" s="146"/>
      <c r="G188" s="146"/>
      <c r="H188" s="164">
        <f>H168+H186</f>
        <v>1009345</v>
      </c>
      <c r="I188" s="296"/>
      <c r="J188" s="150"/>
      <c r="K188" s="150"/>
      <c r="L188" s="150"/>
      <c r="M188" s="150"/>
      <c r="N188" s="150"/>
    </row>
    <row r="189" spans="1:14" ht="30">
      <c r="A189" s="151"/>
      <c r="B189" s="152"/>
      <c r="C189" s="152"/>
      <c r="D189" s="165" t="s">
        <v>241</v>
      </c>
      <c r="E189" s="166"/>
      <c r="F189" s="167"/>
      <c r="G189" s="167"/>
      <c r="H189" s="275"/>
      <c r="I189" s="275"/>
      <c r="J189" s="148"/>
      <c r="K189" s="168" t="e">
        <f>K129+K99+K56</f>
        <v>#REF!</v>
      </c>
      <c r="L189" s="168"/>
      <c r="M189" s="168"/>
      <c r="N189" s="148" t="s">
        <v>248</v>
      </c>
    </row>
    <row r="190" spans="1:14" ht="30">
      <c r="A190" s="100" t="s">
        <v>256</v>
      </c>
      <c r="B190" s="101"/>
      <c r="C190" s="101"/>
      <c r="D190" s="102" t="s">
        <v>49</v>
      </c>
      <c r="E190" s="103"/>
      <c r="F190" s="103"/>
      <c r="G190" s="103"/>
      <c r="H190" s="102">
        <v>25687.55</v>
      </c>
      <c r="I190" s="102">
        <v>25687.55</v>
      </c>
      <c r="J190" s="102"/>
      <c r="K190" s="102"/>
      <c r="L190" s="102">
        <v>12000</v>
      </c>
      <c r="M190" s="102">
        <f>L190/H190*100</f>
        <v>46.71523753725054</v>
      </c>
      <c r="N190" s="102"/>
    </row>
    <row r="191" spans="1:14" ht="30">
      <c r="A191" s="100" t="s">
        <v>150</v>
      </c>
      <c r="B191" s="101"/>
      <c r="C191" s="101"/>
      <c r="D191" s="102" t="s">
        <v>49</v>
      </c>
      <c r="E191" s="103"/>
      <c r="F191" s="103"/>
      <c r="G191" s="103"/>
      <c r="H191" s="102">
        <v>22524.32</v>
      </c>
      <c r="I191" s="102">
        <v>22524.32</v>
      </c>
      <c r="J191" s="102"/>
      <c r="K191" s="102"/>
      <c r="L191" s="102">
        <v>22524.32</v>
      </c>
      <c r="M191" s="102">
        <f>L191/I191*100</f>
        <v>100</v>
      </c>
      <c r="N191" s="102"/>
    </row>
    <row r="192" spans="1:14" ht="30">
      <c r="A192" s="339" t="s">
        <v>74</v>
      </c>
      <c r="B192" s="340"/>
      <c r="C192" s="315"/>
      <c r="D192" s="102" t="s">
        <v>49</v>
      </c>
      <c r="E192" s="102"/>
      <c r="F192" s="102"/>
      <c r="G192" s="102"/>
      <c r="H192" s="105">
        <v>22442.28</v>
      </c>
      <c r="I192" s="105">
        <v>22442.28</v>
      </c>
      <c r="J192" s="105"/>
      <c r="K192" s="105"/>
      <c r="L192" s="333">
        <v>9676</v>
      </c>
      <c r="M192" s="334">
        <f>+L192/H192</f>
        <v>0.4311504891659849</v>
      </c>
      <c r="N192" s="105"/>
    </row>
    <row r="193" spans="1:14" ht="30">
      <c r="A193" s="339"/>
      <c r="B193" s="340"/>
      <c r="C193" s="311"/>
      <c r="D193" s="204" t="s">
        <v>314</v>
      </c>
      <c r="E193" s="103"/>
      <c r="F193" s="103"/>
      <c r="G193" s="103"/>
      <c r="H193" s="105">
        <f>H192+H191+H190</f>
        <v>70654.15</v>
      </c>
      <c r="I193" s="105">
        <f>I192+I191+I190</f>
        <v>70654.15</v>
      </c>
      <c r="J193" s="105"/>
      <c r="K193" s="105"/>
      <c r="L193" s="105"/>
      <c r="M193" s="105"/>
      <c r="N193" s="105"/>
    </row>
    <row r="194" spans="1:14" ht="15.75">
      <c r="A194" s="276"/>
      <c r="B194" s="277"/>
      <c r="C194" s="276"/>
      <c r="D194" s="278" t="s">
        <v>315</v>
      </c>
      <c r="E194" s="279"/>
      <c r="F194" s="280"/>
      <c r="G194" s="280"/>
      <c r="H194" s="281">
        <f>H188+H193</f>
        <v>1079999.15</v>
      </c>
      <c r="I194" s="281">
        <f>I193+I186+I168</f>
        <v>1079999.15</v>
      </c>
      <c r="J194" s="276"/>
      <c r="K194" s="276"/>
      <c r="L194" s="282"/>
      <c r="M194" s="276"/>
      <c r="N194" s="283"/>
    </row>
    <row r="195" spans="1:14" ht="15">
      <c r="A195" s="284" t="s">
        <v>4</v>
      </c>
      <c r="B195" s="285"/>
      <c r="C195" s="250"/>
      <c r="D195" s="286"/>
      <c r="E195" s="287"/>
      <c r="F195" s="288"/>
      <c r="G195" s="288"/>
      <c r="H195" s="289"/>
      <c r="I195" s="289"/>
      <c r="J195" s="289"/>
      <c r="K195" s="289"/>
      <c r="L195" s="289"/>
      <c r="M195" s="289"/>
      <c r="N195" s="289"/>
    </row>
  </sheetData>
  <sheetProtection/>
  <mergeCells count="51">
    <mergeCell ref="I39:I43"/>
    <mergeCell ref="J39:J43"/>
    <mergeCell ref="K39:K43"/>
    <mergeCell ref="L39:L43"/>
    <mergeCell ref="M39:M43"/>
    <mergeCell ref="N39:N43"/>
    <mergeCell ref="C39:C43"/>
    <mergeCell ref="D39:D43"/>
    <mergeCell ref="E39:E43"/>
    <mergeCell ref="F39:F43"/>
    <mergeCell ref="G39:G43"/>
    <mergeCell ref="H39:H43"/>
    <mergeCell ref="A186:B186"/>
    <mergeCell ref="A192:B192"/>
    <mergeCell ref="A193:B193"/>
    <mergeCell ref="A148:N148"/>
    <mergeCell ref="A157:N157"/>
    <mergeCell ref="A162:N162"/>
    <mergeCell ref="A169:N169"/>
    <mergeCell ref="A175:N175"/>
    <mergeCell ref="A180:N180"/>
    <mergeCell ref="A132:B132"/>
    <mergeCell ref="A90:A92"/>
    <mergeCell ref="A93:A94"/>
    <mergeCell ref="A95:A98"/>
    <mergeCell ref="A99:B99"/>
    <mergeCell ref="A100:N100"/>
    <mergeCell ref="A102:A110"/>
    <mergeCell ref="A111:A116"/>
    <mergeCell ref="A118:A128"/>
    <mergeCell ref="A129:B129"/>
    <mergeCell ref="A130:B130"/>
    <mergeCell ref="A131:B131"/>
    <mergeCell ref="A86:A89"/>
    <mergeCell ref="A44:A48"/>
    <mergeCell ref="A49:A55"/>
    <mergeCell ref="A56:B56"/>
    <mergeCell ref="A57:N57"/>
    <mergeCell ref="A58:N58"/>
    <mergeCell ref="A59:A63"/>
    <mergeCell ref="A64:A71"/>
    <mergeCell ref="A76:A77"/>
    <mergeCell ref="A72:A74"/>
    <mergeCell ref="A75:N75"/>
    <mergeCell ref="A34:A37"/>
    <mergeCell ref="A10:N10"/>
    <mergeCell ref="A11:N11"/>
    <mergeCell ref="A12:B12"/>
    <mergeCell ref="A13:A32"/>
    <mergeCell ref="A33:B33"/>
    <mergeCell ref="B39:B43"/>
  </mergeCells>
  <dataValidations count="1">
    <dataValidation type="list" allowBlank="1" showInputMessage="1" showErrorMessage="1" sqref="C170:C174 C149:C156 C133:C147 C59:C98 C102:C128 C163:C168 C176:C179 C181:C185 C158:C161 C44:C55 C13:C39">
      <formula1>categories</formula1>
    </dataValidation>
  </dataValidation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2:C18"/>
  <sheetViews>
    <sheetView zoomScalePageLayoutView="0" workbookViewId="0" topLeftCell="A1">
      <selection activeCell="A1" sqref="A1"/>
    </sheetView>
  </sheetViews>
  <sheetFormatPr defaultColWidth="11.421875" defaultRowHeight="12.75"/>
  <cols>
    <col min="1" max="1" width="109.7109375" style="0" customWidth="1"/>
  </cols>
  <sheetData>
    <row r="2" spans="1:3" ht="12.75">
      <c r="A2" s="242" t="s">
        <v>322</v>
      </c>
      <c r="B2" s="243"/>
      <c r="C2" s="243"/>
    </row>
    <row r="4" ht="12.75">
      <c r="A4" s="242" t="s">
        <v>323</v>
      </c>
    </row>
    <row r="5" ht="25.5">
      <c r="A5" s="290" t="s">
        <v>324</v>
      </c>
    </row>
    <row r="6" ht="12.75">
      <c r="A6" s="241" t="s">
        <v>325</v>
      </c>
    </row>
    <row r="7" ht="12.75">
      <c r="A7" s="241" t="s">
        <v>326</v>
      </c>
    </row>
    <row r="8" ht="12.75">
      <c r="A8" s="241" t="s">
        <v>337</v>
      </c>
    </row>
    <row r="9" ht="12.75">
      <c r="A9" s="241" t="s">
        <v>327</v>
      </c>
    </row>
    <row r="10" ht="12.75">
      <c r="A10" s="241" t="s">
        <v>329</v>
      </c>
    </row>
    <row r="11" ht="12.75">
      <c r="A11" s="241" t="s">
        <v>328</v>
      </c>
    </row>
    <row r="13" ht="12.75">
      <c r="A13" s="242" t="s">
        <v>143</v>
      </c>
    </row>
    <row r="14" ht="66.75" customHeight="1">
      <c r="A14" s="295" t="s">
        <v>390</v>
      </c>
    </row>
    <row r="15" ht="12.75">
      <c r="A15" s="243" t="s">
        <v>58</v>
      </c>
    </row>
    <row r="16" ht="25.5">
      <c r="A16" s="291" t="s">
        <v>338</v>
      </c>
    </row>
    <row r="17" ht="12.75">
      <c r="A17" t="s">
        <v>339</v>
      </c>
    </row>
    <row r="18" ht="12.75">
      <c r="A18" t="s">
        <v>340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Sarah Zingg</cp:lastModifiedBy>
  <cp:lastPrinted>2018-04-01T11:06:34Z</cp:lastPrinted>
  <dcterms:created xsi:type="dcterms:W3CDTF">2010-10-28T04:03:10Z</dcterms:created>
  <dcterms:modified xsi:type="dcterms:W3CDTF">2018-09-11T13:09:32Z</dcterms:modified>
  <cp:category/>
  <cp:version/>
  <cp:contentType/>
  <cp:contentStatus/>
</cp:coreProperties>
</file>