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uscher\Documents\1. Cross-Border (UN)\"/>
    </mc:Choice>
  </mc:AlternateContent>
  <xr:revisionPtr revIDLastSave="0" documentId="8_{D55DF0C1-477E-482A-8792-A62CBF7F1DCD}" xr6:coauthVersionLast="41" xr6:coauthVersionMax="41" xr10:uidLastSave="{00000000-0000-0000-0000-000000000000}"/>
  <bookViews>
    <workbookView xWindow="-120" yWindow="-120" windowWidth="24240" windowHeight="13140" xr2:uid="{00000000-000D-0000-FFFF-FFFF00000000}"/>
  </bookViews>
  <sheets>
    <sheet name="Sheet1" sheetId="1" r:id="rId1"/>
    <sheet name="Sheet2" sheetId="2" r:id="rId2"/>
  </sheets>
  <definedNames>
    <definedName name="_xlnm.Print_Area" localSheetId="1">Sheet2!$A$5:$K$16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 l="1"/>
  <c r="N33" i="1" l="1"/>
  <c r="N54" i="1"/>
  <c r="L53" i="1" l="1"/>
  <c r="L57" i="1" s="1"/>
  <c r="L59" i="1" s="1"/>
  <c r="D16" i="2"/>
  <c r="E16" i="2"/>
  <c r="N16" i="2"/>
  <c r="T16" i="2"/>
  <c r="B16" i="2"/>
  <c r="P14" i="2"/>
  <c r="P16" i="2" s="1"/>
  <c r="F59" i="1" l="1"/>
  <c r="J53" i="1" l="1"/>
  <c r="J57" i="1" s="1"/>
  <c r="J59" i="1" s="1"/>
  <c r="I43" i="1" l="1"/>
  <c r="I38" i="1"/>
  <c r="I37" i="1"/>
  <c r="I36" i="1"/>
  <c r="I53" i="1" l="1"/>
  <c r="I57" i="1" s="1"/>
  <c r="I59" i="1" s="1"/>
  <c r="F14" i="2"/>
  <c r="F16" i="2" s="1"/>
  <c r="M54" i="1"/>
  <c r="M29" i="1"/>
  <c r="M24" i="1"/>
  <c r="M53" i="1" l="1"/>
  <c r="M57" i="1" s="1"/>
  <c r="M59" i="1" s="1"/>
  <c r="G26" i="1"/>
  <c r="G11" i="1"/>
  <c r="J11" i="2"/>
  <c r="V11" i="2" s="1"/>
  <c r="J10" i="2"/>
  <c r="V10" i="2" s="1"/>
  <c r="J8" i="2"/>
  <c r="J7" i="2"/>
  <c r="V7" i="2" s="1"/>
  <c r="J13" i="2"/>
  <c r="V13" i="2" s="1"/>
  <c r="G13" i="1"/>
  <c r="G17" i="1"/>
  <c r="G21" i="1"/>
  <c r="G37" i="1"/>
  <c r="G28" i="1"/>
  <c r="G20" i="1"/>
  <c r="H53" i="1"/>
  <c r="H57" i="1" s="1"/>
  <c r="H59" i="1" s="1"/>
  <c r="N53" i="1"/>
  <c r="N57" i="1" s="1"/>
  <c r="E53" i="1"/>
  <c r="G53" i="1" l="1"/>
  <c r="G57" i="1" s="1"/>
  <c r="G58" i="1" s="1"/>
  <c r="G59" i="1" s="1"/>
  <c r="J9" i="2" l="1"/>
  <c r="V9" i="2" s="1"/>
  <c r="J12" i="2"/>
  <c r="V12" i="2" s="1"/>
  <c r="C14" i="2"/>
  <c r="C16" i="2" s="1"/>
  <c r="G14" i="2"/>
  <c r="G16" i="2" s="1"/>
  <c r="I14" i="2"/>
  <c r="I16" i="2" s="1"/>
  <c r="K14" i="2"/>
  <c r="K16" i="2" s="1"/>
  <c r="L14" i="2"/>
  <c r="L16" i="2" s="1"/>
  <c r="M14" i="2"/>
  <c r="M16" i="2" s="1"/>
  <c r="O14" i="2"/>
  <c r="O16" i="2" s="1"/>
  <c r="Q14" i="2"/>
  <c r="Q16" i="2" s="1"/>
  <c r="R14" i="2"/>
  <c r="S14" i="2"/>
  <c r="S16" i="2" s="1"/>
  <c r="U14" i="2"/>
  <c r="U16" i="2" s="1"/>
  <c r="J14" i="2" l="1"/>
  <c r="J15" i="2"/>
  <c r="E57" i="1"/>
  <c r="J16" i="2" l="1"/>
  <c r="R15" i="2"/>
  <c r="R16" i="2" s="1"/>
  <c r="E58" i="1"/>
  <c r="E59" i="1" s="1"/>
  <c r="V15" i="2" l="1"/>
  <c r="W8" i="2"/>
  <c r="W9" i="2"/>
  <c r="W10" i="2"/>
  <c r="W11" i="2"/>
  <c r="W12" i="2"/>
  <c r="X12" i="2" s="1"/>
  <c r="W13" i="2"/>
  <c r="X13" i="2" s="1"/>
  <c r="W14" i="2"/>
  <c r="W15" i="2"/>
  <c r="W7" i="2"/>
  <c r="X7" i="2" s="1"/>
  <c r="X9" i="2"/>
  <c r="N59" i="1"/>
  <c r="W16" i="2" l="1"/>
  <c r="H14" i="2"/>
  <c r="H16" i="2" s="1"/>
  <c r="V8" i="2"/>
  <c r="X11" i="2"/>
  <c r="X15" i="2"/>
  <c r="X10" i="2"/>
  <c r="V14" i="2" l="1"/>
  <c r="X8" i="2"/>
  <c r="V16" i="2" l="1"/>
  <c r="X14" i="2"/>
  <c r="X16" i="2" s="1"/>
</calcChain>
</file>

<file path=xl/sharedStrings.xml><?xml version="1.0" encoding="utf-8"?>
<sst xmlns="http://schemas.openxmlformats.org/spreadsheetml/2006/main" count="163" uniqueCount="144">
  <si>
    <t>Annex D - PBF project budget</t>
  </si>
  <si>
    <t>Outcome/ Output number</t>
  </si>
  <si>
    <t>Outcome/ output/ activity formulation:</t>
  </si>
  <si>
    <t xml:space="preserve">OUTCOME 1: </t>
  </si>
  <si>
    <t>Output 1.1:</t>
  </si>
  <si>
    <t>Activity 1.1.1:</t>
  </si>
  <si>
    <t>Activity 1.1.2:</t>
  </si>
  <si>
    <t>Activity 1.1.3:</t>
  </si>
  <si>
    <t>Activity 1.2.1:</t>
  </si>
  <si>
    <t>Activity 1.2.2:</t>
  </si>
  <si>
    <t>Activity 1.2.3:</t>
  </si>
  <si>
    <t>Activity 1.3.1:</t>
  </si>
  <si>
    <t>Activity 1.3.2:</t>
  </si>
  <si>
    <t>Activity 1.3.3:</t>
  </si>
  <si>
    <t>TOTAL $ FOR OUTCOME 1:</t>
  </si>
  <si>
    <t>Activity 2.1.1:</t>
  </si>
  <si>
    <t>Activity 2.1.2:</t>
  </si>
  <si>
    <t>Activity 2.1.3:</t>
  </si>
  <si>
    <t>Activity 2.3.1:</t>
  </si>
  <si>
    <t>Activity 2.3.2:</t>
  </si>
  <si>
    <t>Activity 2.3.3:</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</si>
  <si>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</si>
  <si>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</si>
  <si>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</si>
  <si>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</si>
  <si>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</si>
  <si>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</si>
  <si>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</si>
  <si>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</si>
  <si>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</si>
  <si>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</si>
  <si>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</si>
  <si>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</si>
  <si>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</si>
  <si>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</si>
  <si>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</si>
  <si>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</si>
  <si>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</si>
  <si>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</si>
  <si>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</si>
  <si>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</si>
  <si>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</si>
  <si>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</si>
  <si>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</si>
  <si>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</si>
  <si>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</si>
  <si>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</si>
  <si>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</si>
  <si>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</si>
  <si>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</si>
  <si>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Amount Recipient  Agency UNICEF Tajikistan</t>
  </si>
  <si>
    <t>Amount Recipient  Agency UNICEF Kyrgyzstan</t>
  </si>
  <si>
    <t>Activity 2.1.4:</t>
  </si>
  <si>
    <t xml:space="preserve">Coordination cost </t>
  </si>
  <si>
    <t>UNDP TJ</t>
  </si>
  <si>
    <t xml:space="preserve">Strategy 1.1. </t>
  </si>
  <si>
    <t>Raise awareness of population on cross-border crossing rules</t>
  </si>
  <si>
    <t>Support law enforcement services to adapt information materials to reflect context of the target area (ensure gender sensitivity where necessary)</t>
  </si>
  <si>
    <t>Raise awareness of adolescents, parents and teachers on cross-border rules and child rights in  cross-border schools</t>
  </si>
  <si>
    <t xml:space="preserve">Support and cooperation with the existing platforms at the national/ regional /or district level on addressing the concerns of women, men, girls and boys related to the border </t>
  </si>
  <si>
    <t>Support of local initiatives on improving cooperation with the local authorities and law enforcement structures (ensure, among others, gender responsiveness).</t>
  </si>
  <si>
    <t xml:space="preserve">Activity 1.1.4. </t>
  </si>
  <si>
    <t>Strategy 1.2:</t>
  </si>
  <si>
    <t>To improve the complaints mechanism through cooperation with the Ombudsman Office and other relevant institutions</t>
  </si>
  <si>
    <t xml:space="preserve"> Organize community meetings with Ombudsman, law enforcement structures and authorities  to ensure access of communities to the complaint mechanism (Ombudsman). Raise awareness of the communities on complaint mechanisms, including child rights. Empower women leaders to participate in community meetings. </t>
  </si>
  <si>
    <t xml:space="preserve">Follow up meetings/action of Office of Ombudsman with the local government and respective state structures at district, regional and national level  (to raise  complaints and ensure that they are addressed) /Capacity building of the Ombudsman for Child Rights to strengthen complaint mechanisms at district and national level </t>
  </si>
  <si>
    <t xml:space="preserve">Improving cooperation between Ombudsman Offices of RT and KR </t>
  </si>
  <si>
    <t>Strategy 1.3:</t>
  </si>
  <si>
    <t>Build capacity of law enforcement agencies on human rights and build linkages between citizens and duty bearers</t>
  </si>
  <si>
    <t xml:space="preserve"> Elaborate the cooperation plan  with the Border Service and Police on strengthening the linkages between the law enforcement structures, local government and citizens (women, men, girls and boys) (and its further implementation)</t>
  </si>
  <si>
    <t>Ensure that concerns raised during community meetings are discussed during meetings of border guards of both countries and follow up actions are taken. Ensure gender balanced approach where necessary.</t>
  </si>
  <si>
    <t xml:space="preserve">Capacity building  events (or consultation meetings) provided by Ombudsman office for border guards and other law enforcement services. Capacity building will integrate human rights and gender perspectives  </t>
  </si>
  <si>
    <t xml:space="preserve">Improved linkages and cooperation between security providers, local authorities and communities to reduce violent incidents </t>
  </si>
  <si>
    <t>Output 2</t>
  </si>
  <si>
    <t>Communities restore cross-border linkages and trust by jointly addressing interdependent needs/ challenges associated with community infrastructure and natural resources, as well as by establishing platforms of confidence-building and cooperation between various societal groups.</t>
  </si>
  <si>
    <t>Carry out contextualized in-depth joint situation assessment (review of legal framework, conflict sensitivity, gender and environmental risks, identifying geographical areas which require more attention, potential contentious issues, understanding local power dynamics in specific municipalities) - through the mechanisms of community dialogue and consultations, consultations with authorities and other channels, as per SOPs.</t>
  </si>
  <si>
    <t>Carry out Community Dialogue - joint participatory planning of priorities (risk-informed), to ensure inclusion of vulnerable groups (women, youth etc.)</t>
  </si>
  <si>
    <t>Support of operation of various  consultative platforms at jamoat/ayil okmotu and district level of RT and KR (including youth, women);  Jamoat/Ayil Okmotu level Working Group, Women Councils, Head of municipalities of TJ and KG meetings, Technical Groups, Inter-district Steering Committee, Youth Contact Group (cross-border), key government stakeholders to ensure involvement of key stakeholders into project implementation.</t>
  </si>
  <si>
    <t>Rehabilitation or building (through a community-led and inclusive approach) small-scale social or natural resource-related infrastructure with a high potential for reducing tensions. Streamline UN agencies joint approach in implementation of community projects.</t>
  </si>
  <si>
    <t xml:space="preserve">Strategy 2.1. </t>
  </si>
  <si>
    <t xml:space="preserve">Facilitate dialogues within and between communities as well as participatory decision-making process through implementation of community initiatives </t>
  </si>
  <si>
    <t xml:space="preserve">Strategy 2.2. </t>
  </si>
  <si>
    <t>Enhance cooperation in natural resource management and increase the effectiveness and transparency of the use of the natural resources to reduce the likelihood of the conflict</t>
  </si>
  <si>
    <t xml:space="preserve">Activity 2.2.1.  </t>
  </si>
  <si>
    <t>In-depth analysis of pasture management and pasture-related conflict sensitivity as well as water management issues</t>
  </si>
  <si>
    <t xml:space="preserve">Activity 2.2.2.                                                                                                                             </t>
  </si>
  <si>
    <t xml:space="preserve"> Build awareness and promote dialogue of stakeholders and communities on pasture management issues and water management issues (with ensuring participation of women). Undertake advocacy actions at local and national levels.        </t>
  </si>
  <si>
    <t xml:space="preserve">Activity 2.2.3. 
</t>
  </si>
  <si>
    <t>Build capacities of communities in pasture management and water management in WUAs (with ensuring empowerment of women).</t>
  </si>
  <si>
    <t xml:space="preserve">Activity 2.2.4. </t>
  </si>
  <si>
    <t xml:space="preserve">Provide contextualized capacity building on water resources management for WUAs (supporting implementation of infrastructure projects under Strategy 1). Irrigation related constructions (Water distribution, water measuring facilities, drip irrigation systems and trainings, with balanced representation of men and women).       </t>
  </si>
  <si>
    <t xml:space="preserve">Activity 2.2.5.                        </t>
  </si>
  <si>
    <t xml:space="preserve">Facilitate cross-country communication and cooperation (including field visits) between WUAs of Tajikistan and Kyrgyzstan     </t>
  </si>
  <si>
    <t xml:space="preserve">Enhance cross-border linkages between communities, especially women and youth through the support of the confidence building platforms </t>
  </si>
  <si>
    <t>Strategy 2.3:</t>
  </si>
  <si>
    <t>Support tolerance building initiatives by adolescents and youth, including across the border with small grants that aim to promote cross-border linkages</t>
  </si>
  <si>
    <t>Strategy 2.4.</t>
  </si>
  <si>
    <t xml:space="preserve"> Enhance peacebuilding skills of beneficiaries within countries (focus on youth and women) </t>
  </si>
  <si>
    <t>Activity 2.4.1.</t>
  </si>
  <si>
    <t>Build capacities of women leaders - through in-country and cross-border events - on conflict analysis, mediation, natural resource management and ensure their contribution to conflict assessment and monitoring mechanisms, dialogue and consultation meetings;</t>
  </si>
  <si>
    <r>
      <t xml:space="preserve">Activity 2.4.2. </t>
    </r>
    <r>
      <rPr>
        <sz val="11"/>
        <color theme="1"/>
        <rFont val="Calibri"/>
        <family val="2"/>
        <scheme val="minor"/>
      </rPr>
      <t/>
    </r>
  </si>
  <si>
    <t>Developing peacebuilding competencies of adolescents</t>
  </si>
  <si>
    <t xml:space="preserve">Activity 2.4.3. </t>
  </si>
  <si>
    <t>Outreach services are in place for adolescents to have access to youth-friendly psychological support and care</t>
  </si>
  <si>
    <t xml:space="preserve">Activity 2.4.4 </t>
  </si>
  <si>
    <t>Advocate for adherence to minimum standards of gender equality and women empowerment in decision-making processes, community dialogues, conflict/disputes resolution. Ensure exchange of women at the events.</t>
  </si>
  <si>
    <t>Activity 2.4.5</t>
  </si>
  <si>
    <t xml:space="preserve">Activity 2.4.6 </t>
  </si>
  <si>
    <t>Support establishing the associations of women peacebuilders in Sughd region jointly with the National Committee for Women’s and Family Affairs that will include women leaders</t>
  </si>
  <si>
    <t xml:space="preserve">Strategy 2.5. </t>
  </si>
  <si>
    <t>Promote economic ties between cross-border communities and harness employment-related activities to build bridges between people, especially youth and women</t>
  </si>
  <si>
    <t xml:space="preserve">Activity 2.5.1 </t>
  </si>
  <si>
    <t>Build capacities of youth and women on  business skills/entrepreneurship such as business planning, income generating activities</t>
  </si>
  <si>
    <t xml:space="preserve">Activity 2.5.2. </t>
  </si>
  <si>
    <t>Support women business initiatives that build linkages between women of Tajikistan and Kyrgyzstan</t>
  </si>
  <si>
    <t xml:space="preserve">Activity 2.5.3. 
</t>
  </si>
  <si>
    <t>Establish linkages between business associations of both countries (youth focused) and improve trade through supporting market linkages (support innovation for cross border business) in local markets. Innovations for cross-border business</t>
  </si>
  <si>
    <t xml:space="preserve">Activity 2.5.4. </t>
  </si>
  <si>
    <t>Supporting vocational skills and agricultural processing through activities related to employment and ties building for youth and women from conflict prone areas. Vocational training activities will be linked to actual business (theme related to agriculture, processing, handcraft) opportunities which help maintaining durable ties between neighbor communities. It will be followed up with joint events with participation of Kyrgyz and Tajik youth and women on increasing trust and tolerance by building up relations and solidarities.</t>
  </si>
  <si>
    <t xml:space="preserve">Activity 2.5.5. </t>
  </si>
  <si>
    <t>Professional orientation and building social entrepreneurship skills among youth and adolescents</t>
  </si>
  <si>
    <t>WFP KG</t>
  </si>
  <si>
    <t>UNDP KG</t>
  </si>
  <si>
    <t>UNICEF TJ</t>
  </si>
  <si>
    <t>UNICEF KG</t>
  </si>
  <si>
    <t>FAO TJ</t>
  </si>
  <si>
    <t>FAO KG</t>
  </si>
  <si>
    <t>WFP TJ</t>
  </si>
  <si>
    <t>Budget by recipient organization in USD</t>
  </si>
  <si>
    <t>Amount Recipient   FAO TJ</t>
  </si>
  <si>
    <t>Amount Recipient  FAO KG</t>
  </si>
  <si>
    <t>Capacitate women leaders on NAP 1325 to identify issues and good practices of women-led conflict resolution to feed into NAP 1325 and participate in consultative meetings for development of new UNSCR 1325 NAP</t>
  </si>
  <si>
    <t>Enhance cross-border linkages between adolescents, youth and community through joint cultural and time-extended initiatives/exchanges through Youth Contact Groups (UNDP), schools, student councils and local level dialogue platform (with authorities); including interest-based cross-border trainings for trust building.</t>
  </si>
  <si>
    <t>Carry out 3-level consultation process (jointly UNICEF and UNDP) - 1) in-country focus groups, 2) consultations between countries 3) discussion at wider community meetings (Activity 2.1.3) to identify priorities of adolescents and youth initiatives</t>
  </si>
  <si>
    <t>Amount Recipient  UNDP TJ</t>
  </si>
  <si>
    <t>Amount Recipient  UNDP KRG</t>
  </si>
  <si>
    <t>Amount Recipient UNWOMEN TJ</t>
  </si>
  <si>
    <t>Amount Recipient  UNWOMEN KRG</t>
  </si>
  <si>
    <t>Amount Recipient  WFP TJ</t>
  </si>
  <si>
    <t>UNWOMEN TJ</t>
  </si>
  <si>
    <t>UNWOMEN KRG</t>
  </si>
  <si>
    <t>Amount Recipient  WFP KRG</t>
  </si>
  <si>
    <t xml:space="preserve"> Training for the Local Self-Government representatives on youth/child -friendly local planning</t>
  </si>
  <si>
    <t>Activity 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</si>
</sst>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b/>
      <i/>
      <sz val="12"/>
      <color theme="1"/>
      <name val="Times New Roman"/>
      <family val="1"/>
      <charset val="204"/>
    </font>
    <font>
      <b/>
      <i/>
      <sz val="12"/>
      <name val="Times New Roman"/>
      <family val="1"/>
      <charset val="204"/>
    </font>
    <font>
      <b/>
      <i/>
      <sz val="11"/>
      <color theme="1"/>
      <name val="Calibri"/>
      <family val="2"/>
      <scheme val="minor"/>
    </font>
    <font>
      <sz val="11"/>
      <name val="Calibri"/>
      <family val="2"/>
      <scheme val="minor"/>
    </font>
    <font>
      <sz val="12"/>
      <name val="Times New Roman"/>
      <family val="1"/>
    </font>
    <font>
      <b/>
      <sz val="12"/>
      <name val="Times New Roman"/>
      <family val="1"/>
    </font>
    <font>
      <b/>
      <sz val="12"/>
      <color theme="1"/>
      <name val="Times New Roman"/>
      <family val="1"/>
      <charset val="204"/>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bottom style="medium">
        <color auto="1"/>
      </bottom>
      <diagonal/>
    </border>
  </borders>
  <cellStyleXfs count="1">
    <xf numFmtId="0" fontId="0" fillId="0" borderId="0"/>
  </cellStyleXfs>
  <cellXfs count="63">
    <xf numFmtId="0" fontId="0" fillId="0" borderId="0" xfId="0"/>
    <xf numFmtId="0" fontId="3" fillId="0" borderId="0" xfId="0" applyFont="1"/>
    <xf numFmtId="0" fontId="4" fillId="3" borderId="8" xfId="0" applyFont="1" applyFill="1" applyBorder="1" applyAlignment="1">
      <alignment horizontal="center" vertical="center" wrapText="1"/>
    </xf>
    <xf numFmtId="0" fontId="5" fillId="0" borderId="6" xfId="0" applyFont="1" applyBorder="1" applyAlignment="1">
      <alignment vertical="center" wrapText="1"/>
    </xf>
    <xf numFmtId="0" fontId="4" fillId="2" borderId="10" xfId="0" applyFont="1" applyFill="1" applyBorder="1" applyAlignment="1">
      <alignment horizontal="center" vertical="center" wrapText="1"/>
    </xf>
    <xf numFmtId="0" fontId="6" fillId="0" borderId="0" xfId="0" applyFont="1"/>
    <xf numFmtId="3" fontId="5" fillId="0" borderId="8" xfId="0" applyNumberFormat="1" applyFont="1" applyBorder="1" applyAlignment="1">
      <alignment horizontal="right" vertical="center" wrapText="1"/>
    </xf>
    <xf numFmtId="0" fontId="0" fillId="0" borderId="0" xfId="0" applyAlignment="1">
      <alignment wrapText="1"/>
    </xf>
    <xf numFmtId="0" fontId="3" fillId="0" borderId="0" xfId="0" applyFont="1" applyAlignment="1">
      <alignment wrapText="1"/>
    </xf>
    <xf numFmtId="0" fontId="8" fillId="0" borderId="0" xfId="0" applyFont="1" applyAlignment="1"/>
    <xf numFmtId="0" fontId="7" fillId="0" borderId="0" xfId="0" applyFont="1" applyAlignment="1"/>
    <xf numFmtId="0" fontId="0" fillId="0" borderId="0" xfId="0" applyAlignment="1"/>
    <xf numFmtId="0" fontId="3" fillId="0" borderId="0" xfId="0" applyFont="1" applyAlignment="1"/>
    <xf numFmtId="3" fontId="1" fillId="5" borderId="1" xfId="0" applyNumberFormat="1" applyFont="1" applyFill="1" applyBorder="1" applyAlignment="1">
      <alignment vertical="center" wrapText="1"/>
    </xf>
    <xf numFmtId="3" fontId="9" fillId="6" borderId="1" xfId="0" applyNumberFormat="1" applyFont="1" applyFill="1" applyBorder="1" applyAlignment="1">
      <alignment vertical="center" wrapText="1"/>
    </xf>
    <xf numFmtId="3" fontId="2" fillId="6" borderId="1" xfId="0" applyNumberFormat="1" applyFont="1" applyFill="1" applyBorder="1" applyAlignment="1">
      <alignment vertical="center" wrapText="1"/>
    </xf>
    <xf numFmtId="3" fontId="5" fillId="0" borderId="8" xfId="0" applyNumberFormat="1" applyFont="1" applyBorder="1" applyAlignment="1">
      <alignment horizontal="center" vertical="center" wrapText="1"/>
    </xf>
    <xf numFmtId="0" fontId="0" fillId="7" borderId="0" xfId="0" applyFill="1" applyAlignment="1">
      <alignment wrapText="1"/>
    </xf>
    <xf numFmtId="3" fontId="2" fillId="7" borderId="1" xfId="0" applyNumberFormat="1" applyFont="1" applyFill="1" applyBorder="1" applyAlignment="1">
      <alignment vertical="center" wrapText="1"/>
    </xf>
    <xf numFmtId="3" fontId="9" fillId="7" borderId="1" xfId="0" applyNumberFormat="1" applyFont="1" applyFill="1" applyBorder="1" applyAlignment="1">
      <alignment vertical="center" wrapText="1"/>
    </xf>
    <xf numFmtId="3" fontId="1" fillId="7" borderId="1" xfId="0" applyNumberFormat="1" applyFont="1" applyFill="1" applyBorder="1" applyAlignment="1">
      <alignment vertical="center" wrapText="1"/>
    </xf>
    <xf numFmtId="3" fontId="0" fillId="6" borderId="1" xfId="0" applyNumberFormat="1" applyFont="1" applyFill="1" applyBorder="1"/>
    <xf numFmtId="0" fontId="4" fillId="4" borderId="6" xfId="0" applyFont="1" applyFill="1" applyBorder="1" applyAlignment="1">
      <alignment vertical="center" wrapText="1"/>
    </xf>
    <xf numFmtId="0" fontId="6" fillId="0" borderId="0" xfId="0" applyFont="1"/>
    <xf numFmtId="3" fontId="1" fillId="6" borderId="1" xfId="0" applyNumberFormat="1" applyFont="1" applyFill="1" applyBorder="1" applyAlignment="1">
      <alignment vertical="center" wrapText="1"/>
    </xf>
    <xf numFmtId="3" fontId="2" fillId="5" borderId="1" xfId="0" applyNumberFormat="1" applyFont="1" applyFill="1" applyBorder="1" applyAlignment="1">
      <alignment vertical="center" wrapText="1"/>
    </xf>
    <xf numFmtId="0" fontId="12" fillId="0" borderId="0" xfId="0" applyFont="1" applyAlignment="1"/>
    <xf numFmtId="0" fontId="12" fillId="0" borderId="0" xfId="0" applyFont="1"/>
    <xf numFmtId="0" fontId="12" fillId="0" borderId="0" xfId="0" applyFont="1" applyAlignment="1">
      <alignment wrapText="1"/>
    </xf>
    <xf numFmtId="3" fontId="14" fillId="5" borderId="1" xfId="0" applyNumberFormat="1" applyFont="1" applyFill="1" applyBorder="1" applyAlignment="1">
      <alignment vertical="center" wrapText="1"/>
    </xf>
    <xf numFmtId="3" fontId="14" fillId="6" borderId="1" xfId="0" applyNumberFormat="1" applyFont="1" applyFill="1" applyBorder="1" applyAlignment="1">
      <alignment vertical="center" wrapText="1"/>
    </xf>
    <xf numFmtId="3" fontId="10" fillId="5" borderId="1" xfId="0" applyNumberFormat="1" applyFont="1" applyFill="1" applyBorder="1" applyAlignment="1">
      <alignment vertical="center" wrapText="1"/>
    </xf>
    <xf numFmtId="3" fontId="10" fillId="6" borderId="1" xfId="0" applyNumberFormat="1" applyFont="1" applyFill="1" applyBorder="1" applyAlignment="1">
      <alignment vertical="center" wrapText="1"/>
    </xf>
    <xf numFmtId="3" fontId="13" fillId="5"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5" borderId="1" xfId="0" applyNumberFormat="1" applyFont="1" applyFill="1" applyBorder="1" applyAlignment="1">
      <alignment wrapText="1"/>
    </xf>
    <xf numFmtId="3" fontId="4" fillId="4" borderId="8" xfId="0" applyNumberFormat="1" applyFont="1" applyFill="1" applyBorder="1" applyAlignment="1">
      <alignment horizontal="right" vertical="center" wrapText="1"/>
    </xf>
    <xf numFmtId="0" fontId="6" fillId="7" borderId="0" xfId="0" applyFont="1" applyFill="1" applyAlignment="1">
      <alignment wrapText="1"/>
    </xf>
    <xf numFmtId="0" fontId="9" fillId="7" borderId="2" xfId="0" applyFont="1" applyFill="1" applyBorder="1" applyAlignment="1">
      <alignment vertical="center" wrapText="1"/>
    </xf>
    <xf numFmtId="0" fontId="9" fillId="7" borderId="11" xfId="0" applyFont="1" applyFill="1" applyBorder="1" applyAlignment="1">
      <alignment vertical="center" wrapText="1"/>
    </xf>
    <xf numFmtId="0" fontId="11" fillId="7" borderId="0" xfId="0" applyFont="1" applyFill="1" applyAlignment="1">
      <alignment wrapText="1"/>
    </xf>
    <xf numFmtId="0" fontId="1" fillId="7" borderId="2" xfId="0" applyFont="1" applyFill="1" applyBorder="1" applyAlignment="1">
      <alignment vertical="center" wrapText="1"/>
    </xf>
    <xf numFmtId="0" fontId="1" fillId="7" borderId="11" xfId="0" applyFont="1" applyFill="1" applyBorder="1" applyAlignment="1">
      <alignment vertical="center" wrapText="1"/>
    </xf>
    <xf numFmtId="0" fontId="2" fillId="7" borderId="2" xfId="0" applyFont="1" applyFill="1" applyBorder="1" applyAlignment="1">
      <alignment vertical="center" wrapText="1"/>
    </xf>
    <xf numFmtId="0" fontId="2" fillId="7" borderId="11" xfId="0" applyFont="1" applyFill="1" applyBorder="1" applyAlignment="1">
      <alignment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0" fontId="1" fillId="7" borderId="1" xfId="0" applyFont="1" applyFill="1" applyBorder="1" applyAlignment="1">
      <alignment vertical="center" wrapText="1"/>
    </xf>
    <xf numFmtId="0" fontId="1" fillId="7" borderId="3" xfId="0" applyFont="1" applyFill="1" applyBorder="1" applyAlignment="1">
      <alignment vertical="center" wrapText="1"/>
    </xf>
    <xf numFmtId="0" fontId="0" fillId="7" borderId="0" xfId="0" applyFont="1" applyFill="1" applyAlignment="1">
      <alignment wrapText="1"/>
    </xf>
    <xf numFmtId="0" fontId="1" fillId="7" borderId="4" xfId="0" applyFont="1" applyFill="1" applyBorder="1" applyAlignment="1">
      <alignment vertical="center" wrapText="1"/>
    </xf>
    <xf numFmtId="4" fontId="1" fillId="6" borderId="1" xfId="0" applyNumberFormat="1" applyFont="1" applyFill="1" applyBorder="1" applyAlignment="1">
      <alignment vertical="center" wrapText="1"/>
    </xf>
    <xf numFmtId="3" fontId="5" fillId="0" borderId="8" xfId="0" applyNumberFormat="1" applyFont="1" applyFill="1" applyBorder="1" applyAlignment="1">
      <alignment horizontal="right" vertical="center" wrapText="1"/>
    </xf>
    <xf numFmtId="4" fontId="2" fillId="6" borderId="1" xfId="0" applyNumberFormat="1" applyFont="1" applyFill="1" applyBorder="1" applyAlignment="1">
      <alignment vertical="center" wrapText="1"/>
    </xf>
    <xf numFmtId="3" fontId="0" fillId="0" borderId="0" xfId="0" applyNumberFormat="1"/>
    <xf numFmtId="3" fontId="2" fillId="8" borderId="1" xfId="0" applyNumberFormat="1" applyFont="1" applyFill="1" applyBorder="1" applyAlignment="1">
      <alignment vertical="center" wrapText="1"/>
    </xf>
    <xf numFmtId="3" fontId="15" fillId="6" borderId="1" xfId="0" applyNumberFormat="1" applyFont="1" applyFill="1" applyBorder="1" applyAlignment="1">
      <alignment vertical="center" wrapText="1"/>
    </xf>
    <xf numFmtId="3" fontId="15" fillId="6" borderId="1" xfId="0" applyNumberFormat="1" applyFont="1" applyFill="1" applyBorder="1"/>
    <xf numFmtId="0" fontId="0" fillId="0" borderId="1" xfId="0" applyBorder="1" applyAlignment="1">
      <alignment horizont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tabSelected="1" topLeftCell="A4" zoomScale="85" zoomScaleNormal="85" zoomScaleSheetLayoutView="70" workbookViewId="0">
      <pane ySplit="4" topLeftCell="A54" activePane="bottomLeft" state="frozen"/>
      <selection activeCell="A4" sqref="A4"/>
      <selection pane="bottomLeft" activeCell="J54" sqref="J54"/>
    </sheetView>
  </sheetViews>
  <sheetFormatPr defaultColWidth="8.85546875" defaultRowHeight="15" x14ac:dyDescent="0.25"/>
  <cols>
    <col min="1" max="1" width="24" style="7" customWidth="1"/>
    <col min="2" max="2" width="42" style="7" customWidth="1"/>
    <col min="3" max="3" width="14.7109375" style="7" customWidth="1"/>
    <col min="4" max="4" width="21.42578125" style="7" customWidth="1"/>
    <col min="5" max="5" width="10.85546875" style="28" customWidth="1"/>
    <col min="6" max="6" width="10.140625" style="28" bestFit="1" customWidth="1"/>
    <col min="7" max="7" width="9.7109375" style="27" bestFit="1" customWidth="1"/>
    <col min="8" max="8" width="10" bestFit="1" customWidth="1"/>
    <col min="9" max="9" width="10.85546875" bestFit="1" customWidth="1"/>
    <col min="10" max="10" width="11.7109375" bestFit="1" customWidth="1"/>
    <col min="11" max="11" width="13.7109375" customWidth="1"/>
    <col min="12" max="12" width="13.5703125" customWidth="1"/>
    <col min="13" max="13" width="10" bestFit="1" customWidth="1"/>
    <col min="14" max="14" width="11.140625" customWidth="1"/>
    <col min="15" max="15" width="20.85546875" style="7" customWidth="1"/>
    <col min="16" max="16" width="22.7109375" style="7" customWidth="1"/>
    <col min="17" max="19" width="28.7109375" style="7" customWidth="1"/>
    <col min="20" max="20" width="34.140625" style="7" customWidth="1"/>
    <col min="21" max="16384" width="8.85546875" style="7"/>
  </cols>
  <sheetData>
    <row r="1" spans="1:15" ht="21" x14ac:dyDescent="0.35">
      <c r="A1" s="9" t="s">
        <v>0</v>
      </c>
      <c r="B1" s="10"/>
      <c r="C1" s="10"/>
      <c r="D1" s="11"/>
      <c r="E1" s="26"/>
      <c r="F1" s="26"/>
      <c r="O1" s="11"/>
    </row>
    <row r="2" spans="1:15" ht="15.75" x14ac:dyDescent="0.25">
      <c r="A2" s="8"/>
      <c r="B2" s="8"/>
      <c r="C2" s="8"/>
    </row>
    <row r="3" spans="1:15" ht="15.75" x14ac:dyDescent="0.25">
      <c r="A3" s="12" t="s">
        <v>43</v>
      </c>
      <c r="B3" s="12"/>
      <c r="C3" s="12"/>
      <c r="D3" s="11"/>
      <c r="E3" s="26"/>
      <c r="F3" s="26"/>
      <c r="O3" s="11"/>
    </row>
    <row r="5" spans="1:15" ht="16.5" thickBot="1" x14ac:dyDescent="0.3">
      <c r="A5" s="12" t="s">
        <v>48</v>
      </c>
      <c r="B5" s="11"/>
      <c r="C5" s="11"/>
      <c r="D5" s="11"/>
      <c r="E5" s="26"/>
      <c r="F5" s="26"/>
      <c r="O5" s="11"/>
    </row>
    <row r="6" spans="1:15" ht="15.75" thickBot="1" x14ac:dyDescent="0.3">
      <c r="E6" s="58" t="s">
        <v>49</v>
      </c>
      <c r="F6" s="58"/>
      <c r="G6" s="58"/>
      <c r="H6" s="58"/>
      <c r="I6" s="58"/>
      <c r="J6" s="58"/>
      <c r="K6" s="58"/>
      <c r="L6" s="58"/>
      <c r="M6" s="58"/>
      <c r="N6" s="58"/>
    </row>
    <row r="7" spans="1:15" ht="138.75" customHeight="1" thickBot="1" x14ac:dyDescent="0.3">
      <c r="A7" s="13" t="s">
        <v>1</v>
      </c>
      <c r="B7" s="13" t="s">
        <v>2</v>
      </c>
      <c r="C7" s="13" t="s">
        <v>128</v>
      </c>
      <c r="D7" s="13" t="s">
        <v>25</v>
      </c>
      <c r="E7" s="25" t="s">
        <v>127</v>
      </c>
      <c r="F7" s="15" t="s">
        <v>121</v>
      </c>
      <c r="G7" s="25" t="s">
        <v>54</v>
      </c>
      <c r="H7" s="15" t="s">
        <v>122</v>
      </c>
      <c r="I7" s="29" t="s">
        <v>123</v>
      </c>
      <c r="J7" s="15" t="s">
        <v>124</v>
      </c>
      <c r="K7" s="25" t="s">
        <v>139</v>
      </c>
      <c r="L7" s="15" t="s">
        <v>140</v>
      </c>
      <c r="M7" s="25" t="s">
        <v>125</v>
      </c>
      <c r="N7" s="15" t="s">
        <v>126</v>
      </c>
      <c r="O7" s="13" t="s">
        <v>26</v>
      </c>
    </row>
    <row r="8" spans="1:15" ht="16.5" thickBot="1" x14ac:dyDescent="0.3">
      <c r="A8" s="13" t="s">
        <v>3</v>
      </c>
      <c r="B8" s="13"/>
      <c r="C8" s="13"/>
      <c r="D8" s="13"/>
      <c r="E8" s="13"/>
      <c r="F8" s="24"/>
      <c r="G8" s="13"/>
      <c r="H8" s="24"/>
      <c r="I8" s="29"/>
      <c r="J8" s="24"/>
      <c r="K8" s="13"/>
      <c r="L8" s="24"/>
      <c r="M8" s="29"/>
      <c r="N8" s="24"/>
      <c r="O8" s="13"/>
    </row>
    <row r="9" spans="1:15" s="37" customFormat="1" ht="48" thickBot="1" x14ac:dyDescent="0.3">
      <c r="A9" s="20" t="s">
        <v>4</v>
      </c>
      <c r="B9" s="20" t="s">
        <v>72</v>
      </c>
      <c r="C9" s="20"/>
      <c r="D9" s="20"/>
      <c r="E9" s="29"/>
      <c r="F9" s="24"/>
      <c r="G9" s="29"/>
      <c r="H9" s="24"/>
      <c r="I9" s="29"/>
      <c r="J9" s="24"/>
      <c r="K9" s="29"/>
      <c r="L9" s="24"/>
      <c r="M9" s="29"/>
      <c r="N9" s="24"/>
      <c r="O9" s="20"/>
    </row>
    <row r="10" spans="1:15" s="40" customFormat="1" ht="32.25" thickBot="1" x14ac:dyDescent="0.3">
      <c r="A10" s="38" t="s">
        <v>55</v>
      </c>
      <c r="B10" s="39" t="s">
        <v>56</v>
      </c>
      <c r="C10" s="20"/>
      <c r="D10" s="19"/>
      <c r="E10" s="31"/>
      <c r="F10" s="24"/>
      <c r="G10" s="29"/>
      <c r="H10" s="14"/>
      <c r="I10" s="29"/>
      <c r="J10" s="14"/>
      <c r="K10" s="29"/>
      <c r="L10" s="24"/>
      <c r="M10" s="29"/>
      <c r="N10" s="14"/>
      <c r="O10" s="19"/>
    </row>
    <row r="11" spans="1:15" s="17" customFormat="1" ht="63.75" thickBot="1" x14ac:dyDescent="0.3">
      <c r="A11" s="41" t="s">
        <v>5</v>
      </c>
      <c r="B11" s="42" t="s">
        <v>57</v>
      </c>
      <c r="C11" s="20"/>
      <c r="D11" s="20"/>
      <c r="E11" s="33"/>
      <c r="F11" s="32"/>
      <c r="G11" s="33">
        <f>934.29+13.94</f>
        <v>948.23</v>
      </c>
      <c r="H11" s="24"/>
      <c r="I11" s="33"/>
      <c r="J11" s="24"/>
      <c r="K11" s="29"/>
      <c r="L11" s="14"/>
      <c r="M11" s="29"/>
      <c r="N11" s="24"/>
      <c r="O11" s="20"/>
    </row>
    <row r="12" spans="1:15" s="17" customFormat="1" ht="48" thickBot="1" x14ac:dyDescent="0.3">
      <c r="A12" s="41" t="s">
        <v>6</v>
      </c>
      <c r="B12" s="42" t="s">
        <v>58</v>
      </c>
      <c r="C12" s="20"/>
      <c r="D12" s="20"/>
      <c r="E12" s="33"/>
      <c r="F12" s="34"/>
      <c r="G12" s="33"/>
      <c r="H12" s="24"/>
      <c r="I12" s="33">
        <v>28412.63</v>
      </c>
      <c r="J12" s="24"/>
      <c r="K12" s="29"/>
      <c r="L12" s="24"/>
      <c r="M12" s="29"/>
      <c r="N12" s="24"/>
      <c r="O12" s="20"/>
    </row>
    <row r="13" spans="1:15" s="17" customFormat="1" ht="63.75" thickBot="1" x14ac:dyDescent="0.3">
      <c r="A13" s="41" t="s">
        <v>7</v>
      </c>
      <c r="B13" s="42" t="s">
        <v>59</v>
      </c>
      <c r="C13" s="20"/>
      <c r="D13" s="20"/>
      <c r="E13" s="33"/>
      <c r="F13" s="34"/>
      <c r="G13" s="33">
        <f>83.21+304.36+95.04+90.89+62.02</f>
        <v>635.52</v>
      </c>
      <c r="H13" s="24"/>
      <c r="I13" s="33"/>
      <c r="J13" s="24"/>
      <c r="K13" s="29"/>
      <c r="L13" s="24"/>
      <c r="M13" s="29"/>
      <c r="N13" s="24"/>
      <c r="O13" s="20"/>
    </row>
    <row r="14" spans="1:15" s="17" customFormat="1" ht="63.75" thickBot="1" x14ac:dyDescent="0.3">
      <c r="A14" s="41" t="s">
        <v>61</v>
      </c>
      <c r="B14" s="42" t="s">
        <v>60</v>
      </c>
      <c r="C14" s="20"/>
      <c r="D14" s="20"/>
      <c r="E14" s="33"/>
      <c r="F14" s="34"/>
      <c r="G14" s="33"/>
      <c r="H14" s="24"/>
      <c r="I14" s="33"/>
      <c r="J14" s="24"/>
      <c r="K14" s="29"/>
      <c r="L14" s="24"/>
      <c r="M14" s="29"/>
      <c r="N14" s="24"/>
      <c r="O14" s="20"/>
    </row>
    <row r="15" spans="1:15" s="40" customFormat="1" ht="63.75" thickBot="1" x14ac:dyDescent="0.3">
      <c r="A15" s="38" t="s">
        <v>62</v>
      </c>
      <c r="B15" s="39" t="s">
        <v>63</v>
      </c>
      <c r="C15" s="20"/>
      <c r="D15" s="19"/>
      <c r="E15" s="31"/>
      <c r="F15" s="34"/>
      <c r="G15" s="33"/>
      <c r="H15" s="14"/>
      <c r="I15" s="33"/>
      <c r="J15" s="14"/>
      <c r="K15" s="29"/>
      <c r="L15" s="24"/>
      <c r="M15" s="29"/>
      <c r="N15" s="14"/>
      <c r="O15" s="19"/>
    </row>
    <row r="16" spans="1:15" s="17" customFormat="1" ht="126.75" thickBot="1" x14ac:dyDescent="0.3">
      <c r="A16" s="41" t="s">
        <v>8</v>
      </c>
      <c r="B16" s="42" t="s">
        <v>64</v>
      </c>
      <c r="C16" s="20"/>
      <c r="D16" s="20"/>
      <c r="E16" s="33"/>
      <c r="F16" s="32"/>
      <c r="G16" s="33">
        <v>10000</v>
      </c>
      <c r="H16" s="24"/>
      <c r="I16" s="33">
        <v>10000</v>
      </c>
      <c r="J16" s="24"/>
      <c r="K16" s="29"/>
      <c r="L16" s="14"/>
      <c r="M16" s="29"/>
      <c r="N16" s="24"/>
      <c r="O16" s="20"/>
    </row>
    <row r="17" spans="1:15" s="17" customFormat="1" ht="126.75" thickBot="1" x14ac:dyDescent="0.3">
      <c r="A17" s="41" t="s">
        <v>9</v>
      </c>
      <c r="B17" s="42" t="s">
        <v>65</v>
      </c>
      <c r="C17" s="20"/>
      <c r="D17" s="20"/>
      <c r="E17" s="33"/>
      <c r="F17" s="34"/>
      <c r="G17" s="33">
        <f>500+5000-4195.72</f>
        <v>1304.2799999999997</v>
      </c>
      <c r="H17" s="24"/>
      <c r="I17" s="33">
        <v>10388.219999999999</v>
      </c>
      <c r="J17" s="24"/>
      <c r="K17" s="29"/>
      <c r="L17" s="24"/>
      <c r="M17" s="29"/>
      <c r="N17" s="24"/>
      <c r="O17" s="20"/>
    </row>
    <row r="18" spans="1:15" s="17" customFormat="1" ht="32.25" thickBot="1" x14ac:dyDescent="0.3">
      <c r="A18" s="41" t="s">
        <v>10</v>
      </c>
      <c r="B18" s="42" t="s">
        <v>66</v>
      </c>
      <c r="C18" s="20"/>
      <c r="D18" s="20"/>
      <c r="E18" s="33"/>
      <c r="F18" s="34"/>
      <c r="G18" s="33">
        <v>1283</v>
      </c>
      <c r="H18" s="24"/>
      <c r="I18" s="33"/>
      <c r="J18" s="24"/>
      <c r="K18" s="29"/>
      <c r="L18" s="24"/>
      <c r="M18" s="29"/>
      <c r="N18" s="24"/>
      <c r="O18" s="20"/>
    </row>
    <row r="19" spans="1:15" s="40" customFormat="1" ht="63.75" thickBot="1" x14ac:dyDescent="0.3">
      <c r="A19" s="38" t="s">
        <v>67</v>
      </c>
      <c r="B19" s="39" t="s">
        <v>68</v>
      </c>
      <c r="C19" s="20"/>
      <c r="D19" s="19"/>
      <c r="E19" s="31"/>
      <c r="F19" s="34"/>
      <c r="G19" s="33"/>
      <c r="H19" s="14"/>
      <c r="I19" s="33"/>
      <c r="J19" s="14"/>
      <c r="K19" s="29"/>
      <c r="L19" s="24"/>
      <c r="M19" s="29"/>
      <c r="N19" s="14"/>
      <c r="O19" s="19"/>
    </row>
    <row r="20" spans="1:15" s="17" customFormat="1" ht="95.25" thickBot="1" x14ac:dyDescent="0.3">
      <c r="A20" s="41" t="s">
        <v>11</v>
      </c>
      <c r="B20" s="42" t="s">
        <v>69</v>
      </c>
      <c r="C20" s="20"/>
      <c r="D20" s="20"/>
      <c r="E20" s="33"/>
      <c r="F20" s="32"/>
      <c r="G20" s="33">
        <f>207.55+245.91+416.25</f>
        <v>869.71</v>
      </c>
      <c r="H20" s="24"/>
      <c r="I20" s="33"/>
      <c r="J20" s="24"/>
      <c r="K20" s="29"/>
      <c r="L20" s="14"/>
      <c r="M20" s="29"/>
      <c r="N20" s="24"/>
      <c r="O20" s="20"/>
    </row>
    <row r="21" spans="1:15" s="17" customFormat="1" ht="79.5" thickBot="1" x14ac:dyDescent="0.3">
      <c r="A21" s="41" t="s">
        <v>12</v>
      </c>
      <c r="B21" s="42" t="s">
        <v>70</v>
      </c>
      <c r="C21" s="20"/>
      <c r="D21" s="20"/>
      <c r="E21" s="33"/>
      <c r="F21" s="34"/>
      <c r="G21" s="33">
        <f>1067.84+950.81+23.32+5.79+54.6+656.99+4040.87+56.14</f>
        <v>6856.36</v>
      </c>
      <c r="H21" s="24"/>
      <c r="I21" s="33"/>
      <c r="J21" s="24"/>
      <c r="K21" s="29"/>
      <c r="L21" s="24"/>
      <c r="M21" s="29"/>
      <c r="N21" s="24"/>
      <c r="O21" s="20"/>
    </row>
    <row r="22" spans="1:15" s="17" customFormat="1" ht="79.5" thickBot="1" x14ac:dyDescent="0.3">
      <c r="A22" s="41" t="s">
        <v>13</v>
      </c>
      <c r="B22" s="42" t="s">
        <v>71</v>
      </c>
      <c r="C22" s="20"/>
      <c r="D22" s="20"/>
      <c r="E22" s="33"/>
      <c r="F22" s="34"/>
      <c r="G22" s="33">
        <v>5069.1099999999997</v>
      </c>
      <c r="H22" s="24"/>
      <c r="I22" s="33"/>
      <c r="J22" s="24"/>
      <c r="K22" s="29"/>
      <c r="L22" s="24"/>
      <c r="M22" s="29"/>
      <c r="N22" s="24"/>
      <c r="O22" s="20"/>
    </row>
    <row r="23" spans="1:15" s="37" customFormat="1" ht="126.75" thickBot="1" x14ac:dyDescent="0.3">
      <c r="A23" s="43" t="s">
        <v>73</v>
      </c>
      <c r="B23" s="44" t="s">
        <v>74</v>
      </c>
      <c r="C23" s="20"/>
      <c r="D23" s="18"/>
      <c r="E23" s="29"/>
      <c r="F23" s="34"/>
      <c r="G23" s="33"/>
      <c r="H23" s="15">
        <v>29755</v>
      </c>
      <c r="I23" s="33"/>
      <c r="J23" s="15"/>
      <c r="K23" s="29"/>
      <c r="L23" s="24"/>
      <c r="M23" s="29"/>
      <c r="N23" s="15"/>
      <c r="O23" s="18"/>
    </row>
    <row r="24" spans="1:15" s="40" customFormat="1" ht="63.75" thickBot="1" x14ac:dyDescent="0.3">
      <c r="A24" s="38" t="s">
        <v>79</v>
      </c>
      <c r="B24" s="39" t="s">
        <v>80</v>
      </c>
      <c r="C24" s="20"/>
      <c r="D24" s="19"/>
      <c r="E24" s="31"/>
      <c r="F24" s="30"/>
      <c r="G24" s="33"/>
      <c r="H24" s="14"/>
      <c r="I24" s="33"/>
      <c r="J24" s="14"/>
      <c r="K24" s="29"/>
      <c r="L24" s="15"/>
      <c r="M24" s="33">
        <f>11141+318</f>
        <v>11459</v>
      </c>
      <c r="N24" s="14"/>
      <c r="O24" s="19"/>
    </row>
    <row r="25" spans="1:15" s="17" customFormat="1" ht="189.75" customHeight="1" thickBot="1" x14ac:dyDescent="0.3">
      <c r="A25" s="41" t="s">
        <v>15</v>
      </c>
      <c r="B25" s="42" t="s">
        <v>75</v>
      </c>
      <c r="C25" s="20"/>
      <c r="D25" s="20"/>
      <c r="E25" s="35"/>
      <c r="F25" s="32"/>
      <c r="G25" s="33"/>
      <c r="H25" s="24"/>
      <c r="I25" s="33"/>
      <c r="J25" s="24"/>
      <c r="K25" s="29"/>
      <c r="L25" s="14"/>
      <c r="M25" s="29"/>
      <c r="N25" s="24"/>
      <c r="O25" s="20"/>
    </row>
    <row r="26" spans="1:15" s="17" customFormat="1" ht="63.75" thickBot="1" x14ac:dyDescent="0.3">
      <c r="A26" s="41" t="s">
        <v>16</v>
      </c>
      <c r="B26" s="42" t="s">
        <v>76</v>
      </c>
      <c r="C26" s="20"/>
      <c r="D26" s="20"/>
      <c r="E26" s="35"/>
      <c r="F26" s="34"/>
      <c r="G26" s="33">
        <f>600.19+229.35+11.65+847</f>
        <v>1688.19</v>
      </c>
      <c r="H26" s="24"/>
      <c r="I26" s="33"/>
      <c r="J26" s="24"/>
      <c r="K26" s="29"/>
      <c r="L26" s="24"/>
      <c r="M26" s="29"/>
      <c r="N26" s="24"/>
      <c r="O26" s="20"/>
    </row>
    <row r="27" spans="1:15" s="17" customFormat="1" ht="158.25" customHeight="1" thickBot="1" x14ac:dyDescent="0.3">
      <c r="A27" s="41" t="s">
        <v>17</v>
      </c>
      <c r="B27" s="42" t="s">
        <v>77</v>
      </c>
      <c r="C27" s="20"/>
      <c r="D27" s="20"/>
      <c r="E27" s="33"/>
      <c r="F27" s="34"/>
      <c r="G27" s="33"/>
      <c r="H27" s="24"/>
      <c r="I27" s="33"/>
      <c r="J27" s="24"/>
      <c r="K27" s="29"/>
      <c r="L27" s="24"/>
      <c r="M27" s="29"/>
      <c r="N27" s="24"/>
      <c r="O27" s="20"/>
    </row>
    <row r="28" spans="1:15" s="17" customFormat="1" ht="111" thickBot="1" x14ac:dyDescent="0.3">
      <c r="A28" s="41" t="s">
        <v>52</v>
      </c>
      <c r="B28" s="42" t="s">
        <v>78</v>
      </c>
      <c r="C28" s="20"/>
      <c r="D28" s="20"/>
      <c r="E28" s="33">
        <v>87930</v>
      </c>
      <c r="F28" s="34"/>
      <c r="G28" s="33">
        <f>2651.68</f>
        <v>2651.68</v>
      </c>
      <c r="H28" s="24"/>
      <c r="I28" s="33"/>
      <c r="J28" s="24"/>
      <c r="K28" s="29"/>
      <c r="L28" s="24"/>
      <c r="M28" s="29"/>
      <c r="N28" s="24"/>
      <c r="O28" s="20"/>
    </row>
    <row r="29" spans="1:15" s="40" customFormat="1" ht="79.5" thickBot="1" x14ac:dyDescent="0.3">
      <c r="A29" s="38" t="s">
        <v>81</v>
      </c>
      <c r="B29" s="39" t="s">
        <v>82</v>
      </c>
      <c r="C29" s="20"/>
      <c r="D29" s="19"/>
      <c r="E29" s="31"/>
      <c r="F29" s="34"/>
      <c r="G29" s="33"/>
      <c r="H29" s="14"/>
      <c r="I29" s="33"/>
      <c r="J29" s="14"/>
      <c r="K29" s="29"/>
      <c r="L29" s="24"/>
      <c r="M29" s="33">
        <f>8531+7302+6733</f>
        <v>22566</v>
      </c>
      <c r="N29" s="14"/>
      <c r="O29" s="19"/>
    </row>
    <row r="30" spans="1:15" s="17" customFormat="1" ht="48" thickBot="1" x14ac:dyDescent="0.3">
      <c r="A30" s="41" t="s">
        <v>83</v>
      </c>
      <c r="B30" s="42" t="s">
        <v>84</v>
      </c>
      <c r="C30" s="20"/>
      <c r="D30" s="20"/>
      <c r="E30" s="33"/>
      <c r="F30" s="32"/>
      <c r="G30" s="33"/>
      <c r="H30" s="24"/>
      <c r="I30" s="33"/>
      <c r="J30" s="24"/>
      <c r="K30" s="29"/>
      <c r="L30" s="14"/>
      <c r="M30" s="29"/>
      <c r="N30" s="24"/>
      <c r="O30" s="20"/>
    </row>
    <row r="31" spans="1:15" s="17" customFormat="1" ht="95.25" thickBot="1" x14ac:dyDescent="0.3">
      <c r="A31" s="41" t="s">
        <v>85</v>
      </c>
      <c r="B31" s="42" t="s">
        <v>86</v>
      </c>
      <c r="C31" s="20"/>
      <c r="D31" s="20"/>
      <c r="E31" s="33"/>
      <c r="F31" s="34"/>
      <c r="G31" s="33"/>
      <c r="H31" s="24"/>
      <c r="I31" s="33"/>
      <c r="J31" s="24"/>
      <c r="K31" s="29"/>
      <c r="L31" s="24"/>
      <c r="M31" s="29"/>
      <c r="N31" s="24"/>
      <c r="O31" s="20"/>
    </row>
    <row r="32" spans="1:15" s="17" customFormat="1" ht="48" customHeight="1" thickBot="1" x14ac:dyDescent="0.3">
      <c r="A32" s="41" t="s">
        <v>87</v>
      </c>
      <c r="B32" s="42" t="s">
        <v>88</v>
      </c>
      <c r="C32" s="20"/>
      <c r="D32" s="20"/>
      <c r="E32" s="33"/>
      <c r="F32" s="34"/>
      <c r="G32" s="33"/>
      <c r="H32" s="24"/>
      <c r="I32" s="33"/>
      <c r="J32" s="24"/>
      <c r="K32" s="29"/>
      <c r="L32" s="24"/>
      <c r="M32" s="29"/>
      <c r="N32" s="24"/>
      <c r="O32" s="20"/>
    </row>
    <row r="33" spans="1:15" s="17" customFormat="1" ht="126.75" thickBot="1" x14ac:dyDescent="0.3">
      <c r="A33" s="41" t="s">
        <v>89</v>
      </c>
      <c r="B33" s="42" t="s">
        <v>90</v>
      </c>
      <c r="C33" s="20"/>
      <c r="D33" s="20"/>
      <c r="E33" s="33"/>
      <c r="F33" s="34"/>
      <c r="G33" s="33"/>
      <c r="H33" s="24"/>
      <c r="I33" s="33"/>
      <c r="J33" s="24"/>
      <c r="K33" s="29"/>
      <c r="L33" s="24"/>
      <c r="M33" s="29"/>
      <c r="N33" s="14">
        <f>13884+8683+9992+9275</f>
        <v>41834</v>
      </c>
      <c r="O33" s="20"/>
    </row>
    <row r="34" spans="1:15" s="17" customFormat="1" ht="48" thickBot="1" x14ac:dyDescent="0.3">
      <c r="A34" s="41" t="s">
        <v>91</v>
      </c>
      <c r="B34" s="42" t="s">
        <v>92</v>
      </c>
      <c r="C34" s="20"/>
      <c r="D34" s="20"/>
      <c r="E34" s="33"/>
      <c r="F34" s="34"/>
      <c r="G34" s="33"/>
      <c r="H34" s="24"/>
      <c r="I34" s="33"/>
      <c r="J34" s="24"/>
      <c r="K34" s="29"/>
      <c r="L34" s="24"/>
      <c r="M34" s="29"/>
      <c r="N34" s="14"/>
      <c r="O34" s="20"/>
    </row>
    <row r="35" spans="1:15" s="40" customFormat="1" ht="63.75" thickBot="1" x14ac:dyDescent="0.3">
      <c r="A35" s="38" t="s">
        <v>94</v>
      </c>
      <c r="B35" s="39" t="s">
        <v>93</v>
      </c>
      <c r="C35" s="20"/>
      <c r="D35" s="19"/>
      <c r="E35" s="31"/>
      <c r="F35" s="34"/>
      <c r="G35" s="33"/>
      <c r="H35" s="14"/>
      <c r="I35" s="33"/>
      <c r="J35" s="14"/>
      <c r="K35" s="29"/>
      <c r="L35" s="24"/>
      <c r="M35" s="29"/>
      <c r="N35" s="14"/>
      <c r="O35" s="19"/>
    </row>
    <row r="36" spans="1:15" s="17" customFormat="1" ht="95.25" thickBot="1" x14ac:dyDescent="0.3">
      <c r="A36" s="41" t="s">
        <v>18</v>
      </c>
      <c r="B36" s="42" t="s">
        <v>133</v>
      </c>
      <c r="C36" s="20"/>
      <c r="D36" s="20"/>
      <c r="E36" s="33"/>
      <c r="F36" s="32"/>
      <c r="G36" s="33"/>
      <c r="H36" s="24"/>
      <c r="I36" s="33">
        <f>8000-2000</f>
        <v>6000</v>
      </c>
      <c r="J36" s="24"/>
      <c r="K36" s="29"/>
      <c r="L36" s="14"/>
      <c r="M36" s="29"/>
      <c r="N36" s="14"/>
      <c r="O36" s="20"/>
    </row>
    <row r="37" spans="1:15" s="17" customFormat="1" ht="141" customHeight="1" thickBot="1" x14ac:dyDescent="0.3">
      <c r="A37" s="41" t="s">
        <v>19</v>
      </c>
      <c r="B37" s="42" t="s">
        <v>132</v>
      </c>
      <c r="C37" s="20"/>
      <c r="D37" s="20"/>
      <c r="E37" s="33"/>
      <c r="F37" s="34"/>
      <c r="G37" s="33">
        <f>24870.34-19.34+7.87+6.08+188.26</f>
        <v>25053.21</v>
      </c>
      <c r="H37" s="24"/>
      <c r="I37" s="33">
        <f>20000-4059</f>
        <v>15941</v>
      </c>
      <c r="J37" s="24">
        <v>5000</v>
      </c>
      <c r="K37" s="29"/>
      <c r="L37" s="24"/>
      <c r="M37" s="29"/>
      <c r="N37" s="14"/>
      <c r="O37" s="20"/>
    </row>
    <row r="38" spans="1:15" s="17" customFormat="1" ht="63.75" thickBot="1" x14ac:dyDescent="0.3">
      <c r="A38" s="41" t="s">
        <v>20</v>
      </c>
      <c r="B38" s="42" t="s">
        <v>95</v>
      </c>
      <c r="C38" s="20"/>
      <c r="D38" s="20"/>
      <c r="E38" s="33"/>
      <c r="F38" s="34"/>
      <c r="G38" s="33"/>
      <c r="H38" s="24"/>
      <c r="I38" s="33">
        <f>20255.58-1643.9-2000</f>
        <v>16611.68</v>
      </c>
      <c r="J38" s="24">
        <v>30000</v>
      </c>
      <c r="K38" s="29"/>
      <c r="L38" s="24"/>
      <c r="M38" s="29"/>
      <c r="N38" s="14"/>
      <c r="O38" s="20"/>
    </row>
    <row r="39" spans="1:15" s="17" customFormat="1" ht="48" thickBot="1" x14ac:dyDescent="0.3">
      <c r="A39" s="41" t="s">
        <v>143</v>
      </c>
      <c r="B39" s="42" t="s">
        <v>142</v>
      </c>
      <c r="C39" s="20"/>
      <c r="D39" s="20"/>
      <c r="E39" s="33"/>
      <c r="F39" s="34"/>
      <c r="G39" s="33"/>
      <c r="H39" s="24"/>
      <c r="I39" s="33"/>
      <c r="J39" s="24">
        <v>40000</v>
      </c>
      <c r="K39" s="29"/>
      <c r="L39" s="24"/>
      <c r="M39" s="29"/>
      <c r="N39" s="14"/>
      <c r="O39" s="20"/>
    </row>
    <row r="40" spans="1:15" s="40" customFormat="1" ht="48" thickBot="1" x14ac:dyDescent="0.3">
      <c r="A40" s="38" t="s">
        <v>96</v>
      </c>
      <c r="B40" s="39" t="s">
        <v>97</v>
      </c>
      <c r="C40" s="20"/>
      <c r="D40" s="19"/>
      <c r="E40" s="31"/>
      <c r="F40" s="32"/>
      <c r="G40" s="33"/>
      <c r="H40" s="14"/>
      <c r="I40" s="33"/>
      <c r="J40" s="14"/>
      <c r="K40" s="29"/>
      <c r="L40" s="14"/>
      <c r="M40" s="29"/>
      <c r="N40" s="14"/>
      <c r="O40" s="19"/>
    </row>
    <row r="41" spans="1:15" s="17" customFormat="1" ht="111" thickBot="1" x14ac:dyDescent="0.3">
      <c r="A41" s="41" t="s">
        <v>98</v>
      </c>
      <c r="B41" s="42" t="s">
        <v>99</v>
      </c>
      <c r="C41" s="20"/>
      <c r="D41" s="20"/>
      <c r="E41" s="33"/>
      <c r="F41" s="34"/>
      <c r="G41" s="33"/>
      <c r="H41" s="24"/>
      <c r="I41" s="33"/>
      <c r="J41" s="24"/>
      <c r="K41" s="29">
        <v>15868</v>
      </c>
      <c r="L41" s="24"/>
      <c r="M41" s="29"/>
      <c r="N41" s="14"/>
      <c r="O41" s="20"/>
    </row>
    <row r="42" spans="1:15" s="17" customFormat="1" ht="32.25" thickBot="1" x14ac:dyDescent="0.3">
      <c r="A42" s="41" t="s">
        <v>100</v>
      </c>
      <c r="B42" s="42" t="s">
        <v>101</v>
      </c>
      <c r="C42" s="20"/>
      <c r="D42" s="20"/>
      <c r="E42" s="33"/>
      <c r="F42" s="34"/>
      <c r="G42" s="33"/>
      <c r="H42" s="24"/>
      <c r="I42" s="33">
        <v>10000</v>
      </c>
      <c r="J42" s="24">
        <v>10000</v>
      </c>
      <c r="K42" s="29"/>
      <c r="L42" s="24"/>
      <c r="M42" s="29"/>
      <c r="N42" s="14"/>
      <c r="O42" s="20"/>
    </row>
    <row r="43" spans="1:15" s="17" customFormat="1" ht="48" thickBot="1" x14ac:dyDescent="0.3">
      <c r="A43" s="41" t="s">
        <v>102</v>
      </c>
      <c r="B43" s="42" t="s">
        <v>103</v>
      </c>
      <c r="C43" s="20"/>
      <c r="D43" s="20"/>
      <c r="E43" s="33"/>
      <c r="F43" s="34"/>
      <c r="G43" s="33"/>
      <c r="H43" s="24"/>
      <c r="I43" s="33">
        <f>17066.25+1636.01+3413.25</f>
        <v>22115.51</v>
      </c>
      <c r="J43" s="24"/>
      <c r="K43" s="29"/>
      <c r="L43" s="24"/>
      <c r="M43" s="29"/>
      <c r="N43" s="14"/>
      <c r="O43" s="20"/>
    </row>
    <row r="44" spans="1:15" s="17" customFormat="1" ht="95.25" thickBot="1" x14ac:dyDescent="0.3">
      <c r="A44" s="41" t="s">
        <v>104</v>
      </c>
      <c r="B44" s="42" t="s">
        <v>105</v>
      </c>
      <c r="C44" s="20"/>
      <c r="D44" s="20"/>
      <c r="E44" s="33"/>
      <c r="F44" s="34"/>
      <c r="G44" s="29"/>
      <c r="H44" s="24"/>
      <c r="I44" s="33"/>
      <c r="J44" s="24"/>
      <c r="K44" s="29">
        <v>8428.92</v>
      </c>
      <c r="L44" s="53">
        <v>10748.41</v>
      </c>
      <c r="M44" s="29"/>
      <c r="N44" s="14"/>
      <c r="O44" s="20"/>
    </row>
    <row r="45" spans="1:15" s="17" customFormat="1" ht="79.5" thickBot="1" x14ac:dyDescent="0.3">
      <c r="A45" s="41" t="s">
        <v>106</v>
      </c>
      <c r="B45" s="42" t="s">
        <v>131</v>
      </c>
      <c r="C45" s="20"/>
      <c r="D45" s="20"/>
      <c r="E45" s="33"/>
      <c r="F45" s="34"/>
      <c r="G45" s="29"/>
      <c r="H45" s="24"/>
      <c r="I45" s="33"/>
      <c r="J45" s="24"/>
      <c r="K45" s="29">
        <v>643.54</v>
      </c>
      <c r="L45" s="24"/>
      <c r="M45" s="29"/>
      <c r="N45" s="14"/>
      <c r="O45" s="20"/>
    </row>
    <row r="46" spans="1:15" s="17" customFormat="1" ht="79.5" thickBot="1" x14ac:dyDescent="0.3">
      <c r="A46" s="41" t="s">
        <v>107</v>
      </c>
      <c r="B46" s="42" t="s">
        <v>108</v>
      </c>
      <c r="C46" s="20"/>
      <c r="D46" s="20"/>
      <c r="E46" s="33"/>
      <c r="F46" s="34"/>
      <c r="G46" s="29"/>
      <c r="H46" s="24"/>
      <c r="I46" s="33"/>
      <c r="J46" s="24"/>
      <c r="K46" s="29">
        <v>1111.1600000000001</v>
      </c>
      <c r="L46" s="24"/>
      <c r="M46" s="29"/>
      <c r="N46" s="14"/>
      <c r="O46" s="20"/>
    </row>
    <row r="47" spans="1:15" s="40" customFormat="1" ht="79.5" thickBot="1" x14ac:dyDescent="0.3">
      <c r="A47" s="38" t="s">
        <v>109</v>
      </c>
      <c r="B47" s="39" t="s">
        <v>110</v>
      </c>
      <c r="C47" s="20"/>
      <c r="D47" s="19"/>
      <c r="E47" s="31"/>
      <c r="F47" s="32"/>
      <c r="G47" s="29"/>
      <c r="H47" s="14"/>
      <c r="I47" s="33"/>
      <c r="J47" s="14"/>
      <c r="K47" s="29"/>
      <c r="L47" s="14"/>
      <c r="M47" s="29"/>
      <c r="N47" s="14"/>
      <c r="O47" s="19"/>
    </row>
    <row r="48" spans="1:15" s="17" customFormat="1" ht="48" thickBot="1" x14ac:dyDescent="0.3">
      <c r="A48" s="41" t="s">
        <v>111</v>
      </c>
      <c r="B48" s="42" t="s">
        <v>112</v>
      </c>
      <c r="C48" s="20"/>
      <c r="D48" s="20"/>
      <c r="E48" s="33"/>
      <c r="F48" s="34"/>
      <c r="G48" s="29"/>
      <c r="H48" s="24"/>
      <c r="I48" s="33"/>
      <c r="J48" s="24"/>
      <c r="K48" s="29">
        <v>24959.48</v>
      </c>
      <c r="L48" s="51">
        <v>22197</v>
      </c>
      <c r="M48" s="29"/>
      <c r="N48" s="14"/>
      <c r="O48" s="20"/>
    </row>
    <row r="49" spans="1:15" s="17" customFormat="1" ht="48" thickBot="1" x14ac:dyDescent="0.3">
      <c r="A49" s="41" t="s">
        <v>113</v>
      </c>
      <c r="B49" s="42" t="s">
        <v>114</v>
      </c>
      <c r="C49" s="20"/>
      <c r="D49" s="20"/>
      <c r="E49" s="33"/>
      <c r="F49" s="34"/>
      <c r="G49" s="29"/>
      <c r="H49" s="24"/>
      <c r="I49" s="33"/>
      <c r="J49" s="24"/>
      <c r="K49" s="29">
        <v>20000</v>
      </c>
      <c r="L49" s="24"/>
      <c r="M49" s="29"/>
      <c r="N49" s="14"/>
      <c r="O49" s="20"/>
    </row>
    <row r="50" spans="1:15" s="17" customFormat="1" ht="95.25" thickBot="1" x14ac:dyDescent="0.3">
      <c r="A50" s="41" t="s">
        <v>115</v>
      </c>
      <c r="B50" s="42" t="s">
        <v>116</v>
      </c>
      <c r="C50" s="20"/>
      <c r="D50" s="20"/>
      <c r="E50" s="33"/>
      <c r="F50" s="34"/>
      <c r="G50" s="29"/>
      <c r="H50" s="24"/>
      <c r="I50" s="33"/>
      <c r="J50" s="24"/>
      <c r="K50" s="29"/>
      <c r="L50" s="24"/>
      <c r="M50" s="29"/>
      <c r="N50" s="14"/>
      <c r="O50" s="20"/>
    </row>
    <row r="51" spans="1:15" s="17" customFormat="1" ht="205.5" thickBot="1" x14ac:dyDescent="0.3">
      <c r="A51" s="41" t="s">
        <v>117</v>
      </c>
      <c r="B51" s="42" t="s">
        <v>118</v>
      </c>
      <c r="C51" s="20"/>
      <c r="D51" s="20"/>
      <c r="E51" s="33">
        <v>18000</v>
      </c>
      <c r="F51" s="34">
        <v>30401</v>
      </c>
      <c r="G51" s="29"/>
      <c r="H51" s="24"/>
      <c r="I51" s="33"/>
      <c r="J51" s="24"/>
      <c r="K51" s="29"/>
      <c r="L51" s="24"/>
      <c r="M51" s="29"/>
      <c r="N51" s="14"/>
      <c r="O51" s="20"/>
    </row>
    <row r="52" spans="1:15" s="17" customFormat="1" ht="48" thickBot="1" x14ac:dyDescent="0.3">
      <c r="A52" s="41" t="s">
        <v>119</v>
      </c>
      <c r="B52" s="42" t="s">
        <v>120</v>
      </c>
      <c r="C52" s="20"/>
      <c r="D52" s="20"/>
      <c r="E52" s="33"/>
      <c r="F52" s="34"/>
      <c r="G52" s="29"/>
      <c r="H52" s="24"/>
      <c r="I52" s="33"/>
      <c r="J52" s="24">
        <v>23000</v>
      </c>
      <c r="K52" s="29"/>
      <c r="L52" s="24"/>
      <c r="M52" s="29"/>
      <c r="N52" s="14"/>
      <c r="O52" s="20"/>
    </row>
    <row r="53" spans="1:15" s="37" customFormat="1" ht="32.25" thickBot="1" x14ac:dyDescent="0.3">
      <c r="A53" s="45" t="s">
        <v>14</v>
      </c>
      <c r="B53" s="46"/>
      <c r="C53" s="20"/>
      <c r="D53" s="18"/>
      <c r="E53" s="29">
        <f>E28+E51</f>
        <v>105930</v>
      </c>
      <c r="F53" s="30">
        <v>30401</v>
      </c>
      <c r="G53" s="29">
        <f>SUM(G8:G52)</f>
        <v>56359.289999999994</v>
      </c>
      <c r="H53" s="30">
        <f>SUM(H8:H52)</f>
        <v>29755</v>
      </c>
      <c r="I53" s="29">
        <f>SUM(I9:I52)</f>
        <v>119469.04</v>
      </c>
      <c r="J53" s="30">
        <f>SUM(J8:J52)</f>
        <v>108000</v>
      </c>
      <c r="K53" s="29">
        <v>71011</v>
      </c>
      <c r="L53" s="30">
        <f t="shared" ref="L53" si="0">SUM(L10:L52)</f>
        <v>32945.410000000003</v>
      </c>
      <c r="M53" s="29">
        <f>SUM(M24:M52)</f>
        <v>34025</v>
      </c>
      <c r="N53" s="30">
        <f>SUM(N8:N52)</f>
        <v>41834</v>
      </c>
      <c r="O53" s="18"/>
    </row>
    <row r="54" spans="1:15" s="49" customFormat="1" ht="51.75" customHeight="1" thickBot="1" x14ac:dyDescent="0.3">
      <c r="A54" s="47" t="s">
        <v>44</v>
      </c>
      <c r="B54" s="48"/>
      <c r="C54" s="20"/>
      <c r="D54" s="20"/>
      <c r="E54" s="29">
        <v>21980</v>
      </c>
      <c r="F54" s="15">
        <v>20745</v>
      </c>
      <c r="G54" s="29">
        <v>43389</v>
      </c>
      <c r="H54" s="15">
        <v>29357</v>
      </c>
      <c r="I54" s="29"/>
      <c r="J54" s="15">
        <v>37000</v>
      </c>
      <c r="K54" s="29">
        <v>19923.95</v>
      </c>
      <c r="L54" s="30">
        <v>22470.52</v>
      </c>
      <c r="M54" s="29">
        <f>21212</f>
        <v>21212</v>
      </c>
      <c r="N54" s="55">
        <f>26442+843</f>
        <v>27285</v>
      </c>
      <c r="O54" s="20"/>
    </row>
    <row r="55" spans="1:15" s="49" customFormat="1" ht="50.25" customHeight="1" thickBot="1" x14ac:dyDescent="0.3">
      <c r="A55" s="47" t="s">
        <v>45</v>
      </c>
      <c r="B55" s="48" t="s">
        <v>53</v>
      </c>
      <c r="C55" s="20"/>
      <c r="D55" s="20"/>
      <c r="E55" s="29">
        <v>1303</v>
      </c>
      <c r="F55" s="15">
        <v>12428</v>
      </c>
      <c r="G55" s="29"/>
      <c r="H55" s="57">
        <v>37197</v>
      </c>
      <c r="I55" s="29">
        <v>1643.9</v>
      </c>
      <c r="J55" s="15">
        <v>13878</v>
      </c>
      <c r="K55" s="29">
        <v>2405.6799999999998</v>
      </c>
      <c r="L55" s="30">
        <v>4483</v>
      </c>
      <c r="M55" s="29">
        <v>4398</v>
      </c>
      <c r="N55" s="55">
        <v>4466</v>
      </c>
      <c r="O55" s="20"/>
    </row>
    <row r="56" spans="1:15" s="49" customFormat="1" ht="16.5" thickBot="1" x14ac:dyDescent="0.3">
      <c r="A56" s="41" t="s">
        <v>46</v>
      </c>
      <c r="B56" s="42" t="s">
        <v>21</v>
      </c>
      <c r="C56" s="20"/>
      <c r="D56" s="20"/>
      <c r="E56" s="33"/>
      <c r="F56" s="34"/>
      <c r="G56" s="29"/>
      <c r="H56" s="21"/>
      <c r="I56" s="29"/>
      <c r="J56" s="21"/>
      <c r="K56" s="29"/>
      <c r="L56" s="21"/>
      <c r="M56" s="29"/>
      <c r="N56" s="15"/>
      <c r="O56" s="20"/>
    </row>
    <row r="57" spans="1:15" s="17" customFormat="1" ht="32.25" thickBot="1" x14ac:dyDescent="0.3">
      <c r="A57" s="45" t="s">
        <v>22</v>
      </c>
      <c r="B57" s="46"/>
      <c r="C57" s="20"/>
      <c r="D57" s="18"/>
      <c r="E57" s="29">
        <f>SUM(E53:E55)</f>
        <v>129213</v>
      </c>
      <c r="F57" s="30">
        <v>159624</v>
      </c>
      <c r="G57" s="29">
        <f>SUM(G53:G56)</f>
        <v>99748.29</v>
      </c>
      <c r="H57" s="15">
        <f>SUM(H53:H56)</f>
        <v>96309</v>
      </c>
      <c r="I57" s="29">
        <f>SUM(I53:I56)</f>
        <v>121112.93999999999</v>
      </c>
      <c r="J57" s="15">
        <f>SUM(J53:J56)</f>
        <v>158878</v>
      </c>
      <c r="K57" s="29">
        <v>93341</v>
      </c>
      <c r="L57" s="15">
        <f>SUM(L53:L56)</f>
        <v>59898.930000000008</v>
      </c>
      <c r="M57" s="29">
        <f>SUM(M53:M56)</f>
        <v>59635</v>
      </c>
      <c r="N57" s="15">
        <f>SUM(N53:N56)</f>
        <v>73585</v>
      </c>
      <c r="O57" s="18"/>
    </row>
    <row r="58" spans="1:15" s="49" customFormat="1" ht="32.25" thickBot="1" x14ac:dyDescent="0.3">
      <c r="A58" s="48" t="s">
        <v>23</v>
      </c>
      <c r="B58" s="50"/>
      <c r="C58" s="20"/>
      <c r="D58" s="20"/>
      <c r="E58" s="33">
        <f>E57*7%</f>
        <v>9044.9100000000017</v>
      </c>
      <c r="F58" s="34">
        <v>10376</v>
      </c>
      <c r="G58" s="29">
        <f>G57*7%</f>
        <v>6982.3802999999998</v>
      </c>
      <c r="H58" s="56">
        <v>7414</v>
      </c>
      <c r="I58" s="29">
        <v>8477.93</v>
      </c>
      <c r="J58" s="15">
        <v>11122</v>
      </c>
      <c r="K58" s="29">
        <v>6542</v>
      </c>
      <c r="L58" s="15">
        <v>9158.8785046728972</v>
      </c>
      <c r="M58" s="29">
        <v>1948</v>
      </c>
      <c r="N58" s="55">
        <v>4949</v>
      </c>
      <c r="O58" s="20"/>
    </row>
    <row r="59" spans="1:15" s="17" customFormat="1" ht="32.25" thickBot="1" x14ac:dyDescent="0.3">
      <c r="A59" s="45" t="s">
        <v>24</v>
      </c>
      <c r="B59" s="46"/>
      <c r="C59" s="20"/>
      <c r="D59" s="18"/>
      <c r="E59" s="29">
        <f>SUM(E57:E58)</f>
        <v>138257.91</v>
      </c>
      <c r="F59" s="30">
        <f t="shared" ref="F59" si="1">SUM(F57:F58)</f>
        <v>170000</v>
      </c>
      <c r="G59" s="29">
        <f t="shared" ref="G59:H59" si="2">SUM(G57:G58)</f>
        <v>106730.6703</v>
      </c>
      <c r="H59" s="30">
        <f t="shared" si="2"/>
        <v>103723</v>
      </c>
      <c r="I59" s="29">
        <f>SUM(I57:I58)</f>
        <v>129590.87</v>
      </c>
      <c r="J59" s="30">
        <f>SUM(J57:J58)</f>
        <v>170000</v>
      </c>
      <c r="K59" s="29">
        <v>99882.79</v>
      </c>
      <c r="L59" s="30">
        <f>SUM(L57:L58)</f>
        <v>69057.80850467291</v>
      </c>
      <c r="M59" s="29">
        <f>SUM(M57:M58)</f>
        <v>61583</v>
      </c>
      <c r="N59" s="15">
        <f>SUM(N57:N58)</f>
        <v>78534</v>
      </c>
      <c r="O59" s="18"/>
    </row>
    <row r="65" ht="25.5" customHeight="1" x14ac:dyDescent="0.25"/>
  </sheetData>
  <mergeCells count="1">
    <mergeCell ref="E6:N6"/>
  </mergeCells>
  <pageMargins left="0.25" right="0.25" top="0.75" bottom="0.75" header="0.3" footer="0.3"/>
  <pageSetup scale="43" fitToHeight="0" orientation="portrait" r:id="rId1"/>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
  <sheetViews>
    <sheetView workbookViewId="0">
      <selection activeCell="K12" sqref="K12"/>
    </sheetView>
  </sheetViews>
  <sheetFormatPr defaultColWidth="8.85546875" defaultRowHeight="15" x14ac:dyDescent="0.25"/>
  <cols>
    <col min="1" max="1" width="15.42578125" customWidth="1"/>
    <col min="2" max="9" width="8.85546875" customWidth="1"/>
    <col min="14" max="14" width="9.85546875" bestFit="1" customWidth="1"/>
  </cols>
  <sheetData>
    <row r="1" spans="1:25" ht="15.75" x14ac:dyDescent="0.25">
      <c r="A1" s="1" t="s">
        <v>47</v>
      </c>
      <c r="B1" s="1"/>
      <c r="C1" s="1"/>
      <c r="D1" s="1"/>
    </row>
    <row r="2" spans="1:25" x14ac:dyDescent="0.25">
      <c r="A2" s="5"/>
      <c r="B2" s="5"/>
      <c r="C2" s="5"/>
      <c r="D2" s="5"/>
    </row>
    <row r="3" spans="1:25" x14ac:dyDescent="0.25">
      <c r="A3" s="5" t="s">
        <v>43</v>
      </c>
      <c r="B3" s="5"/>
      <c r="C3" s="5"/>
      <c r="D3" s="5"/>
    </row>
    <row r="4" spans="1:25" ht="15.75" thickBot="1" x14ac:dyDescent="0.3"/>
    <row r="5" spans="1:25" ht="48" customHeight="1" thickBot="1" x14ac:dyDescent="0.3">
      <c r="A5" s="61" t="s">
        <v>27</v>
      </c>
      <c r="B5" s="59" t="s">
        <v>50</v>
      </c>
      <c r="C5" s="60"/>
      <c r="D5" s="59" t="s">
        <v>51</v>
      </c>
      <c r="E5" s="60"/>
      <c r="F5" s="59" t="s">
        <v>129</v>
      </c>
      <c r="G5" s="60"/>
      <c r="H5" s="59" t="s">
        <v>130</v>
      </c>
      <c r="I5" s="60"/>
      <c r="J5" s="59" t="s">
        <v>134</v>
      </c>
      <c r="K5" s="60"/>
      <c r="L5" s="59" t="s">
        <v>135</v>
      </c>
      <c r="M5" s="60"/>
      <c r="N5" s="59" t="s">
        <v>136</v>
      </c>
      <c r="O5" s="60"/>
      <c r="P5" s="59" t="s">
        <v>137</v>
      </c>
      <c r="Q5" s="60"/>
      <c r="R5" s="59" t="s">
        <v>138</v>
      </c>
      <c r="S5" s="60"/>
      <c r="T5" s="59" t="s">
        <v>141</v>
      </c>
      <c r="U5" s="60"/>
      <c r="V5" s="4" t="s">
        <v>40</v>
      </c>
      <c r="W5" s="4" t="s">
        <v>42</v>
      </c>
      <c r="X5" s="61" t="s">
        <v>41</v>
      </c>
    </row>
    <row r="6" spans="1:25" ht="26.25" thickBot="1" x14ac:dyDescent="0.3">
      <c r="A6" s="62"/>
      <c r="B6" s="2" t="s">
        <v>29</v>
      </c>
      <c r="C6" s="2" t="s">
        <v>30</v>
      </c>
      <c r="D6" s="2" t="s">
        <v>29</v>
      </c>
      <c r="E6" s="2" t="s">
        <v>30</v>
      </c>
      <c r="F6" s="2" t="s">
        <v>29</v>
      </c>
      <c r="G6" s="2" t="s">
        <v>30</v>
      </c>
      <c r="H6" s="2" t="s">
        <v>29</v>
      </c>
      <c r="I6" s="2" t="s">
        <v>30</v>
      </c>
      <c r="J6" s="2" t="s">
        <v>29</v>
      </c>
      <c r="K6" s="2" t="s">
        <v>30</v>
      </c>
      <c r="L6" s="2" t="s">
        <v>29</v>
      </c>
      <c r="M6" s="2" t="s">
        <v>30</v>
      </c>
      <c r="N6" s="2" t="s">
        <v>29</v>
      </c>
      <c r="O6" s="2" t="s">
        <v>30</v>
      </c>
      <c r="P6" s="2" t="s">
        <v>29</v>
      </c>
      <c r="Q6" s="2" t="s">
        <v>30</v>
      </c>
      <c r="R6" s="2" t="s">
        <v>29</v>
      </c>
      <c r="S6" s="2" t="s">
        <v>30</v>
      </c>
      <c r="T6" s="2" t="s">
        <v>29</v>
      </c>
      <c r="U6" s="2" t="s">
        <v>30</v>
      </c>
      <c r="V6" s="2"/>
      <c r="W6" s="2"/>
      <c r="X6" s="62"/>
    </row>
    <row r="7" spans="1:25" ht="26.25" thickBot="1" x14ac:dyDescent="0.3">
      <c r="A7" s="3" t="s">
        <v>31</v>
      </c>
      <c r="B7" s="6">
        <v>22115</v>
      </c>
      <c r="C7" s="6"/>
      <c r="D7" s="6">
        <v>28840</v>
      </c>
      <c r="E7" s="6"/>
      <c r="F7" s="6">
        <v>21212</v>
      </c>
      <c r="G7" s="6"/>
      <c r="H7" s="52">
        <v>26442</v>
      </c>
      <c r="I7" s="6"/>
      <c r="J7" s="6">
        <f>2020.9+1.8+76.55+39194.61+19.06+1448.52+439.18</f>
        <v>43200.619999999995</v>
      </c>
      <c r="K7" s="6"/>
      <c r="L7" s="6">
        <v>16000</v>
      </c>
      <c r="M7" s="6"/>
      <c r="N7" s="6">
        <v>19924</v>
      </c>
      <c r="O7" s="6"/>
      <c r="P7" s="52">
        <v>22470.52</v>
      </c>
      <c r="Q7" s="6"/>
      <c r="R7" s="6">
        <v>21980.27</v>
      </c>
      <c r="S7" s="6"/>
      <c r="T7" s="6">
        <v>13281</v>
      </c>
      <c r="U7" s="6"/>
      <c r="V7" s="6">
        <f>SUM(B7:U7)</f>
        <v>235465.40999999997</v>
      </c>
      <c r="W7" s="6">
        <f>C7+E7+G7+I7+K7+M7+O7+Q7+S7+U7</f>
        <v>0</v>
      </c>
      <c r="X7" s="6">
        <f>V7+W7</f>
        <v>235465.40999999997</v>
      </c>
      <c r="Y7" s="54"/>
    </row>
    <row r="8" spans="1:25" ht="39" thickBot="1" x14ac:dyDescent="0.3">
      <c r="A8" s="3" t="s">
        <v>32</v>
      </c>
      <c r="B8" s="6"/>
      <c r="C8" s="6"/>
      <c r="D8" s="16"/>
      <c r="E8" s="6"/>
      <c r="F8" s="6">
        <v>15833</v>
      </c>
      <c r="G8" s="6"/>
      <c r="H8" s="52">
        <v>9992</v>
      </c>
      <c r="I8" s="6"/>
      <c r="J8" s="6">
        <f>416.25+245.91+207.55-297-0.12</f>
        <v>572.59</v>
      </c>
      <c r="K8" s="6"/>
      <c r="L8" s="6"/>
      <c r="M8" s="6"/>
      <c r="N8" s="6"/>
      <c r="O8" s="6"/>
      <c r="P8" s="52"/>
      <c r="Q8" s="6"/>
      <c r="R8" s="6">
        <v>105930.38</v>
      </c>
      <c r="S8" s="6"/>
      <c r="T8" s="6">
        <v>30401</v>
      </c>
      <c r="U8" s="6"/>
      <c r="V8" s="6">
        <f t="shared" ref="V8:V13" si="0">SUM(B8:U8)</f>
        <v>162728.97</v>
      </c>
      <c r="W8" s="6">
        <f t="shared" ref="W8:W15" si="1">C8+E8+G8+I8+K8+M8+O8+Q8+S8+U8</f>
        <v>0</v>
      </c>
      <c r="X8" s="6">
        <f t="shared" ref="X8:X13" si="2">V8+W8</f>
        <v>162728.97</v>
      </c>
    </row>
    <row r="9" spans="1:25" ht="64.5" thickBot="1" x14ac:dyDescent="0.3">
      <c r="A9" s="3" t="s">
        <v>33</v>
      </c>
      <c r="B9" s="6"/>
      <c r="C9" s="6"/>
      <c r="D9" s="6"/>
      <c r="E9" s="6"/>
      <c r="F9" s="6">
        <v>11459</v>
      </c>
      <c r="G9" s="6"/>
      <c r="H9" s="52">
        <v>9275</v>
      </c>
      <c r="I9" s="6"/>
      <c r="J9" s="6">
        <f>2651.68</f>
        <v>2651.68</v>
      </c>
      <c r="K9" s="6"/>
      <c r="L9" s="6"/>
      <c r="M9" s="6"/>
      <c r="N9" s="6"/>
      <c r="O9" s="6"/>
      <c r="P9" s="52">
        <v>2046.36</v>
      </c>
      <c r="Q9" s="6"/>
      <c r="R9" s="6"/>
      <c r="S9" s="6"/>
      <c r="T9" s="6">
        <v>457</v>
      </c>
      <c r="U9" s="6"/>
      <c r="V9" s="6">
        <f t="shared" si="0"/>
        <v>25889.040000000001</v>
      </c>
      <c r="W9" s="6">
        <f t="shared" si="1"/>
        <v>0</v>
      </c>
      <c r="X9" s="6">
        <f t="shared" si="2"/>
        <v>25889.040000000001</v>
      </c>
    </row>
    <row r="10" spans="1:25" ht="26.25" thickBot="1" x14ac:dyDescent="0.3">
      <c r="A10" s="3" t="s">
        <v>34</v>
      </c>
      <c r="B10" s="6">
        <v>21329</v>
      </c>
      <c r="C10" s="6"/>
      <c r="D10" s="6">
        <v>2037</v>
      </c>
      <c r="E10" s="6"/>
      <c r="F10" s="6"/>
      <c r="G10" s="6"/>
      <c r="H10" s="6"/>
      <c r="I10" s="6"/>
      <c r="J10" s="6">
        <f>5.79+71.66+24840.34-19.34-0.06+7.87+6.08</f>
        <v>24912.34</v>
      </c>
      <c r="K10" s="6"/>
      <c r="L10" s="6">
        <v>18255</v>
      </c>
      <c r="M10" s="6"/>
      <c r="N10" s="6">
        <v>26052</v>
      </c>
      <c r="O10" s="6"/>
      <c r="P10" s="52">
        <v>11528.56</v>
      </c>
      <c r="Q10" s="6"/>
      <c r="R10" s="6">
        <v>910</v>
      </c>
      <c r="S10" s="6"/>
      <c r="T10" s="6">
        <v>21</v>
      </c>
      <c r="U10" s="6"/>
      <c r="V10" s="6">
        <f t="shared" si="0"/>
        <v>105044.9</v>
      </c>
      <c r="W10" s="6">
        <f t="shared" si="1"/>
        <v>0</v>
      </c>
      <c r="X10" s="6">
        <f t="shared" si="2"/>
        <v>105044.9</v>
      </c>
    </row>
    <row r="11" spans="1:25" ht="15.75" thickBot="1" x14ac:dyDescent="0.3">
      <c r="A11" s="3" t="s">
        <v>35</v>
      </c>
      <c r="B11" s="6">
        <v>2858</v>
      </c>
      <c r="C11" s="6"/>
      <c r="D11" s="6">
        <v>6189</v>
      </c>
      <c r="E11" s="6"/>
      <c r="F11" s="6">
        <v>6733</v>
      </c>
      <c r="G11" s="6"/>
      <c r="H11" s="52">
        <v>8683</v>
      </c>
      <c r="I11" s="6"/>
      <c r="J11" s="6">
        <f>1068.84+950.81+23.32+600.19+229.35+11.95</f>
        <v>2884.4599999999996</v>
      </c>
      <c r="K11" s="6"/>
      <c r="L11" s="6"/>
      <c r="M11" s="6"/>
      <c r="N11" s="6"/>
      <c r="O11" s="6"/>
      <c r="P11" s="52">
        <v>14562.58</v>
      </c>
      <c r="Q11" s="6"/>
      <c r="R11" s="6">
        <v>182.91</v>
      </c>
      <c r="S11" s="6"/>
      <c r="T11" s="6">
        <v>7443</v>
      </c>
      <c r="U11" s="6"/>
      <c r="V11" s="6">
        <f t="shared" si="0"/>
        <v>49535.950000000004</v>
      </c>
      <c r="W11" s="6">
        <f t="shared" si="1"/>
        <v>0</v>
      </c>
      <c r="X11" s="6">
        <f t="shared" si="2"/>
        <v>49535.950000000004</v>
      </c>
    </row>
    <row r="12" spans="1:25" ht="39" thickBot="1" x14ac:dyDescent="0.3">
      <c r="A12" s="3" t="s">
        <v>36</v>
      </c>
      <c r="B12" s="6">
        <v>71817</v>
      </c>
      <c r="C12" s="6"/>
      <c r="D12" s="6">
        <v>112134</v>
      </c>
      <c r="E12" s="6"/>
      <c r="F12" s="6"/>
      <c r="G12" s="6"/>
      <c r="H12" s="52">
        <v>13884</v>
      </c>
      <c r="I12" s="6"/>
      <c r="J12" s="6">
        <f>8388.64+4186.39</f>
        <v>12575.029999999999</v>
      </c>
      <c r="K12" s="6"/>
      <c r="L12" s="6"/>
      <c r="M12" s="6"/>
      <c r="N12" s="6">
        <v>44959</v>
      </c>
      <c r="O12" s="6"/>
      <c r="P12" s="52">
        <v>6193</v>
      </c>
      <c r="Q12" s="6"/>
      <c r="R12" s="6"/>
      <c r="S12" s="6"/>
      <c r="T12" s="6"/>
      <c r="U12" s="6"/>
      <c r="V12" s="6">
        <f t="shared" si="0"/>
        <v>261562.03</v>
      </c>
      <c r="W12" s="6">
        <f t="shared" si="1"/>
        <v>0</v>
      </c>
      <c r="X12" s="6">
        <f t="shared" si="2"/>
        <v>261562.03</v>
      </c>
    </row>
    <row r="13" spans="1:25" ht="39" thickBot="1" x14ac:dyDescent="0.3">
      <c r="A13" s="3" t="s">
        <v>37</v>
      </c>
      <c r="B13" s="6">
        <v>2995</v>
      </c>
      <c r="C13" s="6"/>
      <c r="D13" s="6">
        <v>25000</v>
      </c>
      <c r="E13" s="6"/>
      <c r="F13" s="6">
        <v>4398</v>
      </c>
      <c r="G13" s="6"/>
      <c r="H13" s="6">
        <f>4466+843</f>
        <v>5309</v>
      </c>
      <c r="I13" s="6"/>
      <c r="J13" s="6">
        <f>13828-862.52-13.96</f>
        <v>12951.52</v>
      </c>
      <c r="K13" s="6"/>
      <c r="L13" s="6">
        <v>24106</v>
      </c>
      <c r="M13" s="6"/>
      <c r="N13" s="6">
        <v>2406</v>
      </c>
      <c r="O13" s="6"/>
      <c r="P13" s="52">
        <v>3097.67</v>
      </c>
      <c r="Q13" s="6"/>
      <c r="R13" s="6">
        <v>209.92</v>
      </c>
      <c r="S13" s="6"/>
      <c r="T13" s="6">
        <v>1810</v>
      </c>
      <c r="U13" s="6"/>
      <c r="V13" s="6">
        <f t="shared" si="0"/>
        <v>82283.11</v>
      </c>
      <c r="W13" s="6">
        <f t="shared" si="1"/>
        <v>0</v>
      </c>
      <c r="X13" s="6">
        <f t="shared" si="2"/>
        <v>82283.11</v>
      </c>
    </row>
    <row r="14" spans="1:25" s="23" customFormat="1" ht="26.25" thickBot="1" x14ac:dyDescent="0.3">
      <c r="A14" s="22" t="s">
        <v>38</v>
      </c>
      <c r="B14" s="36">
        <v>121113</v>
      </c>
      <c r="C14" s="36">
        <f t="shared" ref="C14:G14" si="3">SUM(C7:C13)</f>
        <v>0</v>
      </c>
      <c r="D14" s="36">
        <v>174200</v>
      </c>
      <c r="E14" s="36"/>
      <c r="F14" s="36">
        <f t="shared" si="3"/>
        <v>59635</v>
      </c>
      <c r="G14" s="36">
        <f t="shared" si="3"/>
        <v>0</v>
      </c>
      <c r="H14" s="36">
        <f>SUM(H7:H13)</f>
        <v>73585</v>
      </c>
      <c r="I14" s="36">
        <f t="shared" ref="I14:U14" si="4">SUM(I7:I13)</f>
        <v>0</v>
      </c>
      <c r="J14" s="36">
        <f>SUM(J7:J13)</f>
        <v>99748.24</v>
      </c>
      <c r="K14" s="36">
        <f t="shared" si="4"/>
        <v>0</v>
      </c>
      <c r="L14" s="36">
        <f t="shared" si="4"/>
        <v>58361</v>
      </c>
      <c r="M14" s="36">
        <f t="shared" si="4"/>
        <v>0</v>
      </c>
      <c r="N14" s="36">
        <v>93341</v>
      </c>
      <c r="O14" s="36">
        <f t="shared" si="4"/>
        <v>0</v>
      </c>
      <c r="P14" s="36">
        <f t="shared" si="4"/>
        <v>59898.69</v>
      </c>
      <c r="Q14" s="36">
        <f t="shared" si="4"/>
        <v>0</v>
      </c>
      <c r="R14" s="36">
        <f t="shared" si="4"/>
        <v>129213.48000000001</v>
      </c>
      <c r="S14" s="36">
        <f t="shared" si="4"/>
        <v>0</v>
      </c>
      <c r="T14" s="36">
        <v>53413</v>
      </c>
      <c r="U14" s="36">
        <f t="shared" si="4"/>
        <v>0</v>
      </c>
      <c r="V14" s="36">
        <f>SUM(V7:V13)</f>
        <v>922509.40999999992</v>
      </c>
      <c r="W14" s="36">
        <f t="shared" si="1"/>
        <v>0</v>
      </c>
      <c r="X14" s="36">
        <f>V14+W14</f>
        <v>922509.40999999992</v>
      </c>
    </row>
    <row r="15" spans="1:25" ht="39" thickBot="1" x14ac:dyDescent="0.3">
      <c r="A15" s="3" t="s">
        <v>39</v>
      </c>
      <c r="B15" s="6">
        <v>8478</v>
      </c>
      <c r="C15" s="6"/>
      <c r="D15" s="6">
        <v>17991</v>
      </c>
      <c r="E15" s="6"/>
      <c r="F15" s="6">
        <v>1948</v>
      </c>
      <c r="G15" s="6"/>
      <c r="H15" s="6">
        <v>4949</v>
      </c>
      <c r="I15" s="6"/>
      <c r="J15" s="6">
        <f>J14*7%</f>
        <v>6982.3768000000009</v>
      </c>
      <c r="K15" s="6"/>
      <c r="L15" s="6"/>
      <c r="M15" s="6"/>
      <c r="N15" s="6">
        <v>6542</v>
      </c>
      <c r="O15" s="6"/>
      <c r="P15" s="52">
        <v>9158.8785046728972</v>
      </c>
      <c r="Q15" s="6"/>
      <c r="R15" s="6">
        <f>R14*7%</f>
        <v>9044.9436000000023</v>
      </c>
      <c r="S15" s="6"/>
      <c r="T15" s="6">
        <v>10376</v>
      </c>
      <c r="U15" s="6"/>
      <c r="V15" s="6">
        <f>SUM(B15:U15)</f>
        <v>75470.1989046729</v>
      </c>
      <c r="W15" s="6">
        <f t="shared" si="1"/>
        <v>0</v>
      </c>
      <c r="X15" s="6">
        <f>V15+W15</f>
        <v>75470.1989046729</v>
      </c>
    </row>
    <row r="16" spans="1:25" s="23" customFormat="1" ht="15.75" thickBot="1" x14ac:dyDescent="0.3">
      <c r="A16" s="22" t="s">
        <v>28</v>
      </c>
      <c r="B16" s="36">
        <f>B14+B15</f>
        <v>129591</v>
      </c>
      <c r="C16" s="36">
        <f t="shared" ref="C16:X16" si="5">C14+C15</f>
        <v>0</v>
      </c>
      <c r="D16" s="36">
        <f t="shared" si="5"/>
        <v>192191</v>
      </c>
      <c r="E16" s="36">
        <f t="shared" si="5"/>
        <v>0</v>
      </c>
      <c r="F16" s="36">
        <f t="shared" si="5"/>
        <v>61583</v>
      </c>
      <c r="G16" s="36">
        <f t="shared" si="5"/>
        <v>0</v>
      </c>
      <c r="H16" s="36">
        <f t="shared" si="5"/>
        <v>78534</v>
      </c>
      <c r="I16" s="36">
        <f t="shared" si="5"/>
        <v>0</v>
      </c>
      <c r="J16" s="36">
        <f t="shared" si="5"/>
        <v>106730.6168</v>
      </c>
      <c r="K16" s="36">
        <f t="shared" si="5"/>
        <v>0</v>
      </c>
      <c r="L16" s="36">
        <f t="shared" si="5"/>
        <v>58361</v>
      </c>
      <c r="M16" s="36">
        <f t="shared" si="5"/>
        <v>0</v>
      </c>
      <c r="N16" s="36">
        <f t="shared" si="5"/>
        <v>99883</v>
      </c>
      <c r="O16" s="36">
        <f t="shared" si="5"/>
        <v>0</v>
      </c>
      <c r="P16" s="36">
        <f t="shared" si="5"/>
        <v>69057.568504672905</v>
      </c>
      <c r="Q16" s="36">
        <f t="shared" si="5"/>
        <v>0</v>
      </c>
      <c r="R16" s="36">
        <f t="shared" si="5"/>
        <v>138258.42360000001</v>
      </c>
      <c r="S16" s="36">
        <f t="shared" si="5"/>
        <v>0</v>
      </c>
      <c r="T16" s="36">
        <f t="shared" si="5"/>
        <v>63789</v>
      </c>
      <c r="U16" s="36">
        <f t="shared" si="5"/>
        <v>0</v>
      </c>
      <c r="V16" s="36">
        <f t="shared" si="5"/>
        <v>997979.60890467279</v>
      </c>
      <c r="W16" s="36">
        <f t="shared" si="5"/>
        <v>0</v>
      </c>
      <c r="X16" s="36">
        <f t="shared" si="5"/>
        <v>997979.60890467279</v>
      </c>
    </row>
  </sheetData>
  <mergeCells count="12">
    <mergeCell ref="F5:G5"/>
    <mergeCell ref="X5:X6"/>
    <mergeCell ref="A5:A6"/>
    <mergeCell ref="B5:C5"/>
    <mergeCell ref="D5:E5"/>
    <mergeCell ref="H5:I5"/>
    <mergeCell ref="J5:K5"/>
    <mergeCell ref="L5:M5"/>
    <mergeCell ref="N5:O5"/>
    <mergeCell ref="P5:Q5"/>
    <mergeCell ref="R5:S5"/>
    <mergeCell ref="T5:U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E68D92AAA2E47A5441AE7AB85BECC" ma:contentTypeVersion="11" ma:contentTypeDescription="Create a new document." ma:contentTypeScope="" ma:versionID="1feced2b045ec496fcdcf0e0b91421ca">
  <xsd:schema xmlns:xsd="http://www.w3.org/2001/XMLSchema" xmlns:xs="http://www.w3.org/2001/XMLSchema" xmlns:p="http://schemas.microsoft.com/office/2006/metadata/properties" xmlns:ns3="78f36a82-4ef6-46e6-a3a3-0ef30e1b524a" xmlns:ns4="48ab107b-ed0f-4863-b41a-cb0e4a89179b" targetNamespace="http://schemas.microsoft.com/office/2006/metadata/properties" ma:root="true" ma:fieldsID="47aa1a02502d8ac321dca4da7a451c26" ns3:_="" ns4:_="">
    <xsd:import namespace="78f36a82-4ef6-46e6-a3a3-0ef30e1b524a"/>
    <xsd:import namespace="48ab107b-ed0f-4863-b41a-cb0e4a89179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6a82-4ef6-46e6-a3a3-0ef30e1b524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5CC1F2-54D6-4E62-903B-AEAF0FC3A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6a82-4ef6-46e6-a3a3-0ef30e1b524a"/>
    <ds:schemaRef ds:uri="48ab107b-ed0f-4863-b41a-cb0e4a891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4EA5B-892A-4B9B-B980-CD86E07C673C}">
  <ds:schemaRefs>
    <ds:schemaRef ds:uri="http://schemas.microsoft.com/office/infopath/2007/PartnerControls"/>
    <ds:schemaRef ds:uri="78f36a82-4ef6-46e6-a3a3-0ef30e1b524a"/>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48ab107b-ed0f-4863-b41a-cb0e4a89179b"/>
  </ds:schemaRefs>
</ds:datastoreItem>
</file>

<file path=customXml/itemProps3.xml><?xml version="1.0" encoding="utf-8"?>
<ds:datastoreItem xmlns:ds="http://schemas.openxmlformats.org/officeDocument/2006/customXml" ds:itemID="{30C4FCFC-49A3-48A8-AD09-34F9BBBD0E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Romain Luscher</cp:lastModifiedBy>
  <cp:lastPrinted>2019-06-07T10:02:19Z</cp:lastPrinted>
  <dcterms:created xsi:type="dcterms:W3CDTF">2017-11-15T21:17:43Z</dcterms:created>
  <dcterms:modified xsi:type="dcterms:W3CDTF">2019-12-13T04:04:43Z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0x010100062E68D92AAA2E47A5441AE7AB85BECC</vt:lpwstr>
  </property>
</Properties>
</file>