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mc:AlternateContent xmlns:mc="http://schemas.openxmlformats.org/markup-compatibility/2006">
    <mc:Choice Requires="x15">
      <x15ac:absPath xmlns:x15ac="http://schemas.microsoft.com/office/spreadsheetml/2010/11/ac" url="D:\SCF\Reporting\UNHABITAT Mambasa\Send to CAN\"/>
    </mc:Choice>
  </mc:AlternateContent>
  <xr:revisionPtr revIDLastSave="0" documentId="8_{4824126D-5CFA-4D71-9E36-8367265CC8F9}" xr6:coauthVersionLast="34" xr6:coauthVersionMax="34" xr10:uidLastSave="{00000000-0000-0000-0000-000000000000}"/>
  <bookViews>
    <workbookView xWindow="0" yWindow="300" windowWidth="8385" windowHeight="6780" firstSheet="1" activeTab="4" xr2:uid="{00000000-000D-0000-FFFF-FFFF00000000}"/>
  </bookViews>
  <sheets>
    <sheet name="Budget _Detaillé UNESCO_OS 1" sheetId="9" r:id="rId1"/>
    <sheet name="Budget _Detaillé OIM_OS 2-4-5" sheetId="10" r:id="rId2"/>
    <sheet name="Budget _Detaillé UNH_OS 3" sheetId="8" r:id="rId3"/>
    <sheet name="Budget detaille_UNDP OS 5&amp;6" sheetId="11" r:id="rId4"/>
    <sheet name="Budget FAO_OS 5" sheetId="13" r:id="rId5"/>
    <sheet name="Budget_récapitulatif consolidé" sheetId="7" r:id="rId6"/>
    <sheet name="Sheet1" sheetId="14" r:id="rId7"/>
  </sheets>
  <externalReferences>
    <externalReference r:id="rId8"/>
  </externalReferences>
  <definedNames>
    <definedName name="_xlnm._FilterDatabase" localSheetId="1" hidden="1">'Budget _Detaillé OIM_OS 2-4-5'!$A$9:$K$296</definedName>
    <definedName name="_xlnm._FilterDatabase" localSheetId="0" hidden="1">'Budget _Detaillé UNESCO_OS 1'!$B$8:$J$152</definedName>
    <definedName name="_xlnm._FilterDatabase" localSheetId="2" hidden="1">'Budget _Detaillé UNH_OS 3'!$A$9:$O$121</definedName>
    <definedName name="_xlnm._FilterDatabase" localSheetId="3" hidden="1">'Budget detaille_UNDP OS 5&amp;6'!$A$1:$S$90</definedName>
    <definedName name="_xlnm._FilterDatabase" localSheetId="4" hidden="1">'Budget FAO_OS 5'!$A$9:$S$48</definedName>
    <definedName name="categories" localSheetId="1">'Budget _Detaillé OIM_OS 2-4-5'!#REF!</definedName>
    <definedName name="categories" localSheetId="0">'Budget _Detaillé UNESCO_OS 1'!#REF!</definedName>
    <definedName name="categories" localSheetId="2">'Budget _Detaillé UNH_OS 3'!#REF!</definedName>
    <definedName name="categories">#REF!</definedName>
    <definedName name="dataModality">[1]dataRates!$B$6:$B$12</definedName>
    <definedName name="options" localSheetId="1">'Budget _Detaillé OIM_OS 2-4-5'!#REF!</definedName>
    <definedName name="options" localSheetId="0">'Budget _Detaillé UNESCO_OS 1'!#REF!</definedName>
    <definedName name="options" localSheetId="2">'Budget _Detaillé UNH_OS 3'!#REF!</definedName>
    <definedName name="options" localSheetId="5">#REF!</definedName>
    <definedName name="options">#REF!</definedName>
  </definedNames>
  <calcPr calcId="179021"/>
</workbook>
</file>

<file path=xl/calcChain.xml><?xml version="1.0" encoding="utf-8"?>
<calcChain xmlns="http://schemas.openxmlformats.org/spreadsheetml/2006/main">
  <c r="K170" i="9" l="1"/>
  <c r="K171" i="9" s="1"/>
  <c r="L167" i="9"/>
  <c r="H165" i="9"/>
  <c r="H166" i="9" s="1"/>
  <c r="H159" i="9"/>
  <c r="H158" i="9"/>
  <c r="H157" i="9"/>
  <c r="H151" i="9"/>
  <c r="H150" i="9"/>
  <c r="H149" i="9"/>
  <c r="H146" i="9"/>
  <c r="H147" i="9" s="1"/>
  <c r="H143" i="9"/>
  <c r="H142" i="9"/>
  <c r="H141" i="9"/>
  <c r="H135" i="9"/>
  <c r="H134" i="9"/>
  <c r="H133" i="9"/>
  <c r="H132" i="9"/>
  <c r="H129" i="9"/>
  <c r="H128" i="9"/>
  <c r="H127" i="9"/>
  <c r="H126" i="9"/>
  <c r="H125" i="9"/>
  <c r="H124" i="9"/>
  <c r="H123" i="9"/>
  <c r="H120" i="9"/>
  <c r="H119" i="9"/>
  <c r="H118" i="9"/>
  <c r="H117" i="9"/>
  <c r="H116" i="9"/>
  <c r="H115" i="9"/>
  <c r="H114" i="9"/>
  <c r="H113" i="9"/>
  <c r="H112" i="9"/>
  <c r="H109" i="9"/>
  <c r="H108" i="9"/>
  <c r="E108" i="9"/>
  <c r="H107" i="9"/>
  <c r="H106" i="9"/>
  <c r="H105" i="9"/>
  <c r="H104" i="9"/>
  <c r="H103" i="9"/>
  <c r="H102" i="9"/>
  <c r="H100" i="9"/>
  <c r="H99" i="9"/>
  <c r="H97" i="9"/>
  <c r="H96" i="9"/>
  <c r="H95" i="9"/>
  <c r="H94" i="9"/>
  <c r="H93" i="9"/>
  <c r="H92" i="9"/>
  <c r="H91" i="9"/>
  <c r="H90" i="9"/>
  <c r="F86" i="9"/>
  <c r="H86" i="9" s="1"/>
  <c r="H87" i="9" s="1"/>
  <c r="H84" i="9"/>
  <c r="E83" i="9"/>
  <c r="H83" i="9" s="1"/>
  <c r="H82" i="9"/>
  <c r="H81" i="9"/>
  <c r="H80" i="9"/>
  <c r="H79" i="9"/>
  <c r="H78" i="9"/>
  <c r="H75" i="9"/>
  <c r="H76" i="9" s="1"/>
  <c r="J76" i="9" s="1"/>
  <c r="H72" i="9"/>
  <c r="H73" i="9" s="1"/>
  <c r="J73" i="9" s="1"/>
  <c r="H70" i="9"/>
  <c r="F70" i="9"/>
  <c r="H69" i="9"/>
  <c r="H67" i="9"/>
  <c r="H66" i="9"/>
  <c r="H71" i="9" s="1"/>
  <c r="F66" i="9"/>
  <c r="H63" i="9"/>
  <c r="H62" i="9"/>
  <c r="H61" i="9"/>
  <c r="H60" i="9"/>
  <c r="H59" i="9"/>
  <c r="H58" i="9"/>
  <c r="H57" i="9"/>
  <c r="H54" i="9"/>
  <c r="F53" i="9"/>
  <c r="H53" i="9" s="1"/>
  <c r="H52" i="9"/>
  <c r="H49" i="9"/>
  <c r="H50" i="9" s="1"/>
  <c r="H47" i="9"/>
  <c r="H48" i="9" s="1"/>
  <c r="H46" i="9"/>
  <c r="L44" i="9"/>
  <c r="L137" i="9" s="1"/>
  <c r="L138" i="9" s="1"/>
  <c r="F43" i="9"/>
  <c r="H43" i="9" s="1"/>
  <c r="H42" i="9"/>
  <c r="H40" i="9"/>
  <c r="H37" i="9"/>
  <c r="H36" i="9"/>
  <c r="H35" i="9"/>
  <c r="H34" i="9"/>
  <c r="H33" i="9"/>
  <c r="H32" i="9"/>
  <c r="H31" i="9"/>
  <c r="H28" i="9"/>
  <c r="H27" i="9"/>
  <c r="H29" i="9" s="1"/>
  <c r="H24" i="9"/>
  <c r="H23" i="9"/>
  <c r="E23" i="9"/>
  <c r="H22" i="9"/>
  <c r="H21" i="9"/>
  <c r="H20" i="9"/>
  <c r="H19" i="9"/>
  <c r="H18" i="9"/>
  <c r="H16" i="9"/>
  <c r="H15" i="9"/>
  <c r="H14" i="9"/>
  <c r="H13" i="9"/>
  <c r="O327" i="10"/>
  <c r="P324" i="10"/>
  <c r="L323" i="10"/>
  <c r="L322" i="10"/>
  <c r="L321" i="10"/>
  <c r="L320" i="10"/>
  <c r="L319" i="10"/>
  <c r="L318" i="10"/>
  <c r="L317" i="10"/>
  <c r="P313" i="10"/>
  <c r="L312" i="10"/>
  <c r="L311" i="10"/>
  <c r="L313" i="10" s="1"/>
  <c r="P309" i="10"/>
  <c r="L308" i="10"/>
  <c r="L307" i="10"/>
  <c r="P305" i="10"/>
  <c r="L304" i="10"/>
  <c r="L305" i="10" s="1"/>
  <c r="Q305" i="10" s="1"/>
  <c r="P299" i="10"/>
  <c r="L298" i="10"/>
  <c r="L297" i="10"/>
  <c r="L296" i="10"/>
  <c r="L295" i="10"/>
  <c r="L294" i="10"/>
  <c r="P290" i="10"/>
  <c r="Q289" i="10"/>
  <c r="L289" i="10"/>
  <c r="L287" i="10"/>
  <c r="L288" i="10" s="1"/>
  <c r="N288" i="10" s="1"/>
  <c r="L284" i="10"/>
  <c r="L283" i="10"/>
  <c r="L282" i="10"/>
  <c r="L279" i="10"/>
  <c r="L278" i="10"/>
  <c r="L280" i="10" s="1"/>
  <c r="L275" i="10"/>
  <c r="L274" i="10"/>
  <c r="L273" i="10"/>
  <c r="L272" i="10"/>
  <c r="L271" i="10"/>
  <c r="L270" i="10"/>
  <c r="L269" i="10"/>
  <c r="L268" i="10"/>
  <c r="L265" i="10"/>
  <c r="L264" i="10"/>
  <c r="L263" i="10"/>
  <c r="L262" i="10"/>
  <c r="L261" i="10"/>
  <c r="L260" i="10"/>
  <c r="L259" i="10"/>
  <c r="L258" i="10"/>
  <c r="L257" i="10"/>
  <c r="L256" i="10"/>
  <c r="L255" i="10"/>
  <c r="L252" i="10"/>
  <c r="L251" i="10"/>
  <c r="L250" i="10"/>
  <c r="L249" i="10"/>
  <c r="L248" i="10"/>
  <c r="L247" i="10"/>
  <c r="L245" i="10"/>
  <c r="Q245" i="10" s="1"/>
  <c r="L244" i="10"/>
  <c r="L241" i="10"/>
  <c r="L240" i="10"/>
  <c r="L239" i="10"/>
  <c r="L238" i="10"/>
  <c r="L237" i="10"/>
  <c r="L234" i="10"/>
  <c r="L233" i="10"/>
  <c r="L232" i="10"/>
  <c r="L231" i="10"/>
  <c r="L228" i="10"/>
  <c r="L229" i="10" s="1"/>
  <c r="L224" i="10"/>
  <c r="L223" i="10"/>
  <c r="L222" i="10"/>
  <c r="L221" i="10"/>
  <c r="L220" i="10"/>
  <c r="L219" i="10"/>
  <c r="P214" i="10"/>
  <c r="Q213" i="10"/>
  <c r="L213" i="10"/>
  <c r="L212" i="10"/>
  <c r="Q212" i="10" s="1"/>
  <c r="L211" i="10"/>
  <c r="Q211" i="10" s="1"/>
  <c r="L210" i="10"/>
  <c r="Q210" i="10" s="1"/>
  <c r="L209" i="10"/>
  <c r="Q209" i="10" s="1"/>
  <c r="L208" i="10"/>
  <c r="Q208" i="10" s="1"/>
  <c r="Q207" i="10"/>
  <c r="L207" i="10"/>
  <c r="L206" i="10"/>
  <c r="Q206" i="10" s="1"/>
  <c r="Q205" i="10"/>
  <c r="L205" i="10"/>
  <c r="P203" i="10"/>
  <c r="P215" i="10" s="1"/>
  <c r="L202" i="10"/>
  <c r="Q202" i="10" s="1"/>
  <c r="Q201" i="10"/>
  <c r="L201" i="10"/>
  <c r="L200" i="10"/>
  <c r="Q200" i="10" s="1"/>
  <c r="L199" i="10"/>
  <c r="Q199" i="10" s="1"/>
  <c r="L198" i="10"/>
  <c r="Q198" i="10" s="1"/>
  <c r="L197" i="10"/>
  <c r="Q197" i="10" s="1"/>
  <c r="L196" i="10"/>
  <c r="Q196" i="10" s="1"/>
  <c r="Q195" i="10"/>
  <c r="L195" i="10"/>
  <c r="L194" i="10"/>
  <c r="Q194" i="10" s="1"/>
  <c r="Q193" i="10"/>
  <c r="L193" i="10"/>
  <c r="L189" i="10"/>
  <c r="Q189" i="10" s="1"/>
  <c r="L188" i="10"/>
  <c r="L185" i="10"/>
  <c r="L184" i="10"/>
  <c r="L183" i="10"/>
  <c r="L182" i="10"/>
  <c r="L181" i="10"/>
  <c r="L180" i="10"/>
  <c r="L179" i="10"/>
  <c r="L178" i="10"/>
  <c r="L177" i="10"/>
  <c r="L176" i="10"/>
  <c r="L173" i="10"/>
  <c r="L172" i="10"/>
  <c r="L171" i="10"/>
  <c r="L170" i="10"/>
  <c r="L169" i="10"/>
  <c r="L168" i="10"/>
  <c r="L167" i="10"/>
  <c r="L166" i="10"/>
  <c r="L165" i="10"/>
  <c r="L174" i="10" s="1"/>
  <c r="P161" i="10"/>
  <c r="L159" i="10"/>
  <c r="L160" i="10" s="1"/>
  <c r="N160" i="10" s="1"/>
  <c r="L156" i="10"/>
  <c r="L157" i="10" s="1"/>
  <c r="L153" i="10"/>
  <c r="L152" i="10"/>
  <c r="L151" i="10"/>
  <c r="L150" i="10"/>
  <c r="L149" i="10"/>
  <c r="L148" i="10"/>
  <c r="L147" i="10"/>
  <c r="L146" i="10"/>
  <c r="L145" i="10"/>
  <c r="L144" i="10"/>
  <c r="L143" i="10"/>
  <c r="L142" i="10"/>
  <c r="L139" i="10"/>
  <c r="L138" i="10"/>
  <c r="L137" i="10"/>
  <c r="L136" i="10"/>
  <c r="L135" i="10"/>
  <c r="L134" i="10"/>
  <c r="L133" i="10"/>
  <c r="L132" i="10"/>
  <c r="L129" i="10"/>
  <c r="L128" i="10"/>
  <c r="L127" i="10"/>
  <c r="L126" i="10"/>
  <c r="L125" i="10"/>
  <c r="L124" i="10"/>
  <c r="L123" i="10"/>
  <c r="L122" i="10"/>
  <c r="L121" i="10"/>
  <c r="L120" i="10"/>
  <c r="L119" i="10"/>
  <c r="L115" i="10"/>
  <c r="L114" i="10"/>
  <c r="L113" i="10"/>
  <c r="L112" i="10"/>
  <c r="L111" i="10"/>
  <c r="L110" i="10"/>
  <c r="L109" i="10"/>
  <c r="L108" i="10"/>
  <c r="L105" i="10"/>
  <c r="L104" i="10"/>
  <c r="L103" i="10"/>
  <c r="L102" i="10"/>
  <c r="L101" i="10"/>
  <c r="L100" i="10"/>
  <c r="L99" i="10"/>
  <c r="L98" i="10"/>
  <c r="L97" i="10"/>
  <c r="L96" i="10"/>
  <c r="L95" i="10"/>
  <c r="L92" i="10"/>
  <c r="L91" i="10"/>
  <c r="L90" i="10"/>
  <c r="L89" i="10"/>
  <c r="L86" i="10"/>
  <c r="L85" i="10"/>
  <c r="L84" i="10"/>
  <c r="L83" i="10"/>
  <c r="L82" i="10"/>
  <c r="L81" i="10"/>
  <c r="L80" i="10"/>
  <c r="L79" i="10"/>
  <c r="L78" i="10"/>
  <c r="L77" i="10"/>
  <c r="L76" i="10"/>
  <c r="L75" i="10"/>
  <c r="L74" i="10"/>
  <c r="L73" i="10"/>
  <c r="L70" i="10"/>
  <c r="L69" i="10"/>
  <c r="L68" i="10"/>
  <c r="L67" i="10"/>
  <c r="L66" i="10"/>
  <c r="L65" i="10"/>
  <c r="L64" i="10"/>
  <c r="L63" i="10"/>
  <c r="L62" i="10"/>
  <c r="L59" i="10"/>
  <c r="L58" i="10"/>
  <c r="L57" i="10"/>
  <c r="L56" i="10"/>
  <c r="L60" i="10" s="1"/>
  <c r="L55" i="10"/>
  <c r="L52" i="10"/>
  <c r="L51" i="10"/>
  <c r="L50" i="10"/>
  <c r="L49" i="10"/>
  <c r="L48" i="10"/>
  <c r="L47" i="10"/>
  <c r="L46" i="10"/>
  <c r="L45" i="10"/>
  <c r="L44" i="10"/>
  <c r="L43" i="10"/>
  <c r="L40" i="10"/>
  <c r="L39" i="10"/>
  <c r="L38" i="10"/>
  <c r="L37" i="10"/>
  <c r="L36" i="10"/>
  <c r="L35" i="10"/>
  <c r="L34" i="10"/>
  <c r="L33" i="10"/>
  <c r="L32" i="10"/>
  <c r="L31" i="10"/>
  <c r="L30" i="10"/>
  <c r="L27" i="10"/>
  <c r="L26" i="10"/>
  <c r="L25" i="10"/>
  <c r="L24" i="10"/>
  <c r="L23" i="10"/>
  <c r="L22" i="10"/>
  <c r="L21" i="10"/>
  <c r="L20" i="10"/>
  <c r="L19" i="10"/>
  <c r="L18" i="10"/>
  <c r="L17" i="10"/>
  <c r="L16" i="10"/>
  <c r="L71" i="10" l="1"/>
  <c r="L140" i="10"/>
  <c r="L154" i="10"/>
  <c r="Q154" i="10" s="1"/>
  <c r="L186" i="10"/>
  <c r="N186" i="10" s="1"/>
  <c r="N189" i="10"/>
  <c r="L235" i="10"/>
  <c r="L253" i="10"/>
  <c r="Q253" i="10" s="1"/>
  <c r="L276" i="10"/>
  <c r="N276" i="10" s="1"/>
  <c r="L285" i="10"/>
  <c r="H25" i="9"/>
  <c r="J25" i="9" s="1"/>
  <c r="H55" i="9"/>
  <c r="J55" i="9" s="1"/>
  <c r="H110" i="9"/>
  <c r="H130" i="9"/>
  <c r="J130" i="9" s="1"/>
  <c r="H160" i="9"/>
  <c r="L28" i="10"/>
  <c r="L161" i="10" s="1"/>
  <c r="L41" i="10"/>
  <c r="Q41" i="10" s="1"/>
  <c r="L87" i="10"/>
  <c r="L116" i="10"/>
  <c r="L130" i="10"/>
  <c r="Q130" i="10" s="1"/>
  <c r="L242" i="10"/>
  <c r="Q242" i="10" s="1"/>
  <c r="L266" i="10"/>
  <c r="L309" i="10"/>
  <c r="Q309" i="10" s="1"/>
  <c r="L324" i="10"/>
  <c r="Q324" i="10" s="1"/>
  <c r="H64" i="9"/>
  <c r="J64" i="9" s="1"/>
  <c r="H136" i="9"/>
  <c r="H144" i="9"/>
  <c r="H152" i="9"/>
  <c r="L53" i="10"/>
  <c r="N53" i="10" s="1"/>
  <c r="L93" i="10"/>
  <c r="L106" i="10"/>
  <c r="L203" i="10"/>
  <c r="N203" i="10" s="1"/>
  <c r="L225" i="10"/>
  <c r="L290" i="10" s="1"/>
  <c r="L299" i="10"/>
  <c r="P325" i="10"/>
  <c r="H38" i="9"/>
  <c r="J38" i="9" s="1"/>
  <c r="H98" i="9"/>
  <c r="J98" i="9" s="1"/>
  <c r="H121" i="9"/>
  <c r="J121" i="9" s="1"/>
  <c r="L169" i="9"/>
  <c r="H44" i="9"/>
  <c r="M44" i="9" s="1"/>
  <c r="H167" i="9"/>
  <c r="H85" i="9"/>
  <c r="J85" i="9" s="1"/>
  <c r="J16" i="9"/>
  <c r="Q71" i="10"/>
  <c r="N71" i="10"/>
  <c r="Q186" i="10"/>
  <c r="Q276" i="10"/>
  <c r="N280" i="10"/>
  <c r="Q280" i="10"/>
  <c r="Q285" i="10"/>
  <c r="N285" i="10"/>
  <c r="N28" i="10"/>
  <c r="N41" i="10"/>
  <c r="Q87" i="10"/>
  <c r="N87" i="10"/>
  <c r="Q116" i="10"/>
  <c r="N116" i="10"/>
  <c r="N130" i="10"/>
  <c r="P291" i="10"/>
  <c r="N266" i="10"/>
  <c r="Q266" i="10"/>
  <c r="Q93" i="10"/>
  <c r="N93" i="10"/>
  <c r="N106" i="10"/>
  <c r="Q106" i="10"/>
  <c r="N225" i="10"/>
  <c r="Q299" i="10"/>
  <c r="L325" i="10"/>
  <c r="Q325" i="10"/>
  <c r="Q313" i="10"/>
  <c r="N140" i="10"/>
  <c r="Q140" i="10"/>
  <c r="Q157" i="10"/>
  <c r="N157" i="10"/>
  <c r="Q235" i="10"/>
  <c r="N235" i="10"/>
  <c r="N60" i="10"/>
  <c r="Q60" i="10"/>
  <c r="Q174" i="10"/>
  <c r="N174" i="10"/>
  <c r="Q229" i="10"/>
  <c r="N229" i="10"/>
  <c r="Q203" i="10"/>
  <c r="N245" i="10"/>
  <c r="L214" i="10"/>
  <c r="H91" i="11"/>
  <c r="H93" i="11"/>
  <c r="H95" i="11"/>
  <c r="H97" i="11" s="1"/>
  <c r="H99" i="11"/>
  <c r="H100" i="11"/>
  <c r="H101" i="11"/>
  <c r="H104" i="11" s="1"/>
  <c r="H102" i="11"/>
  <c r="H103" i="11"/>
  <c r="H106" i="11"/>
  <c r="H108" i="11" s="1"/>
  <c r="H110" i="11"/>
  <c r="H112" i="11"/>
  <c r="H120" i="11"/>
  <c r="J88" i="11"/>
  <c r="J122" i="11"/>
  <c r="I82" i="11"/>
  <c r="I88" i="11" s="1"/>
  <c r="I122" i="11" s="1"/>
  <c r="K122" i="11" s="1"/>
  <c r="I87" i="11"/>
  <c r="I121" i="11"/>
  <c r="K120" i="11"/>
  <c r="K112" i="11"/>
  <c r="K86" i="11"/>
  <c r="H84" i="11"/>
  <c r="H86" i="11" s="1"/>
  <c r="H85" i="11"/>
  <c r="K82" i="11"/>
  <c r="H6" i="11"/>
  <c r="H17" i="11" s="1"/>
  <c r="H82" i="11" s="1"/>
  <c r="H7" i="11"/>
  <c r="H8" i="11"/>
  <c r="H9" i="11"/>
  <c r="H10" i="11"/>
  <c r="H11" i="11"/>
  <c r="H12" i="11"/>
  <c r="H13" i="11"/>
  <c r="H14" i="11"/>
  <c r="H15" i="11"/>
  <c r="H16" i="11"/>
  <c r="H19" i="11"/>
  <c r="H28" i="11" s="1"/>
  <c r="H20" i="11"/>
  <c r="H21" i="11"/>
  <c r="H22" i="11"/>
  <c r="H23" i="11"/>
  <c r="H24" i="11"/>
  <c r="H25" i="11"/>
  <c r="H26" i="11"/>
  <c r="H27"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s="1"/>
  <c r="H59" i="11"/>
  <c r="H60" i="11"/>
  <c r="H61" i="11"/>
  <c r="H81" i="11" s="1"/>
  <c r="H62" i="11"/>
  <c r="H63" i="11"/>
  <c r="H64" i="11"/>
  <c r="H65" i="11"/>
  <c r="H66" i="11"/>
  <c r="H67" i="11"/>
  <c r="H68" i="11"/>
  <c r="H69" i="11"/>
  <c r="H70" i="11"/>
  <c r="H71" i="11"/>
  <c r="H72" i="11"/>
  <c r="H73" i="11"/>
  <c r="H75" i="11"/>
  <c r="H76" i="11"/>
  <c r="H77" i="11"/>
  <c r="H78" i="11"/>
  <c r="H79" i="11"/>
  <c r="H80" i="11"/>
  <c r="K81" i="11"/>
  <c r="K57" i="11"/>
  <c r="K55" i="11"/>
  <c r="K52" i="11"/>
  <c r="K28" i="11"/>
  <c r="K17" i="11"/>
  <c r="K18" i="13"/>
  <c r="K37" i="13" s="1"/>
  <c r="K38" i="13" s="1"/>
  <c r="K74" i="13"/>
  <c r="H12" i="13"/>
  <c r="H13" i="13"/>
  <c r="H14" i="13"/>
  <c r="H15" i="13"/>
  <c r="H18" i="13" s="1"/>
  <c r="H16" i="13"/>
  <c r="H17" i="13"/>
  <c r="H19" i="13"/>
  <c r="H20" i="13" s="1"/>
  <c r="L20" i="13" s="1"/>
  <c r="H21" i="13"/>
  <c r="H22" i="13"/>
  <c r="H23" i="13"/>
  <c r="H24" i="13"/>
  <c r="H25" i="13"/>
  <c r="H26" i="13"/>
  <c r="H28" i="13"/>
  <c r="J28" i="13" s="1"/>
  <c r="H29" i="13"/>
  <c r="H30" i="13"/>
  <c r="H31" i="13"/>
  <c r="J31" i="13" s="1"/>
  <c r="H32" i="13"/>
  <c r="J32" i="13" s="1"/>
  <c r="H33" i="13"/>
  <c r="H34" i="13"/>
  <c r="H35" i="13"/>
  <c r="H36" i="13"/>
  <c r="L36" i="13" s="1"/>
  <c r="E41" i="13"/>
  <c r="H41" i="13"/>
  <c r="H46" i="13" s="1"/>
  <c r="E42" i="13"/>
  <c r="H42" i="13"/>
  <c r="H43" i="13"/>
  <c r="H44" i="13"/>
  <c r="H45" i="13"/>
  <c r="H48" i="13"/>
  <c r="H50" i="13"/>
  <c r="L50" i="13" s="1"/>
  <c r="H60" i="13"/>
  <c r="H62" i="13"/>
  <c r="H67" i="13"/>
  <c r="H69" i="13" s="1"/>
  <c r="L69" i="13" s="1"/>
  <c r="H68" i="13"/>
  <c r="K70" i="13"/>
  <c r="L62" i="13"/>
  <c r="J12" i="13"/>
  <c r="J14" i="13"/>
  <c r="J16" i="13"/>
  <c r="J17" i="13"/>
  <c r="J21" i="13"/>
  <c r="J23" i="13"/>
  <c r="J29" i="13"/>
  <c r="J30" i="13"/>
  <c r="J33" i="13"/>
  <c r="J34" i="13"/>
  <c r="L26" i="13"/>
  <c r="L23" i="13"/>
  <c r="L14" i="13"/>
  <c r="M134" i="8"/>
  <c r="M147" i="8"/>
  <c r="M104" i="8"/>
  <c r="M86" i="8"/>
  <c r="M88" i="8"/>
  <c r="M89" i="8"/>
  <c r="M67" i="8"/>
  <c r="M68" i="8"/>
  <c r="N81" i="8"/>
  <c r="N86" i="8"/>
  <c r="N87" i="8" s="1"/>
  <c r="M118" i="8"/>
  <c r="M142" i="8"/>
  <c r="M119" i="8"/>
  <c r="M83" i="8"/>
  <c r="M84" i="8" s="1"/>
  <c r="N84" i="8" s="1"/>
  <c r="N70" i="8"/>
  <c r="M65" i="8"/>
  <c r="M64" i="8"/>
  <c r="L15" i="8"/>
  <c r="L14" i="8"/>
  <c r="M16" i="8"/>
  <c r="N142" i="8"/>
  <c r="N143" i="8"/>
  <c r="M143" i="8"/>
  <c r="N119" i="8"/>
  <c r="N107" i="8"/>
  <c r="N109" i="8"/>
  <c r="M110" i="8"/>
  <c r="N110" i="8" s="1"/>
  <c r="M48" i="8"/>
  <c r="M63" i="8"/>
  <c r="M87" i="8"/>
  <c r="N65" i="8"/>
  <c r="N14" i="8"/>
  <c r="N15" i="8"/>
  <c r="H16" i="7"/>
  <c r="H17" i="7"/>
  <c r="H18" i="7" s="1"/>
  <c r="I13" i="7"/>
  <c r="I11" i="7"/>
  <c r="J11" i="7"/>
  <c r="I14" i="7"/>
  <c r="J14" i="7" s="1"/>
  <c r="I10" i="7"/>
  <c r="I15" i="7"/>
  <c r="J15" i="7"/>
  <c r="I12" i="7"/>
  <c r="J12" i="7" s="1"/>
  <c r="F11" i="7"/>
  <c r="G11" i="7"/>
  <c r="F12" i="7"/>
  <c r="G12" i="7" s="1"/>
  <c r="F13" i="7"/>
  <c r="F14" i="7"/>
  <c r="G14" i="7" s="1"/>
  <c r="F15" i="7"/>
  <c r="G15" i="7"/>
  <c r="F16" i="7"/>
  <c r="G16" i="7" s="1"/>
  <c r="F10" i="7"/>
  <c r="K17" i="7"/>
  <c r="K18" i="7" s="1"/>
  <c r="L11" i="7"/>
  <c r="M11" i="7" s="1"/>
  <c r="L12" i="7"/>
  <c r="M12" i="7"/>
  <c r="L13" i="7"/>
  <c r="M13" i="7" s="1"/>
  <c r="L14" i="7"/>
  <c r="M14" i="7"/>
  <c r="L15" i="7"/>
  <c r="M15" i="7" s="1"/>
  <c r="L16" i="7"/>
  <c r="M16" i="7"/>
  <c r="L10" i="7"/>
  <c r="E17" i="7"/>
  <c r="O11" i="7"/>
  <c r="O12" i="7"/>
  <c r="O13" i="7"/>
  <c r="O14" i="7"/>
  <c r="O15" i="7"/>
  <c r="C12" i="7"/>
  <c r="C13" i="7"/>
  <c r="D13" i="7" s="1"/>
  <c r="C14" i="7"/>
  <c r="C15" i="7"/>
  <c r="D15" i="7"/>
  <c r="C16" i="7"/>
  <c r="D16" i="7"/>
  <c r="C11" i="7"/>
  <c r="D11" i="7"/>
  <c r="H142" i="8"/>
  <c r="J142" i="8"/>
  <c r="J108" i="8"/>
  <c r="J109" i="8"/>
  <c r="M109" i="8" s="1"/>
  <c r="M113" i="8" s="1"/>
  <c r="J134" i="8"/>
  <c r="J118" i="8"/>
  <c r="J119" i="8"/>
  <c r="J120" i="8" s="1"/>
  <c r="J125" i="8"/>
  <c r="J126" i="8"/>
  <c r="M126" i="8" s="1"/>
  <c r="N126" i="8" s="1"/>
  <c r="J127" i="8"/>
  <c r="M127" i="8" s="1"/>
  <c r="N127" i="8" s="1"/>
  <c r="J13" i="8"/>
  <c r="N13" i="8" s="1"/>
  <c r="L13" i="8"/>
  <c r="J14" i="8"/>
  <c r="J15" i="8"/>
  <c r="J18" i="8"/>
  <c r="G19" i="8"/>
  <c r="J19" i="8" s="1"/>
  <c r="J20" i="8"/>
  <c r="J21" i="8"/>
  <c r="J22" i="8"/>
  <c r="J23" i="8"/>
  <c r="J24" i="8"/>
  <c r="J25" i="8"/>
  <c r="J26" i="8"/>
  <c r="J27" i="8"/>
  <c r="G28" i="8"/>
  <c r="J28" i="8"/>
  <c r="J29" i="8"/>
  <c r="J30" i="8"/>
  <c r="J31" i="8"/>
  <c r="J34" i="8"/>
  <c r="G35" i="8"/>
  <c r="J35" i="8" s="1"/>
  <c r="J36" i="8"/>
  <c r="J37" i="8"/>
  <c r="J38" i="8"/>
  <c r="J39" i="8"/>
  <c r="J40" i="8"/>
  <c r="J41" i="8"/>
  <c r="J42" i="8"/>
  <c r="J43" i="8"/>
  <c r="G44" i="8"/>
  <c r="J44" i="8"/>
  <c r="J45" i="8"/>
  <c r="J46" i="8"/>
  <c r="J47" i="8"/>
  <c r="J50" i="8"/>
  <c r="G51" i="8"/>
  <c r="J51" i="8" s="1"/>
  <c r="J52" i="8"/>
  <c r="J53" i="8"/>
  <c r="J54" i="8"/>
  <c r="J63" i="8" s="1"/>
  <c r="J55" i="8"/>
  <c r="J56" i="8"/>
  <c r="J57" i="8"/>
  <c r="J58" i="8"/>
  <c r="J59" i="8"/>
  <c r="J60" i="8"/>
  <c r="J61" i="8"/>
  <c r="J62" i="8"/>
  <c r="J64" i="8"/>
  <c r="J65" i="8"/>
  <c r="J67" i="8"/>
  <c r="N67" i="8" s="1"/>
  <c r="N68" i="8" s="1"/>
  <c r="J68" i="8"/>
  <c r="J69" i="8"/>
  <c r="J70" i="8"/>
  <c r="J72" i="8"/>
  <c r="J73" i="8"/>
  <c r="J79" i="8" s="1"/>
  <c r="J74" i="8"/>
  <c r="J75" i="8"/>
  <c r="G76" i="8"/>
  <c r="J76" i="8"/>
  <c r="J77" i="8"/>
  <c r="J78" i="8"/>
  <c r="J81" i="8"/>
  <c r="L81" i="8"/>
  <c r="J82" i="8"/>
  <c r="N82" i="8" s="1"/>
  <c r="L82" i="8"/>
  <c r="J83" i="8"/>
  <c r="L83" i="8"/>
  <c r="J86" i="8"/>
  <c r="L86" i="8"/>
  <c r="L87" i="8"/>
  <c r="J89" i="8"/>
  <c r="J92" i="8"/>
  <c r="J93" i="8"/>
  <c r="J94" i="8"/>
  <c r="J95" i="8"/>
  <c r="J96" i="8"/>
  <c r="J97" i="8"/>
  <c r="J98" i="8"/>
  <c r="J99" i="8"/>
  <c r="G100" i="8"/>
  <c r="J100" i="8"/>
  <c r="J101" i="8"/>
  <c r="J102" i="8"/>
  <c r="J103" i="8"/>
  <c r="J106" i="8"/>
  <c r="N106" i="8" s="1"/>
  <c r="J107" i="8"/>
  <c r="J110" i="8"/>
  <c r="J111" i="8"/>
  <c r="N111" i="8" s="1"/>
  <c r="J112" i="8"/>
  <c r="N112" i="8" s="1"/>
  <c r="K15" i="8"/>
  <c r="J132" i="8"/>
  <c r="J140" i="8"/>
  <c r="J136" i="8"/>
  <c r="J84" i="8"/>
  <c r="J16" i="8"/>
  <c r="J87" i="8"/>
  <c r="N10" i="7"/>
  <c r="N17" i="7" s="1"/>
  <c r="N18" i="7" s="1"/>
  <c r="G10" i="7"/>
  <c r="G17" i="7" s="1"/>
  <c r="G13" i="7"/>
  <c r="I16" i="7"/>
  <c r="J16" i="7"/>
  <c r="O16" i="7"/>
  <c r="J10" i="7"/>
  <c r="J143" i="8"/>
  <c r="D14" i="7"/>
  <c r="D12" i="7"/>
  <c r="E18" i="7"/>
  <c r="N19" i="7"/>
  <c r="L63" i="8" l="1"/>
  <c r="N63" i="8"/>
  <c r="L79" i="8"/>
  <c r="N79" i="8"/>
  <c r="J104" i="8"/>
  <c r="N104" i="8" s="1"/>
  <c r="J48" i="8"/>
  <c r="L48" i="8" s="1"/>
  <c r="F17" i="7"/>
  <c r="F19" i="7" s="1"/>
  <c r="J13" i="7"/>
  <c r="I17" i="7"/>
  <c r="N118" i="8"/>
  <c r="M120" i="8"/>
  <c r="M136" i="8"/>
  <c r="N136" i="8" s="1"/>
  <c r="N134" i="8"/>
  <c r="L46" i="13"/>
  <c r="H70" i="13"/>
  <c r="G19" i="7"/>
  <c r="J32" i="8"/>
  <c r="M10" i="7"/>
  <c r="M17" i="7" s="1"/>
  <c r="L17" i="7"/>
  <c r="J18" i="7"/>
  <c r="I18" i="7"/>
  <c r="N48" i="8"/>
  <c r="N89" i="8"/>
  <c r="N90" i="8" s="1"/>
  <c r="M90" i="8"/>
  <c r="M114" i="8" s="1"/>
  <c r="H37" i="13"/>
  <c r="H38" i="13" s="1"/>
  <c r="L38" i="13"/>
  <c r="H121" i="11"/>
  <c r="H122" i="11" s="1"/>
  <c r="B10" i="7"/>
  <c r="L89" i="8"/>
  <c r="L90" i="8" s="1"/>
  <c r="J90" i="8"/>
  <c r="L84" i="8"/>
  <c r="N16" i="8"/>
  <c r="E19" i="7"/>
  <c r="F18" i="7"/>
  <c r="G18" i="7" s="1"/>
  <c r="J17" i="7"/>
  <c r="J113" i="8"/>
  <c r="N113" i="8" s="1"/>
  <c r="L16" i="8"/>
  <c r="J128" i="8"/>
  <c r="J144" i="8" s="1"/>
  <c r="M125" i="8"/>
  <c r="J36" i="13"/>
  <c r="J19" i="13"/>
  <c r="J20" i="13" s="1"/>
  <c r="J15" i="13"/>
  <c r="J18" i="13" s="1"/>
  <c r="M187" i="10"/>
  <c r="Q225" i="10"/>
  <c r="H19" i="7"/>
  <c r="K19" i="7"/>
  <c r="N83" i="8"/>
  <c r="L18" i="13"/>
  <c r="Q53" i="10"/>
  <c r="N242" i="10"/>
  <c r="Q28" i="10"/>
  <c r="N253" i="10"/>
  <c r="N154" i="10"/>
  <c r="J137" i="9"/>
  <c r="J138" i="9" s="1"/>
  <c r="H137" i="9"/>
  <c r="H138" i="9" s="1"/>
  <c r="L171" i="9"/>
  <c r="Q214" i="10"/>
  <c r="N214" i="10"/>
  <c r="Q161" i="10"/>
  <c r="L291" i="10"/>
  <c r="L215" i="10"/>
  <c r="Q215" i="10" s="1"/>
  <c r="P326" i="10"/>
  <c r="P327" i="10" s="1"/>
  <c r="P328" i="10" s="1"/>
  <c r="N161" i="10"/>
  <c r="M161" i="10" s="1"/>
  <c r="N290" i="10"/>
  <c r="M115" i="8" l="1"/>
  <c r="N125" i="8"/>
  <c r="M128" i="8"/>
  <c r="N128" i="8" s="1"/>
  <c r="J19" i="7"/>
  <c r="O10" i="7"/>
  <c r="B17" i="7"/>
  <c r="C10" i="7"/>
  <c r="C17" i="7" s="1"/>
  <c r="H124" i="11"/>
  <c r="H125" i="11"/>
  <c r="L18" i="7"/>
  <c r="L19" i="7"/>
  <c r="J114" i="8"/>
  <c r="J115" i="8" s="1"/>
  <c r="J37" i="13"/>
  <c r="J38" i="13" s="1"/>
  <c r="M18" i="7"/>
  <c r="M19" i="7"/>
  <c r="I19" i="7"/>
  <c r="H72" i="13"/>
  <c r="N32" i="8"/>
  <c r="L32" i="8"/>
  <c r="L114" i="8" s="1"/>
  <c r="L115" i="8" s="1"/>
  <c r="M144" i="8"/>
  <c r="N144" i="8" s="1"/>
  <c r="N120" i="8"/>
  <c r="L174" i="9"/>
  <c r="M174" i="9" s="1"/>
  <c r="H169" i="9"/>
  <c r="M138" i="9"/>
  <c r="P332" i="10"/>
  <c r="Q332" i="10" s="1"/>
  <c r="Q328" i="10"/>
  <c r="N291" i="10"/>
  <c r="M290" i="10"/>
  <c r="L326" i="10"/>
  <c r="Q291" i="10"/>
  <c r="J146" i="8" l="1"/>
  <c r="K115" i="8"/>
  <c r="O17" i="7"/>
  <c r="B18" i="7"/>
  <c r="H73" i="13"/>
  <c r="H74" i="13" s="1"/>
  <c r="N115" i="8"/>
  <c r="M146" i="8"/>
  <c r="M148" i="8" s="1"/>
  <c r="D10" i="7"/>
  <c r="D17" i="7" s="1"/>
  <c r="N114" i="8"/>
  <c r="H170" i="9"/>
  <c r="M170" i="9" s="1"/>
  <c r="H171" i="9"/>
  <c r="M169" i="9"/>
  <c r="N328" i="10"/>
  <c r="M291" i="10"/>
  <c r="L327" i="10"/>
  <c r="L328" i="10"/>
  <c r="H3" i="13" l="1"/>
  <c r="I3" i="13" s="1"/>
  <c r="I46" i="13"/>
  <c r="L74" i="13"/>
  <c r="I70" i="13"/>
  <c r="I38" i="13"/>
  <c r="O18" i="7"/>
  <c r="O19" i="7" s="1"/>
  <c r="C18" i="7"/>
  <c r="C19" i="7" s="1"/>
  <c r="M328" i="10"/>
  <c r="B19" i="7"/>
  <c r="J147" i="8"/>
  <c r="N147" i="8" s="1"/>
  <c r="D5" i="8"/>
  <c r="I144" i="9"/>
  <c r="I167" i="9"/>
  <c r="I138" i="9"/>
  <c r="M171" i="9"/>
  <c r="M299" i="10"/>
  <c r="M325" i="10"/>
  <c r="K291" i="10"/>
  <c r="P11" i="7" l="1"/>
  <c r="P12" i="7"/>
  <c r="P14" i="7"/>
  <c r="P19" i="7"/>
  <c r="P16" i="7"/>
  <c r="P15" i="7"/>
  <c r="P13" i="7"/>
  <c r="P10" i="7"/>
  <c r="P17" i="7"/>
  <c r="P18" i="7"/>
  <c r="D6" i="8"/>
  <c r="D7" i="8"/>
  <c r="J148" i="8"/>
  <c r="D18" i="7"/>
  <c r="D19" i="7" s="1"/>
  <c r="I4" i="13"/>
  <c r="I5" i="13"/>
  <c r="K120" i="8" l="1"/>
  <c r="K144" i="8"/>
  <c r="N148" i="8"/>
</calcChain>
</file>

<file path=xl/sharedStrings.xml><?xml version="1.0" encoding="utf-8"?>
<sst xmlns="http://schemas.openxmlformats.org/spreadsheetml/2006/main" count="2196" uniqueCount="765">
  <si>
    <t>Total</t>
  </si>
  <si>
    <t>Year 1</t>
  </si>
  <si>
    <t>Notes:</t>
  </si>
  <si>
    <t>Quantite</t>
  </si>
  <si>
    <t>Cout Unitaire</t>
  </si>
  <si>
    <t>Duree/           Frequence</t>
  </si>
  <si>
    <t>PRODUITS</t>
  </si>
  <si>
    <t>ACTIVITES</t>
  </si>
  <si>
    <t xml:space="preserve"> Budget Année 1</t>
  </si>
  <si>
    <t>Budget Année 2</t>
  </si>
  <si>
    <t>BUDGET TOTAL</t>
  </si>
  <si>
    <t>Personnel et autres employés</t>
  </si>
  <si>
    <t>Fournitures, produits de base, materiels</t>
  </si>
  <si>
    <t>Frais de deplacement</t>
  </si>
  <si>
    <t>Frais generaux de fonctionnement et autres couts directs</t>
  </si>
  <si>
    <t xml:space="preserve">(c) Pour la Periode: </t>
  </si>
  <si>
    <t>(d) Total du Budget (USD):</t>
  </si>
  <si>
    <t>(a) Nom de l'organisation:</t>
  </si>
  <si>
    <t>(b) Titre du Projet:</t>
  </si>
  <si>
    <t>% du Budget Genre**</t>
  </si>
  <si>
    <t>% du Budget Genre*</t>
  </si>
  <si>
    <t>% du Budget Genre</t>
  </si>
  <si>
    <t>Total Global</t>
  </si>
  <si>
    <t xml:space="preserve">Inserer/Supprimer autant de lignes que necessaires pour adjuster le budget au resultats/produits/activites </t>
  </si>
  <si>
    <t>Budget programmatique: Budget total/1.07</t>
  </si>
  <si>
    <t>SGG:  budget total/1.07*0.07</t>
  </si>
  <si>
    <t>Organisation Lead</t>
  </si>
  <si>
    <t>Equipements et mobilier</t>
  </si>
  <si>
    <t>(e) GMS 7% Agent de Gestion (USD):</t>
  </si>
  <si>
    <t xml:space="preserve">(f) Budget TOTAL </t>
  </si>
  <si>
    <t>Budget Narrative</t>
  </si>
  <si>
    <t>CATEGORIES DE DEPENSE*</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</si>
  <si>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</si>
  <si>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Services Contractuels </t>
  </si>
  <si>
    <t xml:space="preserve">Transferts et subventions </t>
  </si>
  <si>
    <t>Formulas (ne pas supprimer):</t>
  </si>
  <si>
    <t>Sous-total Objective Specifique 3</t>
  </si>
  <si>
    <t>Cout Total Programme</t>
  </si>
  <si>
    <t>SOUS-TOTAL COUTS DIRECTS DE SOUTIEN (ne peuvent représentés plus de 35% du budget total)</t>
  </si>
  <si>
    <t xml:space="preserve">COUTS DIRECTS LIES AUX ACTIVITES </t>
  </si>
  <si>
    <t>SOUS-TOTAL COUTS DIRECTS LIES AUX ACTIVITES (au minimum 60% du budget total)</t>
  </si>
  <si>
    <t xml:space="preserve"> 1) Personnel et autres employés (lies au soutien)</t>
  </si>
  <si>
    <t xml:space="preserve"> 2) Fournitures, produits de base, materiels (lies au soutien)</t>
  </si>
  <si>
    <t>3) Equipements et mobilier (lies au soutien)</t>
  </si>
  <si>
    <t xml:space="preserve"> 4) Services Contractuels (lies au soutien)</t>
  </si>
  <si>
    <t>7) Frais généraux de fonctionnement et autres couts directs (lies au soutien)</t>
  </si>
  <si>
    <t>5) Frais de deplacement (lies au soutien)</t>
  </si>
  <si>
    <t xml:space="preserve"> 6) Transferts et subventions (lies au soutien)</t>
  </si>
  <si>
    <t xml:space="preserve">COUTS DIRECTS DE SOUTIEN </t>
  </si>
  <si>
    <t>Couts Indirects (7%)**</t>
  </si>
  <si>
    <t xml:space="preserve">** Ce sont des "Services Generaux de Gestion", qui sont calculés selon la formule suivante:  </t>
  </si>
  <si>
    <t>*** Chaque projet ISSSS doit assurer que 15% des fonds sont consacree a les objetifs sensible au genre (Voir les lignes directrices sur l'integration du Genre dans les programmes de stabilisation)</t>
  </si>
  <si>
    <t>% Budget liee au genre ***</t>
  </si>
  <si>
    <t>UN HABITAT</t>
  </si>
  <si>
    <t>Transport participants locaux</t>
  </si>
  <si>
    <t>Logement participants lointains</t>
  </si>
  <si>
    <t>Souper participants lointains</t>
  </si>
  <si>
    <t>Chef de Projet</t>
  </si>
  <si>
    <t xml:space="preserve">Chauffeur </t>
  </si>
  <si>
    <t>Salaire</t>
  </si>
  <si>
    <t>Autres frais généraux de fonctionnement et autres couts directs</t>
  </si>
  <si>
    <t>Location salle</t>
  </si>
  <si>
    <t>Appui Logistique et  opérationnel à la Commission Foncière de l'Ituri (CFI)</t>
  </si>
  <si>
    <t>Appui en AGR  pour la pérennisation de l'intervention de la CFI dans le territoire de Mambasa</t>
  </si>
  <si>
    <t xml:space="preserve">(a) Nom de l'organisation: </t>
  </si>
  <si>
    <t>UNHABITAT</t>
  </si>
  <si>
    <t>Amani ni njia ya Maendeleo "la paix c'est la voie de développement"</t>
  </si>
  <si>
    <t xml:space="preserve"> Frais de deplacement</t>
  </si>
  <si>
    <t>Fonds de Coherence pour la Stabilisation: Budget par Categorie de Dépense*</t>
  </si>
  <si>
    <t>CATEGORY</t>
  </si>
  <si>
    <t xml:space="preserve">Total </t>
  </si>
  <si>
    <t>% Total Budget</t>
  </si>
  <si>
    <t>GRAND TOTAL</t>
  </si>
  <si>
    <t>* A completer par les agences des Nations Unies. Voir la note explicative sur l’élaboration d’un budget à soumettre au Fonds de Cohérence pour la Stabilisation.</t>
  </si>
  <si>
    <t>Produit 3.1.1                            Les conflits  fonciers sont pris en charge et résolu</t>
  </si>
  <si>
    <t xml:space="preserve">Mise en place de mécanisme durable, de médiation et résolution participative de conflits fonciers  à mambasa et Niania </t>
  </si>
  <si>
    <t xml:space="preserve">Atelier de renforcement de capacités de membres de structures communautaires </t>
  </si>
  <si>
    <t xml:space="preserve">Evaluation et élargissement du SAP </t>
  </si>
  <si>
    <t>Identification de la typologie des conflits fonciers et  la problématique d’accès à la terre, ainsi que des pistes de solutions, à travers une évaluation participative incluant  l’âge, le genre et la diversité</t>
  </si>
  <si>
    <t xml:space="preserve">Produit 3.1.3                                 
Antennes de la CFI sont capacités  en gestion des conflits fonciers </t>
  </si>
  <si>
    <t xml:space="preserve">Appui aux activités de médiation conduites par les antennes de la CFI </t>
  </si>
  <si>
    <t xml:space="preserve">Enregistrements des conflits fonciers identifiés et des cas résolus dans une base de données tenue au niveau de la coordination de la CFI. </t>
  </si>
  <si>
    <t xml:space="preserve">Produit 3.1.4                                          Les communautés locales sont sensibilisées sur les mécanismes de prévention  et résolution des conflits fonciers </t>
  </si>
  <si>
    <t>Production des émissions radio pour la sensibilisation sur les conflits fonciers et information sur les mécanismes de prévention et médiation foncière</t>
  </si>
  <si>
    <t xml:space="preserve">Produit 3.1.5                        
sensibilité  des ETD sur les questions relatives à l'accès et à  la sécurisation de la terre des groupes vulnérables accrue  </t>
  </si>
  <si>
    <t xml:space="preserve"> Plaidoyer auprès des autorités coutumières pour la cession  de terres en faveur de vulnérables et groupes de producteurs </t>
  </si>
  <si>
    <t xml:space="preserve"> Appui à l’administration foncière dans la sécurisation de droit foncier  des communautés</t>
  </si>
  <si>
    <t xml:space="preserve">Appui aux  réunions de concertation administration foncière et autorités coutumières pour une gestion  concertée </t>
  </si>
  <si>
    <t xml:space="preserve">Evaluation de la synergie des acteurs locaux du foncier </t>
  </si>
  <si>
    <t xml:space="preserve">Accompagement téchnique des antennes de la CFI </t>
  </si>
  <si>
    <t xml:space="preserve">Frais administratifs, bornage et mésurage </t>
  </si>
  <si>
    <t xml:space="preserve">Procédure coutumière de cession de terre et droit coutumier  </t>
  </si>
  <si>
    <t xml:space="preserve">Formation sur l'utilisation de la base de donnée sur les conflits fonciers </t>
  </si>
  <si>
    <t xml:space="preserve">Tenue de théatres participatifs sur la prévention et la résolution pacifique de conflits fonciers à mambasa et à niania </t>
  </si>
  <si>
    <t xml:space="preserve">Production des outils de communication  et sensibilisation </t>
  </si>
  <si>
    <t xml:space="preserve">Campagne de sensibilisation sur la prévention et la résolution pacifique de conflits fonciers </t>
  </si>
  <si>
    <t>Aménagement des abris pour la tenue de médiations foncières et barza communautaires (Mambasa et Niania)</t>
  </si>
  <si>
    <t>Fournitures de bureau</t>
  </si>
  <si>
    <t>Calicot</t>
  </si>
  <si>
    <t>Repas pendant l'atelier</t>
  </si>
  <si>
    <t>Pause café pendant l'atelier</t>
  </si>
  <si>
    <t xml:space="preserve">Eau minérale </t>
  </si>
  <si>
    <t>DSA participants lointains</t>
  </si>
  <si>
    <t xml:space="preserve">Produit 3.1.2                           
Structure  de dialogue,  alerte précoce et médiation renforcées </t>
  </si>
  <si>
    <t>Impression supports pédagogiques</t>
  </si>
  <si>
    <t>Transport participants lointain_territoire Mbsa</t>
  </si>
  <si>
    <t>Transport participants lointain_territoire Bunia</t>
  </si>
  <si>
    <t>Fournitures de bureau pour l'atelier (kit)</t>
  </si>
  <si>
    <t>Transport participants lointain</t>
  </si>
  <si>
    <t>Impression  &amp; reliure supports pédagogiques</t>
  </si>
  <si>
    <t>Fournitures de bureau pour réunion (kit)</t>
  </si>
  <si>
    <t xml:space="preserve">Mission de mise en œuvre des activités </t>
  </si>
  <si>
    <t>OBJECTIVE SPECIFIQUE 3: Gouvernance fonciere est renforcée</t>
  </si>
  <si>
    <t>Montant de l'activité lié au genre</t>
  </si>
  <si>
    <t>Coodination du projet conjoint</t>
  </si>
  <si>
    <t>Inauguration du projet conjoint</t>
  </si>
  <si>
    <t>Evaluation finale du projet conjoint</t>
  </si>
  <si>
    <t>Imprimante</t>
  </si>
  <si>
    <t>Caméra digital</t>
  </si>
  <si>
    <t xml:space="preserve">Chaise roulante </t>
  </si>
  <si>
    <t>DSA staff</t>
  </si>
  <si>
    <t xml:space="preserve">Fonds de Coherence pour la Stabilisation: Budget par Activité </t>
  </si>
  <si>
    <t>(a) Nom de l'organisation: UNESCO</t>
  </si>
  <si>
    <t>(b) Titre du Projet: Projet Amani ni njia ya Maendeleo "la paix c'est la voie de développement"</t>
  </si>
  <si>
    <t>(c) Pour la Periode: janvier au décembre 2017</t>
  </si>
  <si>
    <t>(d) Total du Budget (USD): 245.000</t>
  </si>
  <si>
    <t>(f) Budget TOTAL: 245.000</t>
  </si>
  <si>
    <t>OBJECTIVE SPECIFIQUE 1: Cohabitation paficique et collaboration renforcées dans la RFO</t>
  </si>
  <si>
    <t>R.1.1. Gestion des ressources naturelles ( Zone agricole, animales, ressources piscicoles  et bois) est ameliorées</t>
  </si>
  <si>
    <t>Produit 1.1.1: La sensibilite  des parties prenantes  est accrues sur la gestion  des ressources naturelles</t>
  </si>
  <si>
    <t>Conduire 3 enquetes et 2 petites recherches pour établir la baseline des interventions clées mesurables sur la cohabitation pacifique et la collaboration dans la RFO</t>
  </si>
  <si>
    <t>UNESCO</t>
  </si>
  <si>
    <t>Prime des enqueteurs</t>
  </si>
  <si>
    <t>Prise en charge de l'équipe d'enqueteurs</t>
  </si>
  <si>
    <t>Transport de l'équipe de suivi</t>
  </si>
  <si>
    <t>Tenir un cadre de concertation entre RFO-CL-Autorités locales et Communautés locales pour élaborer une stratégie de résolution et prevention de conflits dans la RFO et son plan d'action</t>
  </si>
  <si>
    <t>Restauration des participants aux ateliers</t>
  </si>
  <si>
    <t>Logement des participants</t>
  </si>
  <si>
    <t>Perdiem</t>
  </si>
  <si>
    <t>Transport des participants et consultants</t>
  </si>
  <si>
    <t>Fournir le kit des participants (Bloc note, cartable, stylo, supports imprimés,…)</t>
  </si>
  <si>
    <t xml:space="preserve"> Location salle</t>
  </si>
  <si>
    <t>Courses locales/organisation de l'atelier</t>
  </si>
  <si>
    <t>Production et validation de la stratégie de prévention et transformation des conflits sensible au genre et à la conservation dans la RFO et ses zones d'influence</t>
  </si>
  <si>
    <t>Rémuneration du consultant (tout frais y compris) pour produire la stratégie de prévention et résolution des conflits dans la RFO et ses zones d'influence</t>
  </si>
  <si>
    <t>Impression et polycopie de la stratégie de  prevention et résolution des conflits (250 copies)</t>
  </si>
  <si>
    <t xml:space="preserve">Restauration des participants </t>
  </si>
  <si>
    <t>Perdiem des participants</t>
  </si>
  <si>
    <t>Kit des participants (Bloc note, cartable, stylo, supports imprimés,…)</t>
  </si>
  <si>
    <t>Acquisition et distribution des moyens des communication (téléphones mobiles) pour les CCSP et CP-CGCD dans le cadre de l'alerte précose de ravages de cultures et autres violations (droits humains, denonciation de cas de violence sexuelles,…)</t>
  </si>
  <si>
    <t xml:space="preserve"> Acquerir les telephones pour assurer la communication entre les différents comités et entre les comités et l'ICCN</t>
  </si>
  <si>
    <t>Appui à la documentation et à la publication des cas des ravages de cultures dans la RFO (Achat d'un ordinateur, disque dure externe et un appareil photo)</t>
  </si>
  <si>
    <t xml:space="preserve">Appui au processus de la disponibilité des planches en faveur de communautés locales  résidentes issues des abattues culturaux dans les Zones agricoles de la RFO dans 5 chefferies </t>
  </si>
  <si>
    <t xml:space="preserve">Construction des deux dépots de stockage </t>
  </si>
  <si>
    <t>Réhabilitation de 4 dépôts existant en faveurs de communautés locales pour faciliter le stockage des planches</t>
  </si>
  <si>
    <t>Production et distribution des 10000 plantules pour assurer le reboisement des champs dans lequels les abattus culturaux ont été exploités</t>
  </si>
  <si>
    <t>Tenue des réunions mensuelles de suivi des directives d'accès aux ressources naturelles (restauration des participants) dans 5 chefferies</t>
  </si>
  <si>
    <t>Restaurations des participant (e)s</t>
  </si>
  <si>
    <t>Prise en charge de l'équipe de suivi</t>
  </si>
  <si>
    <t xml:space="preserve">Restauration des participant(e)s </t>
  </si>
  <si>
    <t>Logement des participant(e)s</t>
  </si>
  <si>
    <t>Perdiem des participant(e)s</t>
  </si>
  <si>
    <t>Transport des participant(e)s et consultant(e)s</t>
  </si>
  <si>
    <t>Fournir le kit des participant(e)s (Bloc note, cartable, stylo, supports imprimés,…)</t>
  </si>
  <si>
    <t>Rémunération d'un(e) consultant(e)s pour appuyer l'élaboration du plan d'action</t>
  </si>
  <si>
    <t xml:space="preserve">Assurer le suivi de mouvement de la population dans les grands villages se trouvant sur la RN4 et sur l'axe Mambasa-Mungbere </t>
  </si>
  <si>
    <t>Pourvoir aux équippements de terrain (Kit: impérméables, bottes en plastique, Kepis, pilovert….)pour les membres de CCSP</t>
  </si>
  <si>
    <t>Pourvoir aux fournitures de bureau (papiers, papiers bristoles, cahiers registres, stylos, cartable, zeplog, cartouches, ancres, etc.)aux CCSP et CP-CGCD</t>
  </si>
  <si>
    <t>Tenir les réunion mensuelles de suivi de contrôle de séjour et de passage avec les membres de CCSP</t>
  </si>
  <si>
    <t>Prise en charge de l'équipe de supervision (logement, restauration et perdiem)</t>
  </si>
  <si>
    <t>Appuyer la sensibilisation et la formation des agriculteurs résident dans la RFO sur l'installation des champs en couloir, le technique de reboisement et la gestion des produits vivriers et de l'espace par l'AGRIPEL (Saisons culturales  A et B)</t>
  </si>
  <si>
    <t>Production de la stratégie de l'Information, Education et communication(IEC) pour la RFO</t>
  </si>
  <si>
    <t>Rémunération d'un Consultant pour l'élaboration de la stratégie (IEC) (tout frais y compris)</t>
  </si>
  <si>
    <t xml:space="preserve">Tenue de l'atelier de validation de la stratégie de l'IEC dans la RFO </t>
  </si>
  <si>
    <t>Production des matériels de sensibilisation:Kit (Boite à images, Képis, T-shirt, porte-clés, Poster/Affiches)</t>
  </si>
  <si>
    <t>Resultat 1.2.: Fonctionnement  du comite de coordination du site  est renforce</t>
  </si>
  <si>
    <t>Produit 1.2.1: Capacites  du comite  de coordination  du site est renforcees</t>
  </si>
  <si>
    <t>Tenir un atelier de renfocrement de capacités des ETD et les membres de comités de pilotage sur le leadership cohesif, la gestion des ressources naturelles, le Droits humains et le genre</t>
  </si>
  <si>
    <t>Recrutement des Consultant (e)s pour assurer la formation</t>
  </si>
  <si>
    <t>Tenue de 10 réunions de sensibilisation (formation et information) dans  5 chefferies sur les dispositions de gestion de la RFO et les engagements assignées à la conférence de Mambasa</t>
  </si>
  <si>
    <t xml:space="preserve">Recyclage des éco gardes et les services techniques du territoire (Agripel, DGM, ANR, Plan, Dev. Rural, Genre, FARDC et PNC) à quelques thématiques importantes dans le cadre de la paix et la cohésion sociale </t>
  </si>
  <si>
    <t>Recrutement  et rémunération des Consultant(e)s pour assurer la formation</t>
  </si>
  <si>
    <t>Tenir un atelier de renforcement de capacités opérationnelles  des membres de Comités de Contrôle de séjour et de Passage (CCSP) et des membres de Comités de Pilotages du Conseil de Gouvernance, Conservation et Développement (CP-CGCD) dans la RFO</t>
  </si>
  <si>
    <t>Impression des modules de formation et autres supports</t>
  </si>
  <si>
    <t>Rémunération des Consultants formateurs</t>
  </si>
  <si>
    <t>Tenue de l'atelier de suivi des engagements pris lors de la conférence inclusive pour la consolidation de la Paix sur l'axe du projet  avec la participation de toutes les parties prenantes (Leader locaux, Société civile, services etatiques et chefs coutumiers, administration du territoire, le délégué de la province, acteurs de mise en oeuvre, etc,)</t>
  </si>
  <si>
    <t xml:space="preserve">Transport des participant(e)s </t>
  </si>
  <si>
    <t>Impressions et polycopies</t>
  </si>
  <si>
    <t>Location de vehicule pour l'organisation des réunions interinstitutionnelles</t>
  </si>
  <si>
    <t>Fonctionnement de l'Unité de coordination de la mise en œuvre des activités du projet dans la RFO est assuré</t>
  </si>
  <si>
    <t>Le prime du personnel chargé de la supervision et de la mise en œuvre du projet est payée</t>
  </si>
  <si>
    <t>Prime du Point-Focal est assurée pour toute la durée du projet</t>
  </si>
  <si>
    <t>Prime de  deux facilitateur(trice)s de Dialogue/ agent de terrain</t>
  </si>
  <si>
    <t>Frais de missions du Point-focal</t>
  </si>
  <si>
    <t>Fourniture de bureau et contribution au fuel</t>
  </si>
  <si>
    <t>Sous-total Objective Spécifique 1</t>
  </si>
  <si>
    <t>Coordonnateur du projet</t>
  </si>
  <si>
    <t>Assistant du Projet</t>
  </si>
  <si>
    <t>Recouvrement staff time</t>
  </si>
  <si>
    <t>Fourniture, produits de base, matériels</t>
  </si>
  <si>
    <t>Imprimantes</t>
  </si>
  <si>
    <t>Pièces</t>
  </si>
  <si>
    <t>Chaises en cuire</t>
  </si>
  <si>
    <t>Appareil photos</t>
  </si>
  <si>
    <t>DSA</t>
  </si>
  <si>
    <t>Nuitées</t>
  </si>
  <si>
    <t>Achat carburant pour véhicule</t>
  </si>
  <si>
    <t>Litres</t>
  </si>
  <si>
    <t>Location véhicule</t>
  </si>
  <si>
    <t>Location</t>
  </si>
  <si>
    <t xml:space="preserve"> Frais généraux de fonctionnement et autres couts directs</t>
  </si>
  <si>
    <t>Year 2</t>
  </si>
  <si>
    <t>Montant alloué au Genre</t>
  </si>
  <si>
    <t>OBJECTIVE SPECIFIQUE 2: Soutien maintenu du processus  de stabilisation dans l'axe du projet par les parties prenantes</t>
  </si>
  <si>
    <t xml:space="preserve"> Resultat 2.1: Des réponses aux enjeux identifiés dans le dialogue sont apportées par les parties prenantes</t>
  </si>
  <si>
    <t>Activité 2.1.1.1: Appui à l'organisation des Barza Communautaires</t>
  </si>
  <si>
    <t>Prise en charge du Chargé de Programme Dialogue Démocratique</t>
  </si>
  <si>
    <t>OIM</t>
  </si>
  <si>
    <t>Location salle de réunion pour barza Communautaire</t>
  </si>
  <si>
    <t>Repas et pause café au cours du Barza</t>
  </si>
  <si>
    <t>Couverture médiatique du barza</t>
  </si>
  <si>
    <t>Fournitures pédagogiques pour barza</t>
  </si>
  <si>
    <t>Frais Itinérance pour équipe animateurs</t>
  </si>
  <si>
    <t>Achat carburant véhicule pour Barza</t>
  </si>
  <si>
    <t>Achat carburant moto pour Barza</t>
  </si>
  <si>
    <t>Frais Itinérance coordinateur PMO</t>
  </si>
  <si>
    <t>Frais communication téléphone</t>
  </si>
  <si>
    <t>Location d'une pick up pour suivi des activités terrain</t>
  </si>
  <si>
    <t>Fraisd'appui à la mise en œuvre des activités liées au barza</t>
  </si>
  <si>
    <t>Activité 2.1.1.2: Appui aux réunions bimestrielles de structures locales de dialogue</t>
  </si>
  <si>
    <t>Animateurs pour accompagner les CLEs et Cases de femmes</t>
  </si>
  <si>
    <t>Frais de remplissage fiches de monitoring</t>
  </si>
  <si>
    <t>Location salle pour organisation réunion Bimensuelle</t>
  </si>
  <si>
    <t>restauration au cours de la réunion mensuelle</t>
  </si>
  <si>
    <t>Carburant pour les véhicules</t>
  </si>
  <si>
    <t>Frais itinérance animateurs et chauffeurs</t>
  </si>
  <si>
    <t>Frais Itinérance coordinateur ACIAR</t>
  </si>
  <si>
    <t>Aficilitation et accompagnement des réunions bimensuelles des structures de dialogue</t>
  </si>
  <si>
    <t>Activité: 2.1.1.3 : Organisation des réunions d’analyse du contexte  sur la problematique des groupes armées et l'exploitation des ressources naturelles (un cycle pour chaque thème et au total deux)</t>
  </si>
  <si>
    <t>Animateurs chargé de recherche</t>
  </si>
  <si>
    <t>Location deux motos pour recherche sur terrain</t>
  </si>
  <si>
    <t>Location des salles de réunions</t>
  </si>
  <si>
    <t>Remboursement des frais de transport des participants</t>
  </si>
  <si>
    <t>Carburant pour véhicule</t>
  </si>
  <si>
    <t xml:space="preserve">Frais itinérance animateurs </t>
  </si>
  <si>
    <t xml:space="preserve">Frais itinérance Coordinateur </t>
  </si>
  <si>
    <t>S/Total</t>
  </si>
  <si>
    <t>Activité 2.1.1.4.  Organisation de séances d’approfondissement (interviews et différents contacts) de thèmes sur la sécurité, la problematiques de groupes armés et l'exploitaion des ressources naturelles en territoire de Mambasa.</t>
  </si>
  <si>
    <t>Frais pour organisation entretien par site</t>
  </si>
  <si>
    <t>Activité 2.1.1.5 :Appui à l'organisation des cadres de concertation regroupant les autorités, leaders communautaires et représentants des communautés</t>
  </si>
  <si>
    <t>Remboursement des frais de transport participants non résidant</t>
  </si>
  <si>
    <t>Payement frais de transport aux résidents</t>
  </si>
  <si>
    <t>Fournitures pour les participants</t>
  </si>
  <si>
    <t>Activité 2.1.1.6 :  Organisation d'une tabble - ronde pour l'engagement et l'endossement des resultats de dialogue communautaire.</t>
  </si>
  <si>
    <t>Location de la salle de réunion pour deux jours</t>
  </si>
  <si>
    <t>restauration des participants à la table ronde</t>
  </si>
  <si>
    <t>Logement et restaurantion du soir pour les non résidant</t>
  </si>
  <si>
    <t>Rembousement fras de transport aux personnalité de Bunia</t>
  </si>
  <si>
    <t>logement et restauration du soir des noparticipants venus de Bunia</t>
  </si>
  <si>
    <t>Transport pour les autres invités locaux</t>
  </si>
  <si>
    <t>Fournitures pour la session des participants</t>
  </si>
  <si>
    <t>Frais d'itinérance du Coordinateur</t>
  </si>
  <si>
    <t xml:space="preserve">Honoraires pour quelques </t>
  </si>
  <si>
    <t>Repas et pause café Réunion Assemblée Provinciale</t>
  </si>
  <si>
    <t>Divers frais fournitures et autres</t>
  </si>
  <si>
    <t>Frais de couverture médiatique du plaidoyer</t>
  </si>
  <si>
    <t xml:space="preserve">Produit 2.1.2: Sensibilité des parties prenantes sur la stabilisation accrue  </t>
  </si>
  <si>
    <t>Activité 2.1.2.1 : Organisation des ateliers d'élaboration des messages de sensibilisation</t>
  </si>
  <si>
    <t>Location des salles pour les ateliers</t>
  </si>
  <si>
    <t>restauration pendant les travaux</t>
  </si>
  <si>
    <t>Honoraires à payer aux experts pour élaboration des messages</t>
  </si>
  <si>
    <t>Activité 2.1.2.2 : Production des outils et méssages de sensibilisation et leur diffusion</t>
  </si>
  <si>
    <t>Visa pour séjour en Uganda de deux personnes</t>
  </si>
  <si>
    <t>carburant pour véhicule</t>
  </si>
  <si>
    <t>Frais entrée et sortie véhicules</t>
  </si>
  <si>
    <t>assurance Véhicules</t>
  </si>
  <si>
    <t>Production T shirt</t>
  </si>
  <si>
    <t>Production des affiches et dépliants</t>
  </si>
  <si>
    <t>Diffusion des messages de sensibilisation par les radios locales</t>
  </si>
  <si>
    <t>Résultat  2.2: Structures de Dialogue et leaders communautaires renforcés sur le processus de stabilisation</t>
  </si>
  <si>
    <t>Produit 2.2.1:  Les capacites des membres de structures  sont accrues</t>
  </si>
  <si>
    <t xml:space="preserve">Activité 2.2.1.1: Organisation d'un atelier de lancement du Projet.  </t>
  </si>
  <si>
    <t>restauration au cours de l'atelier</t>
  </si>
  <si>
    <t>Logement et restauration du soir des non résidents à Mambasa</t>
  </si>
  <si>
    <t>Remboursement des frais de transport des personnes non résidents à Mambasa</t>
  </si>
  <si>
    <t>Paiement frais de transport aux résidents à Mambasa</t>
  </si>
  <si>
    <t>carburant pour les véhicules</t>
  </si>
  <si>
    <t>Fournitures pour session</t>
  </si>
  <si>
    <t xml:space="preserve">Activité 2.2.1.2: Formation des membres  des comités des CLE et de Cases de femmes </t>
  </si>
  <si>
    <t>Location salle de réunions pour la formation</t>
  </si>
  <si>
    <t>restauration des participation formation</t>
  </si>
  <si>
    <t>logement et restauration du soir des non résident</t>
  </si>
  <si>
    <t>Remboursement transport des non résident</t>
  </si>
  <si>
    <t>Activité 2.2.1.3 : Session sur le leadership Cohésif (2 sessions)</t>
  </si>
  <si>
    <t>Logement des membres équipe à Epulu</t>
  </si>
  <si>
    <t>Location salle de la formation</t>
  </si>
  <si>
    <t>Frais de transport pour les experts en Leadership</t>
  </si>
  <si>
    <t>Perdiem pour les experts pendant la formation</t>
  </si>
  <si>
    <t>Honaires des experts pour la formation</t>
  </si>
  <si>
    <t xml:space="preserve">Activité 2.1.2.3 : Appui à l'autonomisation des structures locales de dialogue (CLE et CDF) </t>
  </si>
  <si>
    <t>Appui aux activités d'autonomisation initiées par les CLEs</t>
  </si>
  <si>
    <t>Acticité 2.1.2.5: Appui et accompagnement des Cases de femmes (CdF)vers l'autonomisation</t>
  </si>
  <si>
    <t>Appui aux activités d'autonomisation initiées par les Case des femmes</t>
  </si>
  <si>
    <t>Sous-total Objective Specifique 2</t>
  </si>
  <si>
    <t xml:space="preserve">OBJECTIVE SPECIFIQUE 4: Gouvernance locale est ameliorée sur l'axe du projet </t>
  </si>
  <si>
    <t>Resultat 4.1: Les reponses  aux enjeux  de gouvernance  sont identifiées et apportées par   le comite de sécurité élargi</t>
  </si>
  <si>
    <t>Produit 4.1.1: Les mechanismes  de consertation  entre ETD et la population sont operationnels</t>
  </si>
  <si>
    <t>Activité 4.1.1.1: Appui et accompagnement réunions de comité de sécurité élargie à la société civile au niveau des chefferies et autres</t>
  </si>
  <si>
    <t xml:space="preserve">Location salle de réunion </t>
  </si>
  <si>
    <t>Repas et pause café pour les participants</t>
  </si>
  <si>
    <t>Fournitures pédagogiques pour rencontres</t>
  </si>
  <si>
    <t>Prise encharge des participants résidants</t>
  </si>
  <si>
    <t xml:space="preserve">Frais de transport pour les résidents </t>
  </si>
  <si>
    <t>Activité 4.1.1. 2: Appui et accompagnement réunions de comité de sécurité élargie à la société civile au niveau du territoire.</t>
  </si>
  <si>
    <t>Location de la salle de réunion comité territoire</t>
  </si>
  <si>
    <t>Frais de transport aux participants non Résidents</t>
  </si>
  <si>
    <t>Prise en charge des participants non résidants</t>
  </si>
  <si>
    <t>Frais de transport des autres participants</t>
  </si>
  <si>
    <t>Frais carburants pour le mission</t>
  </si>
  <si>
    <t>Frais de communication télephone</t>
  </si>
  <si>
    <t>Activité :4.1.1.3:  Appui à la réalisation des résolutions des réunions de Comité de Sécurité Elargie.</t>
  </si>
  <si>
    <t>Forfait pour la réalisation des résolutions des comité de sécurité élargies</t>
  </si>
  <si>
    <t>Résultat 4.2 Confiance entre population et les services étatiques ameliorée</t>
  </si>
  <si>
    <t>Produit 4.2.1. Bonne connaissance des devoirs et droits des citoyens envers l'état et prise de concience des devoirs des services de l'état envers la population</t>
  </si>
  <si>
    <t>Activité 4.2.1.1: Organisation de deux tournois sportifs sur l’axe du projet.</t>
  </si>
  <si>
    <t xml:space="preserve">Achant matériels et équipement sportifs </t>
  </si>
  <si>
    <t>Location tente + chaises plastics</t>
  </si>
  <si>
    <t xml:space="preserve">Céremonie de lancement officielles </t>
  </si>
  <si>
    <t>Céremonie de cloture et remise officielles de coupes aux équipes gagnantes</t>
  </si>
  <si>
    <t>Valeurs de coupes pour les 2 équipes gagnantes</t>
  </si>
  <si>
    <t xml:space="preserve">Réception des invitées et partage de repas </t>
  </si>
  <si>
    <t>Location salle de réception</t>
  </si>
  <si>
    <t>Sonorisation et couverture madiatique</t>
  </si>
  <si>
    <t xml:space="preserve">Banderoles et autres visibilités </t>
  </si>
  <si>
    <t>Activité 4.2.1.1: Organisation des journées communautaires de bases sous forme des journées portes ouvertes sur l'axe du projet</t>
  </si>
  <si>
    <t xml:space="preserve">Activités préparatoires (consultation des parties prénantes, prise de contact avec l'attente territorial de football, identifications des équipes et modalités pratiques) </t>
  </si>
  <si>
    <t>Deplacement et prise en charge des autorités concernées</t>
  </si>
  <si>
    <t>Produiction des depliants et banderoles</t>
  </si>
  <si>
    <t>Location tente + chaises plastics à installer au stade</t>
  </si>
  <si>
    <t>Rafraichissement des invités (police, STAREC, services étatiques, société civle, chefs coutumiers, et autres représentants de la population)</t>
  </si>
  <si>
    <t>Impressions T shirts+chapeau</t>
  </si>
  <si>
    <t>Sonorisation et couverture médiatique</t>
  </si>
  <si>
    <t>Transport des matériels et autres frais imprevus</t>
  </si>
  <si>
    <t xml:space="preserve">Sous-total Objective Specifique 4: </t>
  </si>
  <si>
    <t xml:space="preserve">OBJECTIVE SPECIFIQUE 5:  La cohésion sociale et  la résilience des communautés sont améliorées </t>
  </si>
  <si>
    <t>Resultat 5.1: PLPD sont mis en oeuvre par le fonds flexible (souple) pour la transformation des conflits sur la zone du projet</t>
  </si>
  <si>
    <t>Produit 5.2.3. :  Le fonctionnement des groupements Muso est amélioré</t>
  </si>
  <si>
    <t xml:space="preserve"> Acticité 5.1.1.2 : Accompagnement et mise en œuvre des plans locaux de développement </t>
  </si>
  <si>
    <t>Mise en place d'un comité conjoint et accompagnement des réunions d'étude, analyse et selection des activités prioritaires inscrits dans le PLPD</t>
  </si>
  <si>
    <t>Accompagnement des réunions du comités de séléction des micro-projets sur les priorités des PLPD</t>
  </si>
  <si>
    <t>Mise en œuvre des micro-projets retenus</t>
  </si>
  <si>
    <t>Construction d'un espace d'encadrement des jeunes à Mambasa</t>
  </si>
  <si>
    <t>Equipement et financement des activités connexes choisies par les jeunes</t>
  </si>
  <si>
    <t>Innauguration du centre des jeunes (EJPD)</t>
  </si>
  <si>
    <t>Résultat 5.2: Engagement maintenu des bénéficiaires  actifs aux activités de la phase 1 pour la pérennisation</t>
  </si>
  <si>
    <t>Location de formation des membres comité Groupement des MUSO</t>
  </si>
  <si>
    <t xml:space="preserve">Evaluation des activités des AGRs de la première phase et prise en charges des activités  préparatoires (reunions préparatoirtes, entretiens avec les bénéficiaires, visites des activités d'AGRs) </t>
  </si>
  <si>
    <t>Rencontre de classification et validation des choix des bénéficiaires</t>
  </si>
  <si>
    <t>Assamblée générale de regroupement des bénéficiaires selon les filières d'activités</t>
  </si>
  <si>
    <t xml:space="preserve">Assemblées générales d'élections de comités de directeurs de chaque groupement </t>
  </si>
  <si>
    <t xml:space="preserve">Mise en place de comité de contrôle </t>
  </si>
  <si>
    <t>Activité 5.2.2.1 : Formation des membres des comités de gestion et de contrôle des associations paysannes de femmes en gestion des opérations financières et logistiques.</t>
  </si>
  <si>
    <t xml:space="preserve">Location salle </t>
  </si>
  <si>
    <t>Repas et rafraichissement des participants</t>
  </si>
  <si>
    <t xml:space="preserve">Materiels et fournitures pédagogiques </t>
  </si>
  <si>
    <t>Prise charge des formateurs</t>
  </si>
  <si>
    <t>Sonorisation et visibilités (banderole)</t>
  </si>
  <si>
    <t>Activité 5.2.2.2 : Mise en place des outils de contrôle et de gestion ;</t>
  </si>
  <si>
    <t>Dotation des comités des gestions en fournitures des bureau, outils de suivis et de gestion quotidienne des association paysannes</t>
  </si>
  <si>
    <t>Activité 5.2.2.3 : Atelier d’échanges d’expériences entre les comités  des associations paysannes mise en place</t>
  </si>
  <si>
    <t>Logement participants non resident de Mambasa</t>
  </si>
  <si>
    <t>Remboursement de travsports des participants non resident de Mambasa</t>
  </si>
  <si>
    <t>Transports des participants resident de Mambasa</t>
  </si>
  <si>
    <t xml:space="preserve">Activité 5.2.3.1.:Formation des membres des comités de groupement des MUSO </t>
  </si>
  <si>
    <t>Fournitures pédagogiques pour les participants à la session</t>
  </si>
  <si>
    <t>Remboursement des frais de transport des personnes non résidents</t>
  </si>
  <si>
    <t>Frais de transport aux autres participants</t>
  </si>
  <si>
    <t xml:space="preserve">Carburant pour les motos </t>
  </si>
  <si>
    <t xml:space="preserve">Activité 5.2.3.2. Accompagnement des réunions mensuelles des Groupement  de MUSO, </t>
  </si>
  <si>
    <t>Animateurs MUSO</t>
  </si>
  <si>
    <t>Location salle de réunion mensuelle Muso</t>
  </si>
  <si>
    <t>Communication télephone</t>
  </si>
  <si>
    <t>Activité 5.2.3.3.  Suivi des MUSO par les animateurs endogènes et echange d'experience avec d'autres groupement économiques</t>
  </si>
  <si>
    <t>Frais de suivi des MUSO par animateurs endogènes</t>
  </si>
  <si>
    <t>Forunitures pour suivi des MUSO</t>
  </si>
  <si>
    <t>Activité 5.2.3.4.  Organisation des enquêtes de classification des MUSO pour consolider les groupements,</t>
  </si>
  <si>
    <t>Frais enquêtes de classification</t>
  </si>
  <si>
    <t xml:space="preserve">Activité 5.2.3.5 Appui organisationnel et statutaires (Assemblées Générales, Comité de Gestion, Comité des Sages, etc.) des Groupement des MUSO </t>
  </si>
  <si>
    <t>Sous-total Objective Specifique 5</t>
  </si>
  <si>
    <t xml:space="preserve">Sous total </t>
  </si>
  <si>
    <t>Equipement de bureau</t>
  </si>
  <si>
    <t xml:space="preserve">Connexion Internet </t>
  </si>
  <si>
    <t>Sécurité, Bureau et Maintenance</t>
  </si>
  <si>
    <t>Sous total service contractuelles</t>
  </si>
  <si>
    <t>IOM Duty travel</t>
  </si>
  <si>
    <t xml:space="preserve">Fuel </t>
  </si>
  <si>
    <t>Maintenance</t>
  </si>
  <si>
    <t>Communication</t>
  </si>
  <si>
    <t>Contribution loyer et frais connexes</t>
  </si>
  <si>
    <t>IOM MOSS (38,90%)</t>
  </si>
  <si>
    <t xml:space="preserve">IOM Goma support  costs </t>
  </si>
  <si>
    <t xml:space="preserve">sous total </t>
  </si>
  <si>
    <t>OBJECTIF SPECIFIQUE 6 :  Niveau de violences sexuelles et  celles basées sur le genre  réduit</t>
  </si>
  <si>
    <t>Produit 6.1:  L’information, l’orientation et l’  assistance judiciaire des victimes des violences sexuelles  sont assurées</t>
  </si>
  <si>
    <t xml:space="preserve"> Appui à la Clinique  Juridique</t>
  </si>
  <si>
    <t xml:space="preserve">Transport des victimes aux
lieux des juridictions (transport
routier)
</t>
  </si>
  <si>
    <t>PNUD</t>
  </si>
  <si>
    <t>Frais de prise en charge des victimes et témoins y compris les parents si les victimes sont mineures(logement,resturation,</t>
  </si>
  <si>
    <t>Transport   des prévenus et escortes(routier ou carburant)</t>
  </si>
  <si>
    <t>Transport des membres de la clinique vers les instances policières et  judiciaires (transport routier)</t>
  </si>
  <si>
    <t>Personnel de la Clinque (coorodnnateur,comptable,parajuriste,netoyeur)</t>
  </si>
  <si>
    <t>Materiel et fournitures</t>
  </si>
  <si>
    <t>cartouche imprimante</t>
  </si>
  <si>
    <t>communication</t>
  </si>
  <si>
    <t>Suivi   et evaluation interne</t>
  </si>
  <si>
    <t>Sensibilisation qu droit eaus services offerts par la CJ</t>
  </si>
  <si>
    <t>credits sensibilisateurs</t>
  </si>
  <si>
    <t xml:space="preserve"> Total CJ</t>
  </si>
  <si>
    <t>Appui au Barreau (BCG) pour l'assistance judiciaire des victimes des VS</t>
  </si>
  <si>
    <t>Fonctionnement</t>
  </si>
  <si>
    <t>Frais du Huissier pour signification des exploits judiciaires</t>
  </si>
  <si>
    <t>Frais pour préambule des jugements</t>
  </si>
  <si>
    <t>Frais de justice :consignation ,actes divers</t>
  </si>
  <si>
    <t>Levée copie et certification du dossier</t>
  </si>
  <si>
    <t>Frais de Transport de l'Avocat e Bunia/Mambasa(E/R)</t>
  </si>
  <si>
    <t>Transport local avocats</t>
  </si>
  <si>
    <t xml:space="preserve"> DSA de Avocat</t>
  </si>
  <si>
    <t>Suivi  et rapportage</t>
  </si>
  <si>
    <t xml:space="preserve"> Total barreau</t>
  </si>
  <si>
    <t>Tenues des audiences   foraines à Mambasa</t>
  </si>
  <si>
    <t xml:space="preserve"> dsa des juges membre de  la composition</t>
  </si>
  <si>
    <t>dsa ministère public</t>
  </si>
  <si>
    <t>dsa greffiers</t>
  </si>
  <si>
    <t>dsa huissiers judiciaires</t>
  </si>
  <si>
    <t>Avocat  de la défense des prévenus</t>
  </si>
  <si>
    <t>Avocat  de la partie civile</t>
  </si>
  <si>
    <t>Interprete</t>
  </si>
  <si>
    <t xml:space="preserve"> PerdiemEscorte  par la police</t>
  </si>
  <si>
    <t>Consignation partie civile</t>
  </si>
  <si>
    <t xml:space="preserve">Transport des victimes
</t>
  </si>
  <si>
    <t>Frais de séjour des victimes(logement,restauration etc…)</t>
  </si>
  <si>
    <t>Carburant camion des  detenus</t>
  </si>
  <si>
    <t>Location vehicule  pour composition</t>
  </si>
  <si>
    <t>Restauration des detenus</t>
  </si>
  <si>
    <t>Restauration des elements d'escorte</t>
  </si>
  <si>
    <t>calicot</t>
  </si>
  <si>
    <t>Rames de papier</t>
  </si>
  <si>
    <t>Fardes chemise</t>
  </si>
  <si>
    <t>location sonorisation et carburant</t>
  </si>
  <si>
    <t>Baches</t>
  </si>
  <si>
    <t xml:space="preserve">coordination de l'activité et supervision </t>
  </si>
  <si>
    <t>Carburant véhicule  PNUD</t>
  </si>
  <si>
    <t>Total    deux audiences foraines</t>
  </si>
  <si>
    <t>Produit 6.1.2: Fonctionnement des structures et de la chaine penale est amelioree</t>
  </si>
  <si>
    <t>Réhabilitation du tribunal de paix de Mambasa</t>
  </si>
  <si>
    <t>Supervision des travaux</t>
  </si>
  <si>
    <t>Total    réhabilitation tripaix  de Mambasa</t>
  </si>
  <si>
    <t xml:space="preserve">Enquete de perception </t>
  </si>
  <si>
    <t>Total  enquete de perception</t>
  </si>
  <si>
    <t>Produit 6.2.1:  Sensibilite  accrue  des parties prenantes  sur les mefaits des normes sociales nocives aux VBG</t>
  </si>
  <si>
    <t xml:space="preserve">Sensibilisations  communautaires </t>
  </si>
  <si>
    <t>Production des supports de sensibilisation(depliants,brochures,affiches)</t>
  </si>
  <si>
    <t>Gilets ,chépi pour  les sensibilisation</t>
  </si>
  <si>
    <t>Contrat Radio</t>
  </si>
  <si>
    <t>Formation des sensibilisateurs</t>
  </si>
  <si>
    <t>repas des partticipants 30 pers (à Mambasa,Epulu,Niania)</t>
  </si>
  <si>
    <t xml:space="preserve">Transport local des particpants </t>
  </si>
  <si>
    <t>Perdiem Autorités locales /Chefs groupements intervenants</t>
  </si>
  <si>
    <t>DSA des animateurs de la CJ</t>
  </si>
  <si>
    <t>Carburant (moto  et generateur)</t>
  </si>
  <si>
    <t>Blocs note A4</t>
  </si>
  <si>
    <t>Stylos</t>
  </si>
  <si>
    <t>Eau</t>
  </si>
  <si>
    <t>Couverture médiatique</t>
  </si>
  <si>
    <t>Sensibilisation grands publics  journées portes ouvertes  MAMBASA,EPULU,NIANIA</t>
  </si>
  <si>
    <t>Achat des boissons sucrées et sachet des biscuits</t>
  </si>
  <si>
    <t xml:space="preserve">Location de la salle </t>
  </si>
  <si>
    <t>Collation des animateurs parajuristes</t>
  </si>
  <si>
    <t>DSA du superviseur</t>
  </si>
  <si>
    <t>Total  sensibilisations</t>
  </si>
  <si>
    <t>Sous  total Objectif specifique 6</t>
  </si>
  <si>
    <t>OBJECTIF SPECIFIQUE 5: Contribuer à l'amélioration de la cohésion sociale et la résilience des communautés grâce au renforcement des initiatives locales de développement.</t>
  </si>
  <si>
    <t>Produit 5.1:élaboration des plans locaux de developpement</t>
  </si>
  <si>
    <t>Elaboration des plans locaux de paix et de  developpement</t>
  </si>
  <si>
    <t>Atelier de  validation des plans locaux de paix  de developpement</t>
  </si>
  <si>
    <t>Total elaboration des plans de paix et de developpement</t>
  </si>
  <si>
    <t>Chef de projet</t>
  </si>
  <si>
    <t xml:space="preserve">Lap top </t>
  </si>
  <si>
    <t>Imprimante digitalsender</t>
  </si>
  <si>
    <t>stabilisateur</t>
  </si>
  <si>
    <t xml:space="preserve">Armoire metallique </t>
  </si>
  <si>
    <t>Zoom  pour appareil photo</t>
  </si>
  <si>
    <t>Mission de terrain</t>
  </si>
  <si>
    <t>Missions de suivi</t>
  </si>
  <si>
    <t>Contribution au budget des services communs bureau bunia</t>
  </si>
  <si>
    <t>Data Entry</t>
  </si>
  <si>
    <t>Results</t>
  </si>
  <si>
    <t>Step 1 - Chose distribution modality using dropdown list:</t>
  </si>
  <si>
    <t>Country (including TTF country)</t>
  </si>
  <si>
    <t>Overhead:</t>
  </si>
  <si>
    <t>Step 2 - Enter contribution amount:</t>
  </si>
  <si>
    <t>Step 3 - Enter GMS rate:</t>
  </si>
  <si>
    <t>Programmable budget:</t>
  </si>
  <si>
    <t>Matériel pédagogique et support logistique </t>
  </si>
  <si>
    <t>Frais généraux de fonctionnement et autres couts directs</t>
  </si>
  <si>
    <t>FAO</t>
  </si>
  <si>
    <t>Identifier, sensibiliser, sélectionner et valider les OP éligibles</t>
  </si>
  <si>
    <t>Élaboration et impression des coupons de valeur sécurisés</t>
  </si>
  <si>
    <t>Fournitures, produits de base, matériels</t>
  </si>
  <si>
    <t>Distribution des coupons de valeur sécurisés</t>
  </si>
  <si>
    <t>Acquisition des intrants au moyen de coupon de valeur</t>
  </si>
  <si>
    <t>Cash Productivity (Cash Transfert)</t>
  </si>
  <si>
    <t>Formation technique sur terrain (Démonstration et pratique)</t>
  </si>
  <si>
    <t>Suivi &amp; accompagnement technique sur terrain)</t>
  </si>
  <si>
    <t>Achat des unités de transformation</t>
  </si>
  <si>
    <t>Transporter et installer les unités de transformation</t>
  </si>
  <si>
    <r>
      <rPr>
        <b/>
        <sz val="11"/>
        <rFont val="Calibri"/>
        <family val="2"/>
        <scheme val="minor"/>
      </rPr>
      <t>Produit5.3.2</t>
    </r>
    <r>
      <rPr>
        <sz val="11"/>
        <rFont val="Calibri"/>
        <family val="2"/>
        <scheme val="minor"/>
      </rPr>
      <t>: L'octroi des credits est assure par les caisses de resiliance</t>
    </r>
  </si>
  <si>
    <t xml:space="preserve">Atelier de formation sur « AVEC » </t>
  </si>
  <si>
    <t>Diner participants atelier</t>
  </si>
  <si>
    <t>Pause café</t>
  </si>
  <si>
    <t>Eau minérale</t>
  </si>
  <si>
    <t>Perdiem des partcipants</t>
  </si>
  <si>
    <t>Transport des participants</t>
  </si>
  <si>
    <t>Mise en place des Caisses de Résilience</t>
  </si>
  <si>
    <t>Supervision &amp; Monitoring de Caisse de Résilience</t>
  </si>
  <si>
    <t xml:space="preserve">Fonds de Cohérence pour la Stabilisation: Budget par Activité </t>
  </si>
  <si>
    <t>(a) Nom de l'organisation: FAO</t>
  </si>
  <si>
    <t>(b) Titre du Projet: Amani ni njia ya Maendeleo "la paix c'est la voie de développement"</t>
  </si>
  <si>
    <t xml:space="preserve">(c) Pour la Période: </t>
  </si>
  <si>
    <t xml:space="preserve">(d) Total du Budget (USD): 98000 </t>
  </si>
  <si>
    <t>(f) Budget TOTAL  98000 USD</t>
  </si>
  <si>
    <t>ACTIVITÉS</t>
  </si>
  <si>
    <t>CATÉGORIES DE DÉPENSE*</t>
  </si>
  <si>
    <t>Quantité</t>
  </si>
  <si>
    <t>Durée/           Fréquence</t>
  </si>
  <si>
    <t>Montant équivalent</t>
  </si>
  <si>
    <t xml:space="preserve">COUTS DIRECTS LIES AUX ACTIVITÉS </t>
  </si>
  <si>
    <t>OBJECTIVE SPÉCIFIQUE 5: Contribuer à l'amélioration de la cohésion sociale et la résilience des communautés grâce au renforcement des initiatives locales de développement.</t>
  </si>
  <si>
    <t>Sous-total Objective Spécifique 5</t>
  </si>
  <si>
    <t>SOUS-TOTAL COUTS DIRECTS LIES AUX ACTIVITÉS (au minimum 60% du budget total)</t>
  </si>
  <si>
    <t xml:space="preserve">Chargé de mise en œuvre </t>
  </si>
  <si>
    <t>Chauffeur</t>
  </si>
  <si>
    <t>Superviseur (Point Focal)</t>
  </si>
  <si>
    <t xml:space="preserve">Encadreur </t>
  </si>
  <si>
    <t>Animateur</t>
  </si>
  <si>
    <t xml:space="preserve"> 2) Fournitures, produits de base, matériels (lies au soutien)</t>
  </si>
  <si>
    <t>Matériels de visibilité</t>
  </si>
  <si>
    <t xml:space="preserve">Pancarte </t>
  </si>
  <si>
    <t>3) Équipements et mobilier (lies au soutien)</t>
  </si>
  <si>
    <t>5) Frais de déplacement (lies au soutien)</t>
  </si>
  <si>
    <t>Missions de terrain</t>
  </si>
  <si>
    <t xml:space="preserve">Supervision &amp; Monitoring des activités </t>
  </si>
  <si>
    <t>Frais de déplacement</t>
  </si>
  <si>
    <t>Support Technique</t>
  </si>
  <si>
    <t>Appui Technique du Siège</t>
  </si>
  <si>
    <t>Évaluation finale du projet</t>
  </si>
  <si>
    <t>Reporting</t>
  </si>
  <si>
    <t>Reporting des activités</t>
  </si>
  <si>
    <t>Prise en charge  missions CTS  du projet conjoint</t>
  </si>
  <si>
    <t xml:space="preserve">Insérer/Supprimer autant de lignes que nécessaires pour ajuster le budget au résultats/produits/activités </t>
  </si>
  <si>
    <t xml:space="preserve">* Il y a sept catégories:  1) Personnel et autres employés 2) Fournitures, produits de base, matériels 3) Équipements et mobilier 4) Services Contractuels 5) Frais de déplacement 6) Transferts et subventions 7) Frais généraux de fonctionnement et autres couts directs (Voir la note explicative sur  l’élaboration d’un budget à soumettre au Fonds) </t>
  </si>
  <si>
    <t xml:space="preserve">** Ce sont des "Services Généraux de Gestion", qui sont calculés selon la formule suivante:  </t>
  </si>
  <si>
    <t>*** Chaque projet ISSSS doit assurer que 15% des fonds sont consacrée a les objectifs sensible au genre (Voir les lignes directrices sur l'intégration du Genre dans les programmes de stabilisation)</t>
  </si>
  <si>
    <t>Équipements et mobilier</t>
  </si>
  <si>
    <t>Monitoring et suivi des  des partenaires sur terrain</t>
  </si>
  <si>
    <t>Procurement &amp; Logistics Officer (5%)</t>
  </si>
  <si>
    <t>Kinshasa support staff (5%)</t>
  </si>
  <si>
    <t>Project Field Coordinator (100%)</t>
  </si>
  <si>
    <t xml:space="preserve">Admin/fin/log Assistant (100%) </t>
  </si>
  <si>
    <t xml:space="preserve">Driver (100%) </t>
  </si>
  <si>
    <t>Etude de base des indicateurs du projet conjoint</t>
  </si>
  <si>
    <t>Enquete de perception HHI</t>
  </si>
  <si>
    <t xml:space="preserve">Visite terrain (3) CTS </t>
  </si>
  <si>
    <t>Réunions Comité Technique de Coordination (2) (CTC)</t>
  </si>
  <si>
    <t>Mis en œuvre de la stratégie de Mobilisation de Fond
(2 mission de plaidoyer à Goma et Kinshasa)</t>
  </si>
  <si>
    <r>
      <rPr>
        <sz val="10"/>
        <color rgb="FFFF0000"/>
        <rFont val="Calibri"/>
        <family val="2"/>
        <scheme val="minor"/>
      </rPr>
      <t>2.</t>
    </r>
    <r>
      <rPr>
        <sz val="10"/>
        <color theme="1"/>
        <rFont val="Calibri"/>
        <family val="2"/>
        <scheme val="minor"/>
      </rPr>
      <t xml:space="preserve"> Fournitures, produits de base, materiels</t>
    </r>
  </si>
  <si>
    <r>
      <rPr>
        <sz val="10"/>
        <color rgb="FFFF0000"/>
        <rFont val="Calibri"/>
        <family val="2"/>
        <scheme val="minor"/>
      </rPr>
      <t>3.</t>
    </r>
    <r>
      <rPr>
        <sz val="10"/>
        <color theme="1"/>
        <rFont val="Calibri"/>
        <family val="2"/>
        <scheme val="minor"/>
      </rPr>
      <t xml:space="preserve"> Equipements et mobilier</t>
    </r>
  </si>
  <si>
    <r>
      <rPr>
        <sz val="10"/>
        <color rgb="FFFF0000"/>
        <rFont val="Calibri"/>
        <family val="2"/>
        <scheme val="minor"/>
      </rPr>
      <t>4</t>
    </r>
    <r>
      <rPr>
        <sz val="10"/>
        <color theme="1"/>
        <rFont val="Calibri"/>
        <family val="2"/>
        <scheme val="minor"/>
      </rPr>
      <t>. Services Contractuels</t>
    </r>
  </si>
  <si>
    <r>
      <rPr>
        <sz val="10"/>
        <color rgb="FFFF0000"/>
        <rFont val="Calibri"/>
        <family val="2"/>
        <scheme val="minor"/>
      </rPr>
      <t>5.</t>
    </r>
    <r>
      <rPr>
        <sz val="10"/>
        <rFont val="Calibri"/>
        <family val="2"/>
        <scheme val="minor"/>
      </rPr>
      <t xml:space="preserve"> Frais de deplacement</t>
    </r>
  </si>
  <si>
    <r>
      <rPr>
        <sz val="10"/>
        <color rgb="FFFF0000"/>
        <rFont val="Calibri"/>
        <family val="2"/>
        <scheme val="minor"/>
      </rPr>
      <t xml:space="preserve">6. </t>
    </r>
    <r>
      <rPr>
        <sz val="10"/>
        <rFont val="Calibri"/>
        <family val="2"/>
        <scheme val="minor"/>
      </rPr>
      <t>Transferts et subventions</t>
    </r>
  </si>
  <si>
    <t>** The rate shall not exceed 7% of the total of categories 1-7</t>
  </si>
  <si>
    <t xml:space="preserve">IOM </t>
  </si>
  <si>
    <t xml:space="preserve">UNESCO </t>
  </si>
  <si>
    <t xml:space="preserve">UNDP </t>
  </si>
  <si>
    <t xml:space="preserve">FAO </t>
  </si>
  <si>
    <r>
      <t xml:space="preserve">(e) GMS 7% </t>
    </r>
    <r>
      <rPr>
        <b/>
        <sz val="10"/>
        <rFont val="Calibri"/>
        <family val="2"/>
        <scheme val="minor"/>
      </rPr>
      <t xml:space="preserve"> (USD):</t>
    </r>
  </si>
  <si>
    <t xml:space="preserve">Tranche 1 </t>
  </si>
  <si>
    <t xml:space="preserve">Tranche 2 </t>
  </si>
  <si>
    <t xml:space="preserve">Tramch 2 </t>
  </si>
  <si>
    <r>
      <t>Couts GMS 7%</t>
    </r>
    <r>
      <rPr>
        <sz val="10"/>
        <color rgb="FFFF0000"/>
        <rFont val="Calibri"/>
        <family val="2"/>
        <scheme val="minor"/>
      </rPr>
      <t>**</t>
    </r>
    <r>
      <rPr>
        <sz val="10"/>
        <rFont val="Calibri"/>
        <family val="2"/>
        <scheme val="minor"/>
      </rPr>
      <t xml:space="preserve">  </t>
    </r>
  </si>
  <si>
    <r>
      <rPr>
        <sz val="10"/>
        <color rgb="FFFF0000"/>
        <rFont val="Calibri"/>
        <family val="2"/>
        <scheme val="minor"/>
      </rPr>
      <t xml:space="preserve">7. </t>
    </r>
    <r>
      <rPr>
        <sz val="10"/>
        <rFont val="Calibri"/>
        <family val="2"/>
        <scheme val="minor"/>
      </rPr>
      <t xml:space="preserve">Frais generaux de fonctionnement et autres couts directs (max 10%) </t>
    </r>
  </si>
  <si>
    <r>
      <rPr>
        <sz val="10"/>
        <color rgb="FFFF0000"/>
        <rFont val="Calibri"/>
        <family val="2"/>
        <scheme val="minor"/>
      </rPr>
      <t>1.</t>
    </r>
    <r>
      <rPr>
        <sz val="10"/>
        <color theme="1"/>
        <rFont val="Calibri"/>
        <family val="2"/>
        <scheme val="minor"/>
      </rPr>
      <t xml:space="preserve"> Personnel et autres employés (max 15% ) </t>
    </r>
  </si>
  <si>
    <t xml:space="preserve">Total des Couts liés au Programme  (=Total 7 categories) </t>
  </si>
  <si>
    <t>Avril 2017-Avril 2018</t>
  </si>
  <si>
    <t>Fournitures pédagogiques pour réunion</t>
  </si>
  <si>
    <t>Restauration des participants lors de l'analyse</t>
  </si>
  <si>
    <t>Appui à la mise en œuvre des réunions</t>
  </si>
  <si>
    <t>Frais d'appui à la mise en œuvre des activités</t>
  </si>
  <si>
    <t>FI animateurs Cadres de Concertation</t>
  </si>
  <si>
    <t>fournitures pour les participants</t>
  </si>
  <si>
    <t>Facilitation de la mise en œuvre des cadre de concertation</t>
  </si>
  <si>
    <t>FI des animateurs pour soutenir organisation</t>
  </si>
  <si>
    <t>Frais d'appuis à l'organisation de la table ronde</t>
  </si>
  <si>
    <t>Activité 2.1.1.7 : Organisation des missions plaidoyer auprès des autorités provincial (Bunia)</t>
  </si>
  <si>
    <t>Différents autres frais</t>
  </si>
  <si>
    <t>Frais fournitures pour session</t>
  </si>
  <si>
    <t>FI des animateurs atelier élaboration message de sensibilisation</t>
  </si>
  <si>
    <t>Frais Itinérance coordinateur</t>
  </si>
  <si>
    <t xml:space="preserve">Facilitation et expertise des animateurs </t>
  </si>
  <si>
    <t>Frais de mission equipe ACIAR</t>
  </si>
  <si>
    <t>Frais itinérance pour les animateurs ACIAR</t>
  </si>
  <si>
    <t xml:space="preserve">Prise en charge des animateurs </t>
  </si>
  <si>
    <t>FI des animateurs sessions formation CLEs</t>
  </si>
  <si>
    <t xml:space="preserve">Appui à la mise en œuvre des activités </t>
  </si>
  <si>
    <t>Frais Itinérance animateurs réunions</t>
  </si>
  <si>
    <t>restauration au cours du comité de sécurité</t>
  </si>
  <si>
    <t>Frais Itinérance animateurs Muso</t>
  </si>
  <si>
    <t xml:space="preserve">Accompagnement et falicitation des formations par les animateurs </t>
  </si>
  <si>
    <t>carburant pour motos</t>
  </si>
  <si>
    <t>perdiem consultant pendant les enquêtes</t>
  </si>
  <si>
    <t>Frais forfaitaire pour soutenir la réalisation des réunions statutaires</t>
  </si>
  <si>
    <t>Avril  2017-Avril 2018</t>
  </si>
  <si>
    <t xml:space="preserve"> Budget total</t>
  </si>
  <si>
    <t>SB-000656.07.01</t>
  </si>
  <si>
    <t>SB-000656.07.01.01  CFI</t>
  </si>
  <si>
    <t>Product 3.1.1 Land conflicts are addressed and resolved</t>
  </si>
  <si>
    <t>Product 3.1.2
Enhanced dialogue, early warning and mediation structure</t>
  </si>
  <si>
    <t>Product 3.1.3
Antennas of the IFC are capacities in management of land disputes</t>
  </si>
  <si>
    <t>Output 3.1.4 Local communities are made aware of mechanisms for preventing and resolving land disputes</t>
  </si>
  <si>
    <t>Product 3.1.5
Sensitivity of SEDs on issues related to access to and securing land for vulnerable groups</t>
  </si>
  <si>
    <t>Co-ordination of the joint project</t>
  </si>
  <si>
    <t xml:space="preserve">
5) Travel expenses (related to support)</t>
  </si>
  <si>
    <t>Mission to implement activities</t>
  </si>
  <si>
    <t>Travelling expenses</t>
  </si>
  <si>
    <t>SB-000656.07.01.07</t>
  </si>
  <si>
    <t>SB-000656.07.01.08</t>
  </si>
  <si>
    <t>SB-000656.07.01.09</t>
  </si>
  <si>
    <t>SB-000656.07.01.10</t>
  </si>
  <si>
    <t>SB-000656.07.01.01 C F I</t>
  </si>
  <si>
    <r>
      <t xml:space="preserve">COUTS DIRECTS DE SOUTIEN </t>
    </r>
    <r>
      <rPr>
        <b/>
        <sz val="11"/>
        <color rgb="FFFF0000"/>
        <rFont val="Calibri"/>
        <family val="2"/>
      </rPr>
      <t>SB-000656.07.01.11
DIRECT SUPPORT COSTS</t>
    </r>
  </si>
  <si>
    <t xml:space="preserve">5) Frais de deplacement (lies au soutien) </t>
  </si>
  <si>
    <t xml:space="preserve">                                               </t>
  </si>
  <si>
    <t>% par rapport au prévu</t>
  </si>
  <si>
    <t>Depenses Réelles</t>
  </si>
  <si>
    <t>Paiement d'un Associé à la médiation  ( Grade SC6) qui  accompagne techniquement la CFI pendant toute la période du projet.</t>
  </si>
  <si>
    <t xml:space="preserve"> dépense réelle</t>
  </si>
  <si>
    <t xml:space="preserve"> % de dépenses selon le budget prévu</t>
  </si>
  <si>
    <r>
      <t xml:space="preserve">Produit 5.3.1: </t>
    </r>
    <r>
      <rPr>
        <sz val="11"/>
        <rFont val="Calibri"/>
        <family val="2"/>
        <scheme val="minor"/>
      </rPr>
      <t>La production  agricole , animale et piscicole  de qualité est accrue</t>
    </r>
  </si>
  <si>
    <t xml:space="preserve">Activité realisé en juillet </t>
  </si>
  <si>
    <t>Budget approuve</t>
  </si>
  <si>
    <t xml:space="preserve">Depenses Réelles </t>
  </si>
  <si>
    <t xml:space="preserve">%  par rapport au prévu  </t>
  </si>
  <si>
    <t>RAPPORT FINANCIER NON CERTIFIE DE AVRIL 2017- A JUILLET 2018</t>
  </si>
  <si>
    <t>ORGANISATION INTERNATIONALE POUR LA MIGRATION</t>
  </si>
  <si>
    <t>AMANI NI NJIA YA MAENDELEO</t>
  </si>
  <si>
    <t>01 avril 2017 à 12 juillet 2018</t>
  </si>
  <si>
    <r>
      <t>(d) Total du Budget (USD):</t>
    </r>
    <r>
      <rPr>
        <sz val="11"/>
        <color rgb="FFFF0000"/>
        <rFont val="Calibri"/>
        <family val="2"/>
        <scheme val="minor"/>
      </rPr>
      <t xml:space="preserve"> 548 800</t>
    </r>
  </si>
  <si>
    <r>
      <t xml:space="preserve">(f) Budget TOTAL : </t>
    </r>
    <r>
      <rPr>
        <sz val="11"/>
        <color rgb="FFFF0000"/>
        <rFont val="Calibri"/>
        <family val="2"/>
        <scheme val="minor"/>
      </rPr>
      <t>548 800 $</t>
    </r>
  </si>
  <si>
    <t>Allocation recue (première tranche)</t>
  </si>
  <si>
    <t>ACIAR</t>
  </si>
  <si>
    <t>CS.0859.CD60.54.10.002</t>
  </si>
  <si>
    <t xml:space="preserve">Activités en cours par ACIAR- Depenses repertoriées dans l'Etat Financier Novembre </t>
  </si>
  <si>
    <t>CS.0859.CD60.54.10.003</t>
  </si>
  <si>
    <t>CS.0859.CD60.54.10.004</t>
  </si>
  <si>
    <t>CS.0859.CD60.54.10.005</t>
  </si>
  <si>
    <t>Phase prepartoire en cours avec ACIAR</t>
  </si>
  <si>
    <t>CS.0859.CD60.54.10.006</t>
  </si>
  <si>
    <t>Planifiée pour Janvier 2018</t>
  </si>
  <si>
    <t>CS.0859.CD60.54.10.007</t>
  </si>
  <si>
    <t>Planifié pour Mars 2018</t>
  </si>
  <si>
    <t>CS.0859.CD60.54.10.008</t>
  </si>
  <si>
    <t>Planifiée pour Avril 2018</t>
  </si>
  <si>
    <t>CS.0859.CD60.54.10.009</t>
  </si>
  <si>
    <t>Planifié pour Novembre 2017</t>
  </si>
  <si>
    <t>CS.0859.CD60.54.10.010</t>
  </si>
  <si>
    <t xml:space="preserve">Activité en cours , 69 % de depenses après 4 mois de mise en œuvre </t>
  </si>
  <si>
    <t>CS.0859.CD60.54.10.001</t>
  </si>
  <si>
    <t>CS.0859.CD60.54.10.012</t>
  </si>
  <si>
    <t>CS.0859.CD60.54.10.011</t>
  </si>
  <si>
    <t xml:space="preserve">Activités preparatoires en cours </t>
  </si>
  <si>
    <t>CS.0859.CD60.54.10.013</t>
  </si>
  <si>
    <t>Activités planifiées plus tard ( Janvier à mars 2018)</t>
  </si>
  <si>
    <t>CS.0859.CD60.56.03.001</t>
  </si>
  <si>
    <t>Activité en cours réalisées à 22 % apres 4 mois,</t>
  </si>
  <si>
    <t>CS.0859.CD60.54.10.014</t>
  </si>
  <si>
    <t>En cours de mise en œuvre ( par ACIAR)</t>
  </si>
  <si>
    <t>CS.0859.CD60.54.10.015</t>
  </si>
  <si>
    <t>Planifié plus tard, à partir de Decembre 2017</t>
  </si>
  <si>
    <t>CS.0859.CD60.54.10.016</t>
  </si>
  <si>
    <t>Sous Total</t>
  </si>
  <si>
    <t>Planifié pour plus tard , à partir de Octobre 2017</t>
  </si>
  <si>
    <t>CS.0859.CD60.56.03.006</t>
  </si>
  <si>
    <t xml:space="preserve">OIM Mise en place et accompagnent des associations paysannes des femmes/coopératives </t>
  </si>
  <si>
    <t>CS.0859.CD60.32.05.001</t>
  </si>
  <si>
    <t>CS.0859.CD60.32.05.002</t>
  </si>
  <si>
    <t>Activité planifiée Debut Decembre 2017 , Janvier 2018</t>
  </si>
  <si>
    <t>CS.0859.CD60.54.11.004</t>
  </si>
  <si>
    <t>CS.0859.CD60.54.11.002</t>
  </si>
  <si>
    <t>CS.0859.CD60.54.11.003</t>
  </si>
  <si>
    <t>CS.0859.CD60.54.11.001</t>
  </si>
  <si>
    <t xml:space="preserve">Activité mise en oeuvre par OIM . En cours </t>
  </si>
  <si>
    <r>
      <t>Produit 5.1.1</t>
    </r>
    <r>
      <rPr>
        <sz val="11"/>
        <color theme="1"/>
        <rFont val="Calibri"/>
        <family val="1"/>
        <scheme val="minor"/>
      </rPr>
      <t xml:space="preserve"> : Les plans locaux de paix et  de développement (PLPD) sont validés ;</t>
    </r>
  </si>
  <si>
    <t>CS.0859.CD60.54.11.005</t>
  </si>
  <si>
    <t>En attente de validation des Plans Locaux de devellopement.  Processus de construction de la maison des jeunes en cours, demmarage prevu debut 2018</t>
  </si>
  <si>
    <r>
      <t xml:space="preserve">Produit 5.2.1: </t>
    </r>
    <r>
      <rPr>
        <sz val="11"/>
        <color theme="1"/>
        <rFont val="Calibri"/>
        <family val="1"/>
        <scheme val="minor"/>
      </rPr>
      <t>Les bénéficiaires des AGR sont regroupés en association.</t>
    </r>
  </si>
  <si>
    <r>
      <t>Activité 5.2.1.1</t>
    </r>
    <r>
      <rPr>
        <i/>
        <sz val="11"/>
        <color theme="1"/>
        <rFont val="Calibri"/>
        <family val="1"/>
        <scheme val="minor"/>
      </rPr>
      <t> :</t>
    </r>
    <r>
      <rPr>
        <sz val="11"/>
        <color theme="1"/>
        <rFont val="Calibri"/>
        <family val="1"/>
        <scheme val="minor"/>
      </rPr>
      <t xml:space="preserve"> Evaluation et sélection des bénéficiaires. </t>
    </r>
  </si>
  <si>
    <t>CS.0859.CD60.56.03.003</t>
  </si>
  <si>
    <t>Non entamé. A demarrer fin decembre 2017</t>
  </si>
  <si>
    <r>
      <t>Activité 5.2.1.2</t>
    </r>
    <r>
      <rPr>
        <i/>
        <sz val="11"/>
        <color theme="1"/>
        <rFont val="Calibri"/>
        <family val="1"/>
        <scheme val="minor"/>
      </rPr>
      <t xml:space="preserve"> : </t>
    </r>
    <r>
      <rPr>
        <sz val="11"/>
        <color theme="1"/>
        <rFont val="Calibri"/>
        <family val="1"/>
        <scheme val="minor"/>
      </rPr>
      <t>Organiser le regroupement d'AGRs et création des associations paysannes des femmes à Mambasa, Epulu et Niania.</t>
    </r>
  </si>
  <si>
    <r>
      <t>Produit 5.2.2</t>
    </r>
    <r>
      <rPr>
        <sz val="12"/>
        <color theme="1"/>
        <rFont val="Calibri"/>
        <family val="1"/>
        <scheme val="minor"/>
      </rPr>
      <t>: Les capacités des comités de gestion et contrôle des AGR sont renforcées</t>
    </r>
  </si>
  <si>
    <t>CS.0859.CD60.56.03.005</t>
  </si>
  <si>
    <t>CS.0859.CD60.56.03.004</t>
  </si>
  <si>
    <t>Non entamé. A demmarer fin decembre 2017</t>
  </si>
  <si>
    <t>CS.0859.CD60.56.03.002</t>
  </si>
  <si>
    <r>
      <t>Produit 5.2.3:</t>
    </r>
    <r>
      <rPr>
        <sz val="11"/>
        <color theme="1"/>
        <rFont val="Calibri"/>
        <family val="1"/>
        <scheme val="minor"/>
      </rPr>
      <t xml:space="preserve"> Le fonctionnement des groupements MUSO est amélioré</t>
    </r>
  </si>
  <si>
    <t>CS.0859.CD60.54.10.017</t>
  </si>
  <si>
    <t xml:space="preserve">Activités finalisées </t>
  </si>
  <si>
    <t>CS.0859.CD60.54.10.018</t>
  </si>
  <si>
    <t xml:space="preserve">Activités en cours </t>
  </si>
  <si>
    <t>CS.0859.CD60.54.10.019</t>
  </si>
  <si>
    <t>CS.0859.CD60.54.10.020</t>
  </si>
  <si>
    <t>A entamer vers la fin du projet  2017</t>
  </si>
  <si>
    <t>CS.0859.CD60.54.10.021</t>
  </si>
  <si>
    <t>CS.0859.CD60.57.03.001</t>
  </si>
  <si>
    <t xml:space="preserve">Monitoring devant couvrir l'ensemble de la periode de mise en œuvre </t>
  </si>
  <si>
    <t>IOM a transferé la deuxieme tranche du Budget pour ACIAR fin octobre 2017 - Recu par ACIAR debut Novembre ( Montant : USD 74889) mais ce transfert n'est pas encore repertorié ici. Avec ce tranfert , le taux devra augmenter.</t>
  </si>
  <si>
    <t>CS.0859.CD10.10.04.001</t>
  </si>
  <si>
    <t>CS.0859.CD10.11.04.001</t>
  </si>
  <si>
    <t>CS.0859.CD60.11.02.001</t>
  </si>
  <si>
    <t>CS.0859.CD60.11.04.001</t>
  </si>
  <si>
    <t>CS.0859.CD60.11.04.002</t>
  </si>
  <si>
    <t>Le staff a été completé en Aout 2017, avec le recrutement d'un financier. Le statut du point focal IOM qui assure déjà la mise en œuvre sera changé en Senior project Assitant d'ici Novembre 2017 - le processus etant en cours,</t>
  </si>
  <si>
    <t>CS.0859.CD60.12.05.001</t>
  </si>
  <si>
    <t xml:space="preserve">Equipements et mobiliers de bureau </t>
  </si>
  <si>
    <t>CS.0859.CD60.12.03.002</t>
  </si>
  <si>
    <t>CS.0859.CD60.12.09.002</t>
  </si>
  <si>
    <t xml:space="preserve">Sans remarque. Paiement mensuel en cours </t>
  </si>
  <si>
    <t>CS.0859.CD60.12.02.001</t>
  </si>
  <si>
    <t>CS.0859.CD60.12.04.001</t>
  </si>
  <si>
    <t>Utilsés pour les voyages dans le cadre du lancement et d el'appropriation des projets et pour les descentes à Mambassa, NiaNia et Epulu</t>
  </si>
  <si>
    <t>CS.0859.CD60.12.08.001</t>
  </si>
  <si>
    <t>CS.0859.CD60.12.10.001</t>
  </si>
  <si>
    <t>CS.0859.CD60.12.03.001</t>
  </si>
  <si>
    <t>CS.0859.CD60.12.01.001</t>
  </si>
  <si>
    <t>CS.0859.CD60.12.09.001</t>
  </si>
  <si>
    <t>CS.0859.CD40.12.10.001</t>
  </si>
  <si>
    <t>CS.0859.CD10.12.10.001</t>
  </si>
  <si>
    <t>Frais Generaux</t>
  </si>
  <si>
    <t>Sur la premiere tranche, 46 % de depenses, mais avec la deuxieme tranche transferée à ACIAR en Octobre/Novembre 2017, ce taux est de 67 % de budget en cours d'utilisation</t>
  </si>
  <si>
    <t>Allocation reçue</t>
  </si>
  <si>
    <t xml:space="preserve">Allocation recue </t>
  </si>
  <si>
    <t>Dépense réelle</t>
  </si>
  <si>
    <t>Activité réalisée et rapportée au premier semestre</t>
  </si>
  <si>
    <t>Activité réalisée</t>
  </si>
  <si>
    <t>Tenir deux ateliers de validation des Directives d'accès aux ressources naturelles dans la RFO par les parties prenantes</t>
  </si>
  <si>
    <t xml:space="preserve">Les séances de refoulements sont effectifs par l'équipe des gardes ICCN dans les champs des paysans </t>
  </si>
  <si>
    <t>Contribution à la mobilité de l'équipe ICCN pour intervenir rapidement en cas de ravage de culture en fonction des plaintes (fuel et huiles vehicule)</t>
  </si>
  <si>
    <t>Activité réalisée et rapportée au deuxième semestre</t>
  </si>
  <si>
    <t>Une partie de cette ctivité représentant 42 % de consommation du budget, a été réalisée et rapportée au premier semestre. Il s'agit notamment de celle qui consiste à l'achat des téléphones (1000 dollars soit 17 %) et à l'appui à la documentation (1425 dollars soit 25%). L'activité restante (appui à la mobilité des agents de l'ICCN) vient donc d'etre réalisée au cours de ce deuxième semestre.</t>
  </si>
  <si>
    <t>Atelier de l'élaboration du Plan d'action de suivi de l'immigration dans la RFO est élaborée avec la participation des membres de CCSP, CP-CGCD, PA, femmes, ICCN et DGM</t>
  </si>
  <si>
    <t>Une partie de cette ctivité a été réalisée et rapportée au premier semestre. Il s'agit notamment de celle relative à lachat des équipement de terrain et fourniture de bureau pour les CCSP et CP-CGCD. L'activité restante vient d'etre réalisée au cours de ce deuxième semestre.</t>
  </si>
  <si>
    <t>Activité réalisée avec le fonds du premier semestre mais rapportée au deuxième semestre à cause notamment de la période durant lauqelle elle a été réalisée (15 au 19 janvier et 01 au 06 février 2018).</t>
  </si>
  <si>
    <t>Activité réalisée avec le fonds du premier semestre mais rapportée au deuxième semestre à cause notamment de la période durant lauqelle elle a été réalisée (29 au 30 mars 2018).</t>
  </si>
  <si>
    <t>Une partie de ces fonds (soit 10 773 dollars américains) a été décaissée pour le compte des partenaires dans le cadre des accords du premier semestre et la partie restante l'a également été au cours du deuxième semestre.</t>
  </si>
  <si>
    <t>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</si>
</sst>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_ * #,##0.00_ ;_ * \-#,##0.00_ ;_ * &quot;-&quot;??_ ;_ @_ "/>
    <numFmt numFmtId="167" formatCode="_-[$$-409]* #,##0.00_ ;_-[$$-409]* \-#,##0.00\ ;_-[$$-409]* &quot;-&quot;??_ ;_-@_ "/>
    <numFmt numFmtId="168" formatCode="_ * #,##0_ ;_ * \-#,##0_ ;_ * &quot;-&quot;??_ ;_ @_ "/>
    <numFmt numFmtId="169" formatCode="_([$$-409]* #,##0.00_);_([$$-409]* \(#,##0.00\);_([$$-409]* &quot;-&quot;??_);_(@_)"/>
    <numFmt numFmtId="170" formatCode="_-[$$-409]* #,##0_ ;_-[$$-409]* \-#,##0\ ;_-[$$-409]* &quot;-&quot;??_ ;_-@_ "/>
    <numFmt numFmtId="171" formatCode="_(* #,##0_);_(* \(#,##0\);_(* &quot;-&quot;??_);_(@_)"/>
    <numFmt numFmtId="172" formatCode="_([$$-409]* #,##0_);_([$$-409]* \(#,##0\);_([$$-409]* &quot;-&quot;??_);_(@_)"/>
    <numFmt numFmtId="173" formatCode="#,##0_ ;\-#,##0\ "/>
    <numFmt numFmtId="174" formatCode="#,##0.00_ ;\-#,##0.00\ "/>
    <numFmt numFmtId="175" formatCode="_(&quot;$&quot;* #,##0_);_(&quot;$&quot;* \(#,##0\);_(&quot;$&quot;* &quot;-&quot;??_);_(@_)"/>
    <numFmt numFmtId="176" formatCode="0.0%"/>
    <numFmt numFmtId="177" formatCode="_ * #,##0.00_)\ _F_C_ ;_ * \(#,##0.00\)\ _F_C_ ;_ * &quot;-&quot;??_)\ _F_C_ ;_ @_ "/>
  </numFmts>
  <fonts count="98" x14ac:knownFonts="1">
    <font>
      <sz val="10"/>
      <name val="Arial"/>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name val="Calibri"/>
      <family val="2"/>
      <scheme val="minor"/>
    </font>
    <font>
      <b/>
      <sz val="10"/>
      <name val="Calibri"/>
      <family val="2"/>
      <scheme val="minor"/>
    </font>
    <font>
      <sz val="10"/>
      <color theme="1"/>
      <name val="Calibri"/>
      <family val="2"/>
      <scheme val="minor"/>
    </font>
    <font>
      <sz val="10"/>
      <name val="Arial"/>
      <family val="2"/>
    </font>
    <font>
      <b/>
      <sz val="10"/>
      <color rgb="FFFF0000"/>
      <name val="Arial Narrow"/>
      <family val="2"/>
    </font>
    <font>
      <b/>
      <sz val="10"/>
      <name val="Arial Narrow"/>
      <family val="2"/>
    </font>
    <font>
      <sz val="10"/>
      <color rgb="FFFF0000"/>
      <name val="Calibri"/>
      <family val="2"/>
      <scheme val="minor"/>
    </font>
    <font>
      <b/>
      <sz val="10"/>
      <color rgb="FFFF0000"/>
      <name val="Calibri"/>
      <family val="2"/>
      <scheme val="minor"/>
    </font>
    <font>
      <b/>
      <sz val="10"/>
      <color theme="0"/>
      <name val="Arial"/>
      <family val="2"/>
    </font>
    <font>
      <b/>
      <sz val="10"/>
      <name val="Arial"/>
      <family val="2"/>
    </font>
    <font>
      <sz val="11"/>
      <color rgb="FF000000"/>
      <name val="Calibri"/>
      <family val="2"/>
      <scheme val="minor"/>
    </font>
    <font>
      <b/>
      <sz val="10"/>
      <color rgb="FFFFFFFF"/>
      <name val="Arial"/>
      <family val="2"/>
    </font>
    <font>
      <b/>
      <sz val="10"/>
      <name val="Calibri"/>
      <family val="2"/>
    </font>
    <font>
      <sz val="10"/>
      <name val="Calibri"/>
      <family val="2"/>
    </font>
    <font>
      <sz val="10"/>
      <color rgb="FF000000"/>
      <name val="Calibri"/>
      <family val="2"/>
    </font>
    <font>
      <b/>
      <i/>
      <sz val="10"/>
      <color rgb="FF000000"/>
      <name val="Calibri"/>
      <family val="2"/>
    </font>
    <font>
      <b/>
      <i/>
      <sz val="10"/>
      <name val="Calibri"/>
      <family val="2"/>
    </font>
    <font>
      <sz val="10"/>
      <color rgb="FFFF0000"/>
      <name val="Calibri"/>
      <family val="2"/>
    </font>
    <font>
      <sz val="10"/>
      <name val="Times New Roman"/>
      <family val="1"/>
    </font>
    <font>
      <b/>
      <sz val="10"/>
      <name val="Times New Roman"/>
      <family val="1"/>
    </font>
    <font>
      <b/>
      <sz val="10"/>
      <color rgb="FFFF0000"/>
      <name val="Calibri"/>
      <family val="2"/>
    </font>
    <font>
      <b/>
      <i/>
      <sz val="10"/>
      <color rgb="FFFF0000"/>
      <name val="Calibri"/>
      <family val="2"/>
    </font>
    <font>
      <i/>
      <sz val="10"/>
      <name val="Calibri"/>
      <family val="2"/>
    </font>
    <font>
      <b/>
      <sz val="12"/>
      <name val="Calibri"/>
      <family val="2"/>
      <scheme val="minor"/>
    </font>
    <font>
      <b/>
      <sz val="10"/>
      <color theme="1"/>
      <name val="Calibri"/>
      <family val="2"/>
      <scheme val="minor"/>
    </font>
    <font>
      <b/>
      <sz val="11"/>
      <name val="Calibri"/>
      <family val="2"/>
    </font>
    <font>
      <i/>
      <sz val="10"/>
      <color rgb="FF000000"/>
      <name val="Calibri"/>
      <family val="2"/>
    </font>
    <font>
      <i/>
      <sz val="9"/>
      <name val="Calibri"/>
      <family val="2"/>
    </font>
    <font>
      <i/>
      <sz val="9"/>
      <name val="Arial"/>
      <family val="2"/>
    </font>
    <font>
      <sz val="10"/>
      <color theme="0"/>
      <name val="Calibri"/>
      <family val="2"/>
      <scheme val="minor"/>
    </font>
    <font>
      <i/>
      <sz val="10"/>
      <color theme="0"/>
      <name val="Calibri"/>
      <family val="2"/>
    </font>
    <font>
      <b/>
      <sz val="15"/>
      <color theme="3"/>
      <name val="Calibri"/>
      <family val="2"/>
      <scheme val="minor"/>
    </font>
    <font>
      <b/>
      <sz val="13"/>
      <color theme="3"/>
      <name val="Calibri"/>
      <family val="2"/>
      <scheme val="minor"/>
    </font>
    <font>
      <sz val="11"/>
      <color theme="0"/>
      <name val="Calibri"/>
      <family val="2"/>
      <scheme val="minor"/>
    </font>
    <font>
      <b/>
      <sz val="14"/>
      <name val="Times New Roman"/>
      <family val="1"/>
    </font>
    <font>
      <b/>
      <sz val="10"/>
      <color rgb="FFFF0000"/>
      <name val="Times New Roman"/>
      <family val="1"/>
    </font>
    <font>
      <b/>
      <sz val="10"/>
      <color rgb="FFFFFFFF"/>
      <name val="Times New Roman"/>
      <family val="1"/>
    </font>
    <font>
      <i/>
      <sz val="10"/>
      <name val="Times New Roman"/>
      <family val="1"/>
    </font>
    <font>
      <sz val="10"/>
      <color rgb="FF000000"/>
      <name val="Times New Roman"/>
      <family val="1"/>
    </font>
    <font>
      <b/>
      <i/>
      <sz val="10"/>
      <color rgb="FF000000"/>
      <name val="Times New Roman"/>
      <family val="1"/>
    </font>
    <font>
      <i/>
      <sz val="10"/>
      <color rgb="FF000000"/>
      <name val="Times New Roman"/>
      <family val="1"/>
    </font>
    <font>
      <b/>
      <i/>
      <sz val="10"/>
      <name val="Times New Roman"/>
      <family val="1"/>
    </font>
    <font>
      <b/>
      <sz val="10"/>
      <color rgb="FF000000"/>
      <name val="Times New Roman"/>
      <family val="1"/>
    </font>
    <font>
      <i/>
      <sz val="12"/>
      <color rgb="FF000000"/>
      <name val="Times New Roman"/>
      <family val="1"/>
    </font>
    <font>
      <b/>
      <i/>
      <sz val="10"/>
      <color rgb="FF000000"/>
      <name val="Arial"/>
      <family val="2"/>
    </font>
    <font>
      <b/>
      <i/>
      <sz val="10"/>
      <name val="Arial"/>
      <family val="2"/>
    </font>
    <font>
      <sz val="10"/>
      <color rgb="FF000000"/>
      <name val="Arial"/>
      <family val="2"/>
    </font>
    <font>
      <b/>
      <sz val="10"/>
      <color rgb="FFFF0000"/>
      <name val="Arial"/>
      <family val="2"/>
    </font>
    <font>
      <sz val="11"/>
      <color rgb="FF000000"/>
      <name val="Calibri"/>
      <family val="2"/>
    </font>
    <font>
      <sz val="10"/>
      <name val="Arial Narrow"/>
      <family val="2"/>
    </font>
    <font>
      <b/>
      <i/>
      <sz val="10"/>
      <name val="Calibri"/>
      <family val="2"/>
      <scheme val="minor"/>
    </font>
    <font>
      <b/>
      <sz val="12"/>
      <name val="Cambria"/>
      <family val="1"/>
    </font>
    <font>
      <b/>
      <sz val="10"/>
      <name val="Cambria"/>
      <family val="1"/>
    </font>
    <font>
      <sz val="10"/>
      <name val="Cambria"/>
      <family val="1"/>
    </font>
    <font>
      <b/>
      <i/>
      <sz val="10"/>
      <name val="Cambria"/>
      <family val="1"/>
    </font>
    <font>
      <b/>
      <sz val="11"/>
      <color rgb="FF000000"/>
      <name val="Calibri"/>
      <family val="2"/>
    </font>
    <font>
      <b/>
      <i/>
      <sz val="10"/>
      <color rgb="FFC00000"/>
      <name val="Calibri"/>
      <family val="2"/>
    </font>
    <font>
      <b/>
      <sz val="10"/>
      <color rgb="FFC00000"/>
      <name val="Calibri"/>
      <family val="2"/>
    </font>
    <font>
      <sz val="9"/>
      <color rgb="FF222222"/>
      <name val="Arial"/>
      <family val="2"/>
    </font>
    <font>
      <sz val="12"/>
      <name val="Calibri"/>
      <family val="2"/>
    </font>
    <font>
      <b/>
      <sz val="16"/>
      <color rgb="FFFFFFFF"/>
      <name val="Calibri"/>
      <family val="2"/>
    </font>
    <font>
      <i/>
      <sz val="13"/>
      <color rgb="FF0070C0"/>
      <name val="Calibri"/>
      <family val="2"/>
    </font>
    <font>
      <sz val="13"/>
      <color rgb="FF1F497D"/>
      <name val="Calibri"/>
      <family val="2"/>
    </font>
    <font>
      <b/>
      <sz val="15"/>
      <color rgb="FF1F497D"/>
      <name val="Calibri"/>
      <family val="2"/>
    </font>
    <font>
      <sz val="14"/>
      <name val="Calibri"/>
      <family val="2"/>
    </font>
    <font>
      <b/>
      <sz val="11"/>
      <name val="Calibri"/>
      <family val="2"/>
      <scheme val="minor"/>
    </font>
    <font>
      <sz val="11"/>
      <name val="Calibri"/>
      <family val="2"/>
      <scheme val="minor"/>
    </font>
    <font>
      <b/>
      <i/>
      <sz val="10"/>
      <color theme="1"/>
      <name val="Calibri"/>
      <family val="2"/>
      <scheme val="minor"/>
    </font>
    <font>
      <i/>
      <sz val="10"/>
      <name val="Calibri"/>
      <family val="2"/>
      <scheme val="minor"/>
    </font>
    <font>
      <b/>
      <sz val="14"/>
      <name val="Calibri"/>
      <family val="2"/>
      <scheme val="minor"/>
    </font>
    <font>
      <b/>
      <sz val="10"/>
      <color theme="0"/>
      <name val="Calibri"/>
      <family val="2"/>
      <scheme val="minor"/>
    </font>
    <font>
      <b/>
      <i/>
      <sz val="10"/>
      <color rgb="FFFF0000"/>
      <name val="Calibri"/>
      <family val="2"/>
      <scheme val="minor"/>
    </font>
    <font>
      <b/>
      <sz val="11"/>
      <color rgb="FFFF0000"/>
      <name val="Calibri"/>
      <family val="2"/>
    </font>
    <font>
      <sz val="10"/>
      <name val="Cambria"/>
      <family val="1"/>
      <scheme val="major"/>
    </font>
    <font>
      <i/>
      <sz val="10"/>
      <color rgb="FFFF0000"/>
      <name val="Calibri"/>
      <family val="2"/>
    </font>
    <font>
      <i/>
      <sz val="8"/>
      <name val="Calibri"/>
      <family val="2"/>
    </font>
    <font>
      <sz val="10"/>
      <name val="Arial Unicode MS"/>
      <family val="2"/>
    </font>
    <font>
      <sz val="10"/>
      <name val="Arial"/>
      <family val="2"/>
    </font>
    <font>
      <sz val="10"/>
      <color rgb="FFFF0000"/>
      <name val="Arial"/>
      <family val="2"/>
    </font>
    <font>
      <b/>
      <sz val="11"/>
      <color theme="0"/>
      <name val="Calibri"/>
      <family val="2"/>
      <scheme val="minor"/>
    </font>
    <font>
      <sz val="11"/>
      <color rgb="FFFF0000"/>
      <name val="Calibri"/>
      <family val="2"/>
      <scheme val="minor"/>
    </font>
    <font>
      <b/>
      <sz val="11"/>
      <color theme="1"/>
      <name val="Calibri"/>
      <family val="2"/>
      <scheme val="minor"/>
    </font>
    <font>
      <b/>
      <i/>
      <sz val="10"/>
      <color theme="0"/>
      <name val="Calibri"/>
      <family val="2"/>
      <scheme val="minor"/>
    </font>
    <font>
      <i/>
      <sz val="10"/>
      <color theme="0"/>
      <name val="Calibri"/>
      <family val="2"/>
      <scheme val="minor"/>
    </font>
    <font>
      <sz val="11"/>
      <color rgb="FF1F497D"/>
      <name val="Calibri"/>
      <family val="2"/>
      <scheme val="minor"/>
    </font>
    <font>
      <b/>
      <u/>
      <sz val="26"/>
      <name val="Calibri"/>
      <family val="2"/>
    </font>
    <font>
      <b/>
      <sz val="10"/>
      <color rgb="FFFF0000"/>
      <name val="Cambria"/>
      <family val="1"/>
    </font>
    <font>
      <b/>
      <i/>
      <sz val="10"/>
      <color rgb="FFFF0000"/>
      <name val="Cambria"/>
      <family val="1"/>
    </font>
    <font>
      <sz val="11"/>
      <color theme="1"/>
      <name val="Calibri"/>
      <family val="1"/>
      <scheme val="minor"/>
    </font>
    <font>
      <i/>
      <sz val="11"/>
      <color theme="1"/>
      <name val="Calibri"/>
      <family val="1"/>
      <scheme val="minor"/>
    </font>
    <font>
      <sz val="12"/>
      <color theme="1"/>
      <name val="Calibri"/>
      <family val="1"/>
      <scheme val="minor"/>
    </font>
    <font>
      <sz val="11"/>
      <color rgb="FF7030A0"/>
      <name val="Calibri"/>
      <family val="2"/>
      <scheme val="minor"/>
    </font>
    <font>
      <b/>
      <sz val="11"/>
      <color theme="0"/>
      <name val="Cambria"/>
      <family val="1"/>
    </font>
  </fonts>
  <fills count="57">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rgb="FF538DD5"/>
        <bgColor rgb="FF000000"/>
      </patternFill>
    </fill>
    <fill>
      <patternFill patternType="solid">
        <fgColor rgb="FFB1A0C7"/>
        <bgColor rgb="FF000000"/>
      </patternFill>
    </fill>
    <fill>
      <patternFill patternType="solid">
        <fgColor rgb="FFF79646"/>
        <bgColor rgb="FF000000"/>
      </patternFill>
    </fill>
    <fill>
      <patternFill patternType="solid">
        <fgColor rgb="FFFFFF00"/>
        <bgColor rgb="FF000000"/>
      </patternFill>
    </fill>
    <fill>
      <patternFill patternType="solid">
        <fgColor rgb="FF00B0F0"/>
        <bgColor rgb="FF000000"/>
      </patternFill>
    </fill>
    <fill>
      <patternFill patternType="solid">
        <fgColor rgb="FFFFC000"/>
        <bgColor rgb="FF000000"/>
      </patternFill>
    </fill>
    <fill>
      <patternFill patternType="solid">
        <fgColor rgb="FFFFFFFF"/>
        <bgColor rgb="FF000000"/>
      </patternFill>
    </fill>
    <fill>
      <patternFill patternType="solid">
        <fgColor rgb="FFA6A6A6"/>
        <bgColor rgb="FF000000"/>
      </patternFill>
    </fill>
    <fill>
      <patternFill patternType="solid">
        <fgColor rgb="FF92D050"/>
        <bgColor rgb="FF000000"/>
      </patternFill>
    </fill>
    <fill>
      <patternFill patternType="solid">
        <fgColor theme="0"/>
        <bgColor rgb="FF000000"/>
      </patternFill>
    </fill>
    <fill>
      <patternFill patternType="solid">
        <fgColor rgb="FFD8D8D8"/>
        <bgColor indexed="64"/>
      </patternFill>
    </fill>
    <fill>
      <patternFill patternType="solid">
        <fgColor theme="0" tint="-0.14999847407452621"/>
        <bgColor indexed="64"/>
      </patternFill>
    </fill>
    <fill>
      <patternFill patternType="solid">
        <fgColor theme="4"/>
      </patternFill>
    </fill>
    <fill>
      <patternFill patternType="solid">
        <fgColor rgb="FFFFC000"/>
        <bgColor indexed="64"/>
      </patternFill>
    </fill>
    <fill>
      <patternFill patternType="solid">
        <fgColor rgb="FFC4BD97"/>
        <bgColor rgb="FF000000"/>
      </patternFill>
    </fill>
    <fill>
      <patternFill patternType="solid">
        <fgColor theme="7" tint="0.39997558519241921"/>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00B050"/>
        <bgColor rgb="FF000000"/>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CDDC"/>
        <bgColor rgb="FF000000"/>
      </patternFill>
    </fill>
    <fill>
      <patternFill patternType="solid">
        <fgColor rgb="FFFDE9D9"/>
        <bgColor rgb="FF000000"/>
      </patternFill>
    </fill>
    <fill>
      <patternFill patternType="solid">
        <fgColor rgb="FFDAEEF3"/>
        <bgColor rgb="FF000000"/>
      </patternFill>
    </fill>
    <fill>
      <patternFill patternType="solid">
        <fgColor rgb="FFFABF8F"/>
        <bgColor rgb="FF000000"/>
      </patternFill>
    </fill>
    <fill>
      <patternFill patternType="solid">
        <fgColor rgb="FF16365C"/>
        <bgColor rgb="FF000000"/>
      </patternFill>
    </fill>
    <fill>
      <patternFill patternType="solid">
        <fgColor rgb="FFDDD9C4"/>
        <bgColor rgb="FF000000"/>
      </patternFill>
    </fill>
    <fill>
      <patternFill patternType="solid">
        <fgColor rgb="FF00FF99"/>
        <bgColor indexed="64"/>
      </patternFill>
    </fill>
    <fill>
      <patternFill patternType="solid">
        <fgColor theme="9"/>
        <bgColor indexed="64"/>
      </patternFill>
    </fill>
    <fill>
      <patternFill patternType="solid">
        <fgColor theme="3" tint="0.79998168889431442"/>
        <bgColor indexed="64"/>
      </patternFill>
    </fill>
    <fill>
      <patternFill patternType="solid">
        <fgColor rgb="FF00FF99"/>
        <bgColor rgb="FF000000"/>
      </patternFill>
    </fill>
    <fill>
      <patternFill patternType="solid">
        <fgColor rgb="FFFFCCFF"/>
        <bgColor rgb="FF000000"/>
      </patternFill>
    </fill>
    <fill>
      <patternFill patternType="solid">
        <fgColor rgb="FFFFCCFF"/>
        <bgColor indexed="64"/>
      </patternFill>
    </fill>
    <fill>
      <patternFill patternType="solid">
        <fgColor theme="8"/>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3B9BF4"/>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rgb="FFFFFF00"/>
        <bgColor theme="5" tint="0.79998168889431442"/>
      </patternFill>
    </fill>
    <fill>
      <patternFill patternType="solid">
        <fgColor rgb="FF92D050"/>
        <bgColor theme="5" tint="0.79998168889431442"/>
      </patternFill>
    </fill>
    <fill>
      <patternFill patternType="solid">
        <fgColor theme="5" tint="0.79998168889431442"/>
        <bgColor theme="5" tint="0.79998168889431442"/>
      </patternFill>
    </fill>
    <fill>
      <patternFill patternType="solid">
        <fgColor theme="3" tint="0.39997558519241921"/>
        <bgColor rgb="FF000000"/>
      </patternFill>
    </fill>
    <fill>
      <patternFill patternType="solid">
        <fgColor theme="7" tint="0.39997558519241921"/>
        <bgColor rgb="FF000000"/>
      </patternFill>
    </fill>
    <fill>
      <patternFill patternType="solid">
        <fgColor theme="9"/>
        <bgColor rgb="FF000000"/>
      </patternFill>
    </fill>
    <fill>
      <patternFill patternType="solid">
        <fgColor theme="2" tint="-0.249977111117893"/>
        <bgColor rgb="FF000000"/>
      </patternFill>
    </fill>
    <fill>
      <patternFill patternType="solid">
        <fgColor rgb="FFFF000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thick">
        <color rgb="FFA7BFDE"/>
      </bottom>
      <diagonal/>
    </border>
    <border>
      <left/>
      <right/>
      <top/>
      <bottom style="thick">
        <color rgb="FF4F81BD"/>
      </bottom>
      <diagonal/>
    </border>
    <border>
      <left style="thin">
        <color theme="5"/>
      </left>
      <right style="thin">
        <color theme="5"/>
      </right>
      <top style="thin">
        <color theme="5"/>
      </top>
      <bottom style="thin">
        <color theme="5"/>
      </bottom>
      <diagonal/>
    </border>
  </borders>
  <cellStyleXfs count="19">
    <xf numFmtId="0" fontId="0" fillId="0" borderId="0"/>
    <xf numFmtId="166" fontId="3" fillId="0" borderId="0" applyFont="0" applyFill="0" applyBorder="0" applyAlignment="0" applyProtection="0"/>
    <xf numFmtId="0" fontId="4" fillId="0" borderId="0"/>
    <xf numFmtId="9" fontId="3" fillId="0" borderId="0" applyFont="0" applyFill="0" applyBorder="0" applyAlignment="0" applyProtection="0"/>
    <xf numFmtId="43" fontId="8"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0" fontId="15" fillId="0" borderId="0"/>
    <xf numFmtId="0" fontId="36" fillId="0" borderId="16" applyNumberFormat="0" applyFill="0" applyAlignment="0" applyProtection="0"/>
    <xf numFmtId="0" fontId="37" fillId="0" borderId="17" applyNumberFormat="0" applyFill="0" applyAlignment="0" applyProtection="0"/>
    <xf numFmtId="0" fontId="38" fillId="17" borderId="0" applyNumberFormat="0" applyBorder="0" applyAlignment="0" applyProtection="0"/>
    <xf numFmtId="44" fontId="82" fillId="0" borderId="0" applyFont="0" applyFill="0" applyBorder="0" applyAlignment="0" applyProtection="0"/>
    <xf numFmtId="0" fontId="3" fillId="0" borderId="0"/>
    <xf numFmtId="164" fontId="1" fillId="0" borderId="0" applyFont="0" applyFill="0" applyBorder="0" applyAlignment="0" applyProtection="0"/>
    <xf numFmtId="166" fontId="3" fillId="0" borderId="0" applyFont="0" applyFill="0" applyBorder="0" applyAlignment="0" applyProtection="0"/>
    <xf numFmtId="0" fontId="1" fillId="0" borderId="0"/>
    <xf numFmtId="9" fontId="3" fillId="0" borderId="0" applyFont="0" applyFill="0" applyBorder="0" applyAlignment="0" applyProtection="0"/>
    <xf numFmtId="166" fontId="3" fillId="0" borderId="0" applyFont="0" applyFill="0" applyBorder="0" applyAlignment="0" applyProtection="0"/>
  </cellStyleXfs>
  <cellXfs count="1801">
    <xf numFmtId="0" fontId="0" fillId="0" borderId="0" xfId="0"/>
    <xf numFmtId="0" fontId="5" fillId="0" borderId="0" xfId="0" applyFont="1"/>
    <xf numFmtId="0" fontId="5" fillId="0" borderId="0" xfId="0" applyFont="1" applyFill="1"/>
    <xf numFmtId="0" fontId="6" fillId="0" borderId="0" xfId="0" applyFont="1" applyFill="1"/>
    <xf numFmtId="0" fontId="9" fillId="0" borderId="0" xfId="0" applyFont="1" applyBorder="1" applyAlignment="1">
      <alignment horizontal="center"/>
    </xf>
    <xf numFmtId="0" fontId="10" fillId="0" borderId="0" xfId="0" applyFont="1" applyBorder="1"/>
    <xf numFmtId="0" fontId="6" fillId="0" borderId="0" xfId="0" applyFont="1" applyBorder="1"/>
    <xf numFmtId="0" fontId="13" fillId="3" borderId="11" xfId="0" applyFont="1" applyFill="1" applyBorder="1" applyAlignment="1">
      <alignment horizontal="center" vertical="center" wrapText="1"/>
    </xf>
    <xf numFmtId="0" fontId="7" fillId="0" borderId="1" xfId="0" applyFont="1" applyBorder="1" applyAlignment="1">
      <alignment vertical="center" wrapText="1"/>
    </xf>
    <xf numFmtId="0" fontId="16" fillId="5" borderId="11" xfId="0" applyFont="1" applyFill="1" applyBorder="1" applyAlignment="1">
      <alignment horizontal="center" vertical="center" wrapText="1"/>
    </xf>
    <xf numFmtId="0" fontId="16" fillId="5" borderId="11" xfId="2" applyNumberFormat="1" applyFont="1" applyFill="1" applyBorder="1" applyAlignment="1">
      <alignment horizontal="center" vertical="center" wrapText="1"/>
    </xf>
    <xf numFmtId="0" fontId="18" fillId="0" borderId="1" xfId="0" applyFont="1" applyFill="1" applyBorder="1" applyAlignment="1">
      <alignment vertical="top" wrapText="1"/>
    </xf>
    <xf numFmtId="0" fontId="20" fillId="8" borderId="1" xfId="0" applyFont="1" applyFill="1" applyBorder="1" applyAlignment="1">
      <alignment vertical="center" wrapText="1"/>
    </xf>
    <xf numFmtId="0" fontId="18" fillId="8" borderId="1" xfId="0" applyFont="1" applyFill="1" applyBorder="1" applyAlignment="1">
      <alignment vertical="top" wrapText="1"/>
    </xf>
    <xf numFmtId="0" fontId="20" fillId="8" borderId="1" xfId="0" applyFont="1" applyFill="1" applyBorder="1" applyAlignment="1">
      <alignment vertical="top" wrapText="1"/>
    </xf>
    <xf numFmtId="0" fontId="18" fillId="0" borderId="1" xfId="0" applyFont="1" applyFill="1" applyBorder="1" applyAlignment="1">
      <alignment vertical="center" wrapText="1"/>
    </xf>
    <xf numFmtId="0" fontId="16" fillId="6" borderId="0" xfId="0" applyFont="1" applyFill="1" applyBorder="1" applyAlignment="1">
      <alignment vertical="center" wrapText="1"/>
    </xf>
    <xf numFmtId="0" fontId="16" fillId="6" borderId="13" xfId="0" applyFont="1" applyFill="1" applyBorder="1" applyAlignment="1">
      <alignment vertical="center" wrapText="1"/>
    </xf>
    <xf numFmtId="0" fontId="17" fillId="10" borderId="3" xfId="0" applyFont="1" applyFill="1" applyBorder="1" applyAlignment="1">
      <alignment vertical="center" wrapText="1"/>
    </xf>
    <xf numFmtId="0" fontId="17" fillId="10" borderId="2" xfId="0" applyFont="1" applyFill="1" applyBorder="1" applyAlignment="1">
      <alignment vertical="center" wrapText="1"/>
    </xf>
    <xf numFmtId="0" fontId="17" fillId="0" borderId="1" xfId="0" applyFont="1" applyFill="1" applyBorder="1"/>
    <xf numFmtId="0" fontId="17" fillId="0" borderId="14" xfId="0" applyFont="1" applyFill="1" applyBorder="1" applyAlignment="1">
      <alignment horizontal="left" vertical="center"/>
    </xf>
    <xf numFmtId="0" fontId="21" fillId="0" borderId="7" xfId="0" applyFont="1" applyFill="1" applyBorder="1" applyAlignment="1">
      <alignment vertical="top" wrapText="1"/>
    </xf>
    <xf numFmtId="0" fontId="21" fillId="0" borderId="1" xfId="0" applyFont="1" applyFill="1" applyBorder="1" applyAlignment="1">
      <alignment vertical="top" wrapText="1"/>
    </xf>
    <xf numFmtId="0" fontId="17" fillId="0" borderId="7" xfId="0" applyFont="1" applyFill="1" applyBorder="1" applyAlignment="1">
      <alignment horizontal="right" vertical="center"/>
    </xf>
    <xf numFmtId="0" fontId="17" fillId="0" borderId="14" xfId="0" applyFont="1" applyFill="1" applyBorder="1" applyAlignment="1">
      <alignment horizontal="right" vertical="center"/>
    </xf>
    <xf numFmtId="0" fontId="17" fillId="0" borderId="1" xfId="0" applyFont="1" applyFill="1" applyBorder="1" applyAlignment="1">
      <alignment horizontal="right" vertical="center"/>
    </xf>
    <xf numFmtId="9" fontId="21" fillId="8" borderId="1" xfId="3" applyFont="1" applyFill="1" applyBorder="1" applyAlignment="1">
      <alignment horizontal="left"/>
    </xf>
    <xf numFmtId="0" fontId="17" fillId="0" borderId="2" xfId="0" applyFont="1" applyFill="1" applyBorder="1" applyAlignment="1">
      <alignment horizontal="right" vertical="center"/>
    </xf>
    <xf numFmtId="0" fontId="21" fillId="9" borderId="1" xfId="0" applyFont="1" applyFill="1" applyBorder="1" applyAlignment="1">
      <alignment horizontal="left" vertical="top" wrapText="1"/>
    </xf>
    <xf numFmtId="0" fontId="17" fillId="12" borderId="1" xfId="0" applyFont="1" applyFill="1" applyBorder="1" applyAlignment="1">
      <alignment horizontal="center" vertical="center" wrapText="1"/>
    </xf>
    <xf numFmtId="39" fontId="17" fillId="13" borderId="1" xfId="0" applyNumberFormat="1" applyFont="1" applyFill="1" applyBorder="1"/>
    <xf numFmtId="0" fontId="17" fillId="0" borderId="0" xfId="0" applyFont="1" applyFill="1" applyBorder="1"/>
    <xf numFmtId="0" fontId="18" fillId="0" borderId="0" xfId="0" applyFont="1" applyFill="1" applyBorder="1"/>
    <xf numFmtId="0" fontId="17" fillId="0" borderId="5" xfId="0" applyFont="1" applyFill="1" applyBorder="1"/>
    <xf numFmtId="0" fontId="17" fillId="0" borderId="6" xfId="0" applyFont="1" applyFill="1" applyBorder="1"/>
    <xf numFmtId="0" fontId="17" fillId="0" borderId="7" xfId="0" applyFont="1" applyFill="1" applyBorder="1"/>
    <xf numFmtId="0" fontId="18" fillId="0" borderId="12" xfId="0" applyFont="1" applyFill="1" applyBorder="1"/>
    <xf numFmtId="0" fontId="18" fillId="0" borderId="13" xfId="0" applyFont="1" applyFill="1" applyBorder="1"/>
    <xf numFmtId="0" fontId="18" fillId="0" borderId="0" xfId="0" applyFont="1" applyFill="1" applyBorder="1" applyAlignment="1"/>
    <xf numFmtId="0" fontId="18" fillId="0" borderId="6" xfId="0" applyFont="1" applyFill="1" applyBorder="1"/>
    <xf numFmtId="0" fontId="18" fillId="0" borderId="7" xfId="0" applyFont="1" applyFill="1" applyBorder="1"/>
    <xf numFmtId="0" fontId="18" fillId="0" borderId="9" xfId="0" applyFont="1" applyFill="1" applyBorder="1"/>
    <xf numFmtId="0" fontId="18" fillId="0" borderId="10" xfId="0" applyFont="1" applyFill="1" applyBorder="1"/>
    <xf numFmtId="0" fontId="7" fillId="0" borderId="1" xfId="0" applyFont="1" applyFill="1" applyBorder="1" applyAlignment="1">
      <alignment horizontal="left" vertical="center" wrapText="1"/>
    </xf>
    <xf numFmtId="0" fontId="3" fillId="0" borderId="0" xfId="0" applyFont="1" applyFill="1" applyBorder="1"/>
    <xf numFmtId="0" fontId="24" fillId="0" borderId="0" xfId="0" applyFont="1" applyFill="1" applyBorder="1" applyAlignment="1">
      <alignment vertical="top"/>
    </xf>
    <xf numFmtId="0" fontId="23" fillId="0" borderId="1" xfId="0" applyFont="1" applyFill="1" applyBorder="1" applyAlignment="1">
      <alignment vertical="top" wrapText="1"/>
    </xf>
    <xf numFmtId="0" fontId="3" fillId="0" borderId="0" xfId="0" applyFont="1" applyFill="1" applyBorder="1" applyAlignment="1">
      <alignment horizontal="center"/>
    </xf>
    <xf numFmtId="0" fontId="3" fillId="0" borderId="0" xfId="0" applyFont="1" applyFill="1" applyBorder="1" applyAlignment="1"/>
    <xf numFmtId="167" fontId="3" fillId="0" borderId="0" xfId="0" applyNumberFormat="1" applyFont="1" applyFill="1" applyBorder="1" applyAlignment="1">
      <alignment horizontal="center" vertical="center"/>
    </xf>
    <xf numFmtId="0" fontId="3" fillId="0" borderId="0" xfId="0" applyFont="1" applyFill="1" applyBorder="1" applyAlignment="1">
      <alignment horizontal="right"/>
    </xf>
    <xf numFmtId="0" fontId="10" fillId="0" borderId="0" xfId="0" applyFont="1" applyFill="1" applyBorder="1"/>
    <xf numFmtId="0" fontId="25" fillId="0" borderId="0" xfId="0" applyFont="1" applyFill="1" applyBorder="1" applyAlignment="1">
      <alignment horizontal="center"/>
    </xf>
    <xf numFmtId="0" fontId="14" fillId="11" borderId="1" xfId="0" applyFont="1" applyFill="1" applyBorder="1" applyAlignment="1">
      <alignment horizontal="left" vertical="center" wrapText="1"/>
    </xf>
    <xf numFmtId="39" fontId="21" fillId="8" borderId="1" xfId="1" applyNumberFormat="1" applyFont="1" applyFill="1" applyBorder="1"/>
    <xf numFmtId="0" fontId="18" fillId="11" borderId="1" xfId="0" applyFont="1" applyFill="1" applyBorder="1" applyAlignment="1">
      <alignment vertical="top" wrapText="1"/>
    </xf>
    <xf numFmtId="0" fontId="20" fillId="11" borderId="1" xfId="0" applyFont="1" applyFill="1" applyBorder="1" applyAlignment="1">
      <alignment vertical="top" wrapText="1"/>
    </xf>
    <xf numFmtId="39" fontId="21" fillId="11" borderId="1" xfId="1" applyNumberFormat="1" applyFont="1" applyFill="1" applyBorder="1"/>
    <xf numFmtId="0" fontId="18" fillId="8" borderId="1" xfId="0" applyFont="1" applyFill="1" applyBorder="1"/>
    <xf numFmtId="39" fontId="18" fillId="0" borderId="1" xfId="1" applyNumberFormat="1" applyFont="1" applyFill="1" applyBorder="1" applyAlignment="1">
      <alignment vertical="center"/>
    </xf>
    <xf numFmtId="39" fontId="21" fillId="9" borderId="1" xfId="1" applyNumberFormat="1" applyFont="1" applyFill="1" applyBorder="1" applyAlignment="1">
      <alignment horizontal="left"/>
    </xf>
    <xf numFmtId="0" fontId="19" fillId="0" borderId="11" xfId="0" applyFont="1" applyFill="1" applyBorder="1" applyAlignment="1">
      <alignment horizontal="left" vertical="top" wrapText="1"/>
    </xf>
    <xf numFmtId="0" fontId="21" fillId="13" borderId="1" xfId="0" applyFont="1" applyFill="1" applyBorder="1" applyAlignment="1">
      <alignment vertical="top" wrapText="1"/>
    </xf>
    <xf numFmtId="166" fontId="21" fillId="13" borderId="1" xfId="1" applyFont="1" applyFill="1" applyBorder="1" applyAlignment="1">
      <alignment vertical="top" wrapText="1"/>
    </xf>
    <xf numFmtId="9" fontId="26" fillId="13" borderId="1" xfId="3" applyFont="1" applyFill="1" applyBorder="1" applyAlignment="1">
      <alignment vertical="top" wrapText="1"/>
    </xf>
    <xf numFmtId="39" fontId="21" fillId="13" borderId="1" xfId="1" applyNumberFormat="1" applyFont="1" applyFill="1" applyBorder="1"/>
    <xf numFmtId="39" fontId="16" fillId="6" borderId="0" xfId="0" applyNumberFormat="1" applyFont="1" applyFill="1" applyBorder="1" applyAlignment="1">
      <alignment vertical="center" wrapText="1"/>
    </xf>
    <xf numFmtId="0" fontId="18" fillId="0" borderId="7"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7" xfId="0" applyFont="1" applyFill="1" applyBorder="1" applyAlignment="1">
      <alignment vertical="top" wrapText="1"/>
    </xf>
    <xf numFmtId="39" fontId="21" fillId="0" borderId="1" xfId="1" applyNumberFormat="1" applyFont="1" applyFill="1" applyBorder="1"/>
    <xf numFmtId="0" fontId="18" fillId="0" borderId="1" xfId="0" applyFont="1" applyFill="1" applyBorder="1" applyAlignment="1">
      <alignment horizontal="left" vertical="center"/>
    </xf>
    <xf numFmtId="1" fontId="18" fillId="0" borderId="1" xfId="0" applyNumberFormat="1" applyFont="1" applyFill="1" applyBorder="1" applyAlignment="1">
      <alignment vertical="top" wrapText="1"/>
    </xf>
    <xf numFmtId="37" fontId="18" fillId="0" borderId="1" xfId="1" applyNumberFormat="1" applyFont="1" applyFill="1" applyBorder="1"/>
    <xf numFmtId="37" fontId="21" fillId="8" borderId="1" xfId="1" applyNumberFormat="1" applyFont="1" applyFill="1" applyBorder="1"/>
    <xf numFmtId="0" fontId="17" fillId="0" borderId="1" xfId="0" applyFont="1" applyFill="1" applyBorder="1" applyAlignment="1">
      <alignment horizontal="left" vertical="center"/>
    </xf>
    <xf numFmtId="0" fontId="17" fillId="11" borderId="1" xfId="0" applyFont="1" applyFill="1" applyBorder="1" applyAlignment="1">
      <alignment horizontal="right" vertical="center"/>
    </xf>
    <xf numFmtId="0" fontId="17" fillId="11" borderId="2" xfId="0" applyFont="1" applyFill="1" applyBorder="1" applyAlignment="1">
      <alignment horizontal="right" vertical="center"/>
    </xf>
    <xf numFmtId="0" fontId="17" fillId="11" borderId="1" xfId="0" applyFont="1" applyFill="1" applyBorder="1" applyAlignment="1">
      <alignment horizontal="left" vertical="center"/>
    </xf>
    <xf numFmtId="0" fontId="18" fillId="0" borderId="1" xfId="0" applyFont="1" applyFill="1" applyBorder="1" applyAlignment="1">
      <alignment horizontal="left" vertical="center" wrapText="1"/>
    </xf>
    <xf numFmtId="37" fontId="21" fillId="9" borderId="1" xfId="1" applyNumberFormat="1" applyFont="1" applyFill="1" applyBorder="1" applyAlignment="1">
      <alignment horizontal="right"/>
    </xf>
    <xf numFmtId="9" fontId="17" fillId="9" borderId="1" xfId="3" applyFont="1" applyFill="1" applyBorder="1" applyAlignment="1">
      <alignment horizontal="left"/>
    </xf>
    <xf numFmtId="0" fontId="17" fillId="12" borderId="1" xfId="0" applyFont="1" applyFill="1" applyBorder="1" applyAlignment="1">
      <alignment horizontal="left" vertical="center"/>
    </xf>
    <xf numFmtId="0" fontId="17" fillId="12" borderId="1" xfId="0" applyFont="1" applyFill="1" applyBorder="1" applyAlignment="1">
      <alignment vertical="center" wrapText="1"/>
    </xf>
    <xf numFmtId="0" fontId="18" fillId="13" borderId="1" xfId="0" applyFont="1" applyFill="1" applyBorder="1" applyAlignment="1">
      <alignment vertical="top" wrapText="1"/>
    </xf>
    <xf numFmtId="0" fontId="17" fillId="13" borderId="2" xfId="0" applyFont="1" applyFill="1" applyBorder="1" applyAlignment="1">
      <alignment horizontal="right" vertical="center"/>
    </xf>
    <xf numFmtId="0" fontId="17" fillId="13" borderId="1" xfId="0" applyFont="1" applyFill="1" applyBorder="1" applyAlignment="1">
      <alignment horizontal="left" vertical="center"/>
    </xf>
    <xf numFmtId="39" fontId="22" fillId="0" borderId="0" xfId="0" applyNumberFormat="1" applyFont="1" applyFill="1" applyBorder="1"/>
    <xf numFmtId="9" fontId="18" fillId="0" borderId="0" xfId="3" applyNumberFormat="1" applyFont="1" applyFill="1" applyBorder="1"/>
    <xf numFmtId="165" fontId="18" fillId="0" borderId="0" xfId="0" applyNumberFormat="1" applyFont="1" applyFill="1" applyBorder="1" applyAlignment="1"/>
    <xf numFmtId="0" fontId="9" fillId="0" borderId="0" xfId="0" applyFont="1" applyFill="1" applyBorder="1" applyAlignment="1">
      <alignment horizontal="left"/>
    </xf>
    <xf numFmtId="166" fontId="18" fillId="0" borderId="0" xfId="1" applyFont="1" applyFill="1" applyBorder="1"/>
    <xf numFmtId="0" fontId="28" fillId="0" borderId="0" xfId="0" applyFont="1"/>
    <xf numFmtId="0" fontId="29" fillId="15" borderId="1" xfId="0" applyFont="1" applyFill="1" applyBorder="1" applyAlignment="1">
      <alignment horizontal="left" vertical="center" wrapText="1"/>
    </xf>
    <xf numFmtId="9" fontId="5" fillId="0" borderId="1" xfId="3" applyFont="1" applyBorder="1" applyAlignment="1">
      <alignment horizontal="center" vertical="center"/>
    </xf>
    <xf numFmtId="166" fontId="14" fillId="11" borderId="1" xfId="1" applyFont="1" applyFill="1" applyBorder="1" applyAlignment="1">
      <alignment horizontal="left" vertical="center" wrapText="1"/>
    </xf>
    <xf numFmtId="166" fontId="20" fillId="11" borderId="1" xfId="1" applyFont="1" applyFill="1" applyBorder="1" applyAlignment="1">
      <alignment vertical="top" wrapText="1"/>
    </xf>
    <xf numFmtId="39" fontId="21" fillId="11" borderId="1" xfId="1" applyNumberFormat="1" applyFont="1" applyFill="1" applyBorder="1" applyAlignment="1">
      <alignment vertical="top"/>
    </xf>
    <xf numFmtId="0" fontId="18" fillId="14" borderId="1" xfId="0" applyFont="1" applyFill="1" applyBorder="1" applyAlignment="1">
      <alignment vertical="top" wrapText="1"/>
    </xf>
    <xf numFmtId="0" fontId="20" fillId="14" borderId="1" xfId="0" applyFont="1" applyFill="1" applyBorder="1" applyAlignment="1">
      <alignment vertical="top" wrapText="1"/>
    </xf>
    <xf numFmtId="39" fontId="21" fillId="14" borderId="1" xfId="1" applyNumberFormat="1" applyFont="1" applyFill="1" applyBorder="1"/>
    <xf numFmtId="0" fontId="17" fillId="14" borderId="1"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9" borderId="3" xfId="0" applyFont="1" applyFill="1" applyBorder="1" applyAlignment="1">
      <alignment horizontal="left" vertical="center"/>
    </xf>
    <xf numFmtId="0" fontId="17" fillId="0" borderId="15"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10" borderId="4" xfId="0" applyFont="1" applyFill="1" applyBorder="1" applyAlignment="1">
      <alignment vertical="center"/>
    </xf>
    <xf numFmtId="0" fontId="17" fillId="10" borderId="3" xfId="0" applyFont="1" applyFill="1" applyBorder="1" applyAlignment="1">
      <alignment vertical="center"/>
    </xf>
    <xf numFmtId="0" fontId="17" fillId="10" borderId="2" xfId="0" applyFont="1" applyFill="1" applyBorder="1" applyAlignment="1">
      <alignment vertical="center"/>
    </xf>
    <xf numFmtId="0" fontId="30" fillId="11" borderId="1" xfId="0" applyFont="1" applyFill="1" applyBorder="1" applyAlignment="1">
      <alignment vertical="top" wrapText="1"/>
    </xf>
    <xf numFmtId="0" fontId="17" fillId="11" borderId="1" xfId="0" applyFont="1" applyFill="1" applyBorder="1" applyAlignment="1">
      <alignment vertical="top" wrapText="1"/>
    </xf>
    <xf numFmtId="0" fontId="23" fillId="0" borderId="1" xfId="0" applyFont="1" applyFill="1" applyBorder="1" applyAlignment="1">
      <alignment vertical="center" wrapText="1"/>
    </xf>
    <xf numFmtId="0" fontId="19" fillId="0" borderId="11" xfId="0" applyFont="1" applyFill="1" applyBorder="1" applyAlignment="1">
      <alignment horizontal="left" vertical="center" wrapText="1"/>
    </xf>
    <xf numFmtId="0" fontId="31" fillId="11" borderId="1" xfId="0" applyFont="1" applyFill="1" applyBorder="1" applyAlignment="1">
      <alignment vertical="top" wrapText="1"/>
    </xf>
    <xf numFmtId="39" fontId="27" fillId="11" borderId="1" xfId="1" applyNumberFormat="1" applyFont="1" applyFill="1" applyBorder="1" applyAlignment="1">
      <alignment vertical="top"/>
    </xf>
    <xf numFmtId="0" fontId="20" fillId="11" borderId="1" xfId="0" applyFont="1" applyFill="1" applyBorder="1" applyAlignment="1">
      <alignment vertical="center" wrapText="1"/>
    </xf>
    <xf numFmtId="166" fontId="20" fillId="11" borderId="1" xfId="1" applyFont="1" applyFill="1" applyBorder="1" applyAlignment="1">
      <alignment vertical="center" wrapText="1"/>
    </xf>
    <xf numFmtId="39" fontId="21" fillId="11" borderId="1" xfId="1" applyNumberFormat="1" applyFont="1" applyFill="1" applyBorder="1" applyAlignment="1">
      <alignment vertical="center"/>
    </xf>
    <xf numFmtId="0" fontId="19" fillId="11" borderId="1" xfId="0" applyFont="1" applyFill="1" applyBorder="1" applyAlignment="1">
      <alignment vertical="top" wrapText="1"/>
    </xf>
    <xf numFmtId="166" fontId="19" fillId="11" borderId="1" xfId="1" applyFont="1" applyFill="1" applyBorder="1" applyAlignment="1">
      <alignment vertical="top" wrapText="1"/>
    </xf>
    <xf numFmtId="39" fontId="18" fillId="11" borderId="1" xfId="1" applyNumberFormat="1" applyFont="1" applyFill="1" applyBorder="1" applyAlignment="1">
      <alignment vertical="top"/>
    </xf>
    <xf numFmtId="166" fontId="19" fillId="11" borderId="1" xfId="1" applyFont="1" applyFill="1" applyBorder="1" applyAlignment="1">
      <alignment vertical="center" wrapText="1"/>
    </xf>
    <xf numFmtId="0" fontId="31" fillId="11" borderId="1" xfId="0" applyFont="1" applyFill="1" applyBorder="1" applyAlignment="1">
      <alignment vertical="center" wrapText="1"/>
    </xf>
    <xf numFmtId="39" fontId="27" fillId="11" borderId="1" xfId="1" applyNumberFormat="1" applyFont="1" applyFill="1" applyBorder="1" applyAlignment="1">
      <alignment vertical="center"/>
    </xf>
    <xf numFmtId="166" fontId="31" fillId="11" borderId="1" xfId="1" applyFont="1" applyFill="1" applyBorder="1" applyAlignment="1">
      <alignment vertical="center" wrapText="1"/>
    </xf>
    <xf numFmtId="39" fontId="21" fillId="8" borderId="1" xfId="1" applyNumberFormat="1" applyFont="1" applyFill="1" applyBorder="1" applyAlignment="1">
      <alignment vertical="center"/>
    </xf>
    <xf numFmtId="39" fontId="26" fillId="8" borderId="1" xfId="1" applyNumberFormat="1" applyFont="1" applyFill="1" applyBorder="1"/>
    <xf numFmtId="39" fontId="26" fillId="8" borderId="1" xfId="1" applyNumberFormat="1" applyFont="1" applyFill="1" applyBorder="1" applyAlignment="1">
      <alignment vertical="center"/>
    </xf>
    <xf numFmtId="39" fontId="21" fillId="9" borderId="1" xfId="1" applyNumberFormat="1" applyFont="1" applyFill="1" applyBorder="1" applyAlignment="1">
      <alignment horizontal="right" vertical="center"/>
    </xf>
    <xf numFmtId="39" fontId="21" fillId="13" borderId="1" xfId="1" applyNumberFormat="1" applyFont="1" applyFill="1" applyBorder="1" applyAlignment="1">
      <alignment horizontal="right" vertical="center"/>
    </xf>
    <xf numFmtId="39" fontId="32" fillId="0" borderId="1" xfId="1" applyNumberFormat="1" applyFont="1" applyFill="1" applyBorder="1" applyAlignment="1">
      <alignment wrapText="1"/>
    </xf>
    <xf numFmtId="0" fontId="17" fillId="14" borderId="1" xfId="0" applyFont="1" applyFill="1" applyBorder="1" applyAlignment="1">
      <alignment horizontal="right" vertical="center"/>
    </xf>
    <xf numFmtId="0" fontId="17" fillId="14" borderId="7" xfId="0" applyFont="1" applyFill="1" applyBorder="1" applyAlignment="1">
      <alignment horizontal="right" vertical="center"/>
    </xf>
    <xf numFmtId="0" fontId="17" fillId="14" borderId="14" xfId="0" applyFont="1" applyFill="1" applyBorder="1" applyAlignment="1">
      <alignment horizontal="left" vertical="center"/>
    </xf>
    <xf numFmtId="0" fontId="18" fillId="14" borderId="7" xfId="0" applyFont="1" applyFill="1" applyBorder="1" applyAlignment="1">
      <alignment vertical="top" wrapText="1"/>
    </xf>
    <xf numFmtId="0" fontId="21" fillId="14" borderId="7" xfId="0" applyFont="1" applyFill="1" applyBorder="1" applyAlignment="1">
      <alignment vertical="top" wrapText="1"/>
    </xf>
    <xf numFmtId="9" fontId="21" fillId="13" borderId="1" xfId="3" applyFont="1" applyFill="1" applyBorder="1" applyAlignment="1">
      <alignment horizontal="left" vertical="center"/>
    </xf>
    <xf numFmtId="166" fontId="21" fillId="8" borderId="1" xfId="1" applyFont="1" applyFill="1" applyBorder="1"/>
    <xf numFmtId="0" fontId="31" fillId="11" borderId="1" xfId="0" applyFont="1" applyFill="1" applyBorder="1" applyAlignment="1">
      <alignment horizontal="right" vertical="center" wrapText="1"/>
    </xf>
    <xf numFmtId="166" fontId="31" fillId="14" borderId="1" xfId="1" applyFont="1" applyFill="1" applyBorder="1" applyAlignment="1">
      <alignment vertical="center" wrapText="1"/>
    </xf>
    <xf numFmtId="0" fontId="31" fillId="14" borderId="1" xfId="0" applyFont="1" applyFill="1" applyBorder="1" applyAlignment="1">
      <alignment vertical="center" wrapText="1"/>
    </xf>
    <xf numFmtId="39" fontId="27" fillId="11" borderId="1" xfId="1" applyNumberFormat="1" applyFont="1" applyFill="1" applyBorder="1" applyAlignment="1">
      <alignment vertical="center" wrapText="1"/>
    </xf>
    <xf numFmtId="0" fontId="19" fillId="11" borderId="1" xfId="0" applyFont="1" applyFill="1" applyBorder="1" applyAlignment="1">
      <alignment vertical="center" wrapText="1"/>
    </xf>
    <xf numFmtId="39" fontId="18" fillId="11" borderId="1" xfId="1" applyNumberFormat="1" applyFont="1" applyFill="1" applyBorder="1" applyAlignment="1">
      <alignment vertical="center"/>
    </xf>
    <xf numFmtId="39" fontId="27" fillId="11" borderId="1" xfId="1" applyNumberFormat="1" applyFont="1" applyFill="1" applyBorder="1" applyAlignment="1">
      <alignment wrapText="1"/>
    </xf>
    <xf numFmtId="0" fontId="33" fillId="11" borderId="1" xfId="0" applyFont="1" applyFill="1" applyBorder="1" applyAlignment="1">
      <alignment horizontal="left" vertical="center" wrapText="1"/>
    </xf>
    <xf numFmtId="39" fontId="27" fillId="0" borderId="1" xfId="1" applyNumberFormat="1" applyFont="1" applyFill="1" applyBorder="1" applyAlignment="1">
      <alignment vertical="center" wrapText="1"/>
    </xf>
    <xf numFmtId="9" fontId="3" fillId="11" borderId="1" xfId="3" applyFont="1" applyFill="1" applyBorder="1" applyAlignment="1">
      <alignment vertical="center" wrapText="1"/>
    </xf>
    <xf numFmtId="166" fontId="3" fillId="11" borderId="1" xfId="1" applyFont="1" applyFill="1" applyBorder="1" applyAlignment="1">
      <alignment vertical="center" wrapText="1"/>
    </xf>
    <xf numFmtId="9" fontId="21" fillId="8" borderId="1" xfId="3" applyFont="1" applyFill="1" applyBorder="1"/>
    <xf numFmtId="9" fontId="27" fillId="11" borderId="1" xfId="3" applyFont="1" applyFill="1" applyBorder="1" applyAlignment="1">
      <alignment vertical="center"/>
    </xf>
    <xf numFmtId="9" fontId="5" fillId="0" borderId="1" xfId="3" applyFont="1" applyFill="1" applyBorder="1" applyAlignment="1">
      <alignment vertical="center"/>
    </xf>
    <xf numFmtId="9" fontId="27" fillId="11" borderId="1" xfId="3" applyFont="1" applyFill="1" applyBorder="1"/>
    <xf numFmtId="39" fontId="21" fillId="9" borderId="1" xfId="1" applyNumberFormat="1" applyFont="1" applyFill="1" applyBorder="1" applyAlignment="1">
      <alignment vertical="center"/>
    </xf>
    <xf numFmtId="0" fontId="14" fillId="7" borderId="3" xfId="0" applyFont="1" applyFill="1" applyBorder="1" applyAlignment="1">
      <alignment vertical="center" wrapText="1"/>
    </xf>
    <xf numFmtId="0" fontId="14" fillId="7" borderId="2" xfId="0" applyFont="1" applyFill="1" applyBorder="1" applyAlignment="1">
      <alignment vertical="center" wrapText="1"/>
    </xf>
    <xf numFmtId="0" fontId="14" fillId="6" borderId="3" xfId="0" applyFont="1" applyFill="1" applyBorder="1" applyAlignment="1">
      <alignment vertical="center" wrapText="1"/>
    </xf>
    <xf numFmtId="0" fontId="14" fillId="6" borderId="2" xfId="0" applyFont="1" applyFill="1" applyBorder="1" applyAlignment="1">
      <alignment vertical="center" wrapText="1"/>
    </xf>
    <xf numFmtId="39" fontId="26" fillId="11" borderId="1" xfId="1" applyNumberFormat="1" applyFont="1" applyFill="1" applyBorder="1"/>
    <xf numFmtId="0" fontId="19" fillId="14" borderId="1" xfId="0" applyFont="1" applyFill="1" applyBorder="1" applyAlignment="1">
      <alignment vertical="top" wrapText="1"/>
    </xf>
    <xf numFmtId="39" fontId="27" fillId="14" borderId="1" xfId="1" applyNumberFormat="1" applyFont="1" applyFill="1" applyBorder="1" applyAlignment="1">
      <alignment vertical="center"/>
    </xf>
    <xf numFmtId="0" fontId="5" fillId="2" borderId="1" xfId="0" applyFont="1" applyFill="1" applyBorder="1"/>
    <xf numFmtId="43" fontId="9" fillId="0" borderId="0" xfId="0" applyNumberFormat="1" applyFont="1" applyFill="1" applyBorder="1" applyAlignment="1">
      <alignment horizontal="center"/>
    </xf>
    <xf numFmtId="0" fontId="18" fillId="4" borderId="7" xfId="0" applyFont="1" applyFill="1" applyBorder="1" applyAlignment="1">
      <alignment horizontal="left" vertical="center"/>
    </xf>
    <xf numFmtId="0" fontId="18" fillId="4" borderId="14" xfId="0" applyFont="1" applyFill="1" applyBorder="1" applyAlignment="1">
      <alignment horizontal="left" vertical="center"/>
    </xf>
    <xf numFmtId="0" fontId="18" fillId="4" borderId="1" xfId="0" applyFont="1" applyFill="1" applyBorder="1" applyAlignment="1">
      <alignment vertical="top" wrapText="1"/>
    </xf>
    <xf numFmtId="1" fontId="18" fillId="4" borderId="1" xfId="0" applyNumberFormat="1" applyFont="1" applyFill="1" applyBorder="1" applyAlignment="1">
      <alignment vertical="top" wrapText="1"/>
    </xf>
    <xf numFmtId="37" fontId="18" fillId="4" borderId="1" xfId="1" applyNumberFormat="1" applyFont="1" applyFill="1" applyBorder="1"/>
    <xf numFmtId="166" fontId="21" fillId="9" borderId="1" xfId="1" applyFont="1" applyFill="1" applyBorder="1" applyAlignment="1">
      <alignment horizontal="left" vertical="center"/>
    </xf>
    <xf numFmtId="39" fontId="21" fillId="11" borderId="0" xfId="1" applyNumberFormat="1" applyFont="1" applyFill="1" applyBorder="1"/>
    <xf numFmtId="0" fontId="18" fillId="4" borderId="7" xfId="0" applyFont="1" applyFill="1" applyBorder="1" applyAlignment="1">
      <alignment horizontal="left" vertical="center" wrapText="1"/>
    </xf>
    <xf numFmtId="43" fontId="5" fillId="2" borderId="1" xfId="0" applyNumberFormat="1" applyFont="1" applyFill="1" applyBorder="1"/>
    <xf numFmtId="43" fontId="18" fillId="0" borderId="0" xfId="0" applyNumberFormat="1" applyFont="1" applyFill="1" applyBorder="1"/>
    <xf numFmtId="0" fontId="17" fillId="0" borderId="12" xfId="0" applyFont="1" applyFill="1" applyBorder="1" applyAlignment="1">
      <alignment horizontal="left" vertical="top" wrapText="1"/>
    </xf>
    <xf numFmtId="0" fontId="18" fillId="14" borderId="3" xfId="0" applyFont="1" applyFill="1" applyBorder="1" applyAlignment="1">
      <alignment vertical="top" wrapText="1"/>
    </xf>
    <xf numFmtId="43" fontId="5" fillId="4" borderId="1" xfId="0" applyNumberFormat="1" applyFont="1" applyFill="1" applyBorder="1"/>
    <xf numFmtId="0" fontId="5" fillId="4" borderId="1" xfId="0" applyFont="1" applyFill="1" applyBorder="1"/>
    <xf numFmtId="0" fontId="17" fillId="0" borderId="14" xfId="0" applyFont="1" applyFill="1" applyBorder="1" applyAlignment="1">
      <alignment horizontal="left" vertical="center" wrapText="1"/>
    </xf>
    <xf numFmtId="9" fontId="17" fillId="12" borderId="1" xfId="0" applyNumberFormat="1" applyFont="1" applyFill="1" applyBorder="1" applyAlignment="1">
      <alignment vertical="center" wrapText="1"/>
    </xf>
    <xf numFmtId="9" fontId="17" fillId="13" borderId="1" xfId="3" applyFont="1" applyFill="1" applyBorder="1"/>
    <xf numFmtId="166" fontId="21" fillId="13" borderId="1" xfId="1" applyFont="1" applyFill="1" applyBorder="1" applyAlignment="1">
      <alignment horizontal="left" vertical="center"/>
    </xf>
    <xf numFmtId="166" fontId="17" fillId="12" borderId="1" xfId="3" applyNumberFormat="1" applyFont="1" applyFill="1" applyBorder="1" applyAlignment="1">
      <alignment vertical="center" wrapText="1"/>
    </xf>
    <xf numFmtId="0" fontId="17" fillId="10" borderId="1" xfId="0" applyFont="1" applyFill="1" applyBorder="1" applyAlignment="1">
      <alignment vertical="center"/>
    </xf>
    <xf numFmtId="0" fontId="17" fillId="10" borderId="1" xfId="0" applyFont="1" applyFill="1" applyBorder="1" applyAlignment="1">
      <alignment vertical="center" wrapText="1"/>
    </xf>
    <xf numFmtId="0" fontId="17" fillId="13" borderId="4" xfId="0" applyFont="1" applyFill="1" applyBorder="1" applyAlignment="1">
      <alignment vertical="center"/>
    </xf>
    <xf numFmtId="0" fontId="17" fillId="13" borderId="3" xfId="0" applyFont="1" applyFill="1" applyBorder="1" applyAlignment="1">
      <alignment vertical="center"/>
    </xf>
    <xf numFmtId="0" fontId="17" fillId="13" borderId="2" xfId="0" applyFont="1" applyFill="1" applyBorder="1" applyAlignment="1">
      <alignment vertical="center"/>
    </xf>
    <xf numFmtId="37" fontId="3" fillId="0" borderId="0" xfId="0" applyNumberFormat="1" applyFont="1" applyFill="1" applyBorder="1" applyAlignment="1">
      <alignment horizontal="right"/>
    </xf>
    <xf numFmtId="0" fontId="35" fillId="14" borderId="1" xfId="0" applyFont="1" applyFill="1" applyBorder="1" applyAlignment="1">
      <alignment vertical="center" wrapText="1"/>
    </xf>
    <xf numFmtId="166" fontId="27" fillId="14" borderId="1" xfId="1" applyFont="1" applyFill="1" applyBorder="1" applyAlignment="1">
      <alignment vertical="center" wrapText="1"/>
    </xf>
    <xf numFmtId="0" fontId="27" fillId="14" borderId="1" xfId="0" applyFont="1" applyFill="1" applyBorder="1" applyAlignment="1">
      <alignment vertical="center" wrapText="1"/>
    </xf>
    <xf numFmtId="0" fontId="5" fillId="4" borderId="1" xfId="0" applyFont="1" applyFill="1" applyBorder="1" applyAlignment="1">
      <alignment vertical="top" wrapText="1"/>
    </xf>
    <xf numFmtId="39" fontId="5" fillId="4" borderId="1" xfId="1" applyNumberFormat="1" applyFont="1" applyFill="1" applyBorder="1"/>
    <xf numFmtId="0" fontId="6" fillId="4" borderId="0" xfId="0" applyFont="1" applyFill="1"/>
    <xf numFmtId="0" fontId="6" fillId="4" borderId="0" xfId="0" applyFont="1" applyFill="1" applyBorder="1"/>
    <xf numFmtId="167" fontId="41" fillId="5" borderId="11" xfId="2" applyNumberFormat="1" applyFont="1" applyFill="1" applyBorder="1" applyAlignment="1">
      <alignment horizontal="center" vertical="top" wrapText="1"/>
    </xf>
    <xf numFmtId="0" fontId="41" fillId="5" borderId="11" xfId="2" applyNumberFormat="1" applyFont="1" applyFill="1" applyBorder="1" applyAlignment="1">
      <alignment vertical="top" wrapText="1"/>
    </xf>
    <xf numFmtId="39" fontId="24" fillId="0" borderId="1" xfId="5" applyNumberFormat="1" applyFont="1" applyFill="1" applyBorder="1" applyAlignment="1">
      <alignment vertical="top"/>
    </xf>
    <xf numFmtId="167" fontId="23" fillId="0" borderId="1" xfId="5" applyNumberFormat="1" applyFont="1" applyFill="1" applyBorder="1" applyAlignment="1">
      <alignment horizontal="center" vertical="top"/>
    </xf>
    <xf numFmtId="39" fontId="23" fillId="0" borderId="1" xfId="5" applyNumberFormat="1" applyFont="1" applyFill="1" applyBorder="1" applyAlignment="1">
      <alignment vertical="top"/>
    </xf>
    <xf numFmtId="167" fontId="24" fillId="0" borderId="1" xfId="5" applyNumberFormat="1" applyFont="1" applyFill="1" applyBorder="1" applyAlignment="1">
      <alignment horizontal="center" vertical="top"/>
    </xf>
    <xf numFmtId="167" fontId="23" fillId="0" borderId="11" xfId="5" applyNumberFormat="1" applyFont="1" applyFill="1" applyBorder="1" applyAlignment="1">
      <alignment horizontal="center" vertical="top"/>
    </xf>
    <xf numFmtId="39" fontId="23" fillId="0" borderId="11" xfId="5" applyNumberFormat="1" applyFont="1" applyFill="1" applyBorder="1" applyAlignment="1">
      <alignment vertical="top"/>
    </xf>
    <xf numFmtId="39" fontId="46" fillId="8" borderId="1" xfId="5" applyNumberFormat="1" applyFont="1" applyFill="1" applyBorder="1" applyAlignment="1">
      <alignment vertical="top"/>
    </xf>
    <xf numFmtId="167" fontId="42" fillId="0" borderId="1" xfId="5" applyNumberFormat="1" applyFont="1" applyFill="1" applyBorder="1" applyAlignment="1">
      <alignment horizontal="center" vertical="top"/>
    </xf>
    <xf numFmtId="167" fontId="46" fillId="0" borderId="1" xfId="5" applyNumberFormat="1" applyFont="1" applyFill="1" applyBorder="1" applyAlignment="1">
      <alignment horizontal="center" vertical="top"/>
    </xf>
    <xf numFmtId="39" fontId="46" fillId="0" borderId="1" xfId="5" applyNumberFormat="1" applyFont="1" applyFill="1" applyBorder="1" applyAlignment="1">
      <alignment vertical="top"/>
    </xf>
    <xf numFmtId="167" fontId="23" fillId="0" borderId="14" xfId="5" applyNumberFormat="1" applyFont="1" applyFill="1" applyBorder="1" applyAlignment="1">
      <alignment horizontal="center" vertical="top"/>
    </xf>
    <xf numFmtId="39" fontId="24" fillId="0" borderId="11" xfId="5" applyNumberFormat="1" applyFont="1" applyFill="1" applyBorder="1" applyAlignment="1">
      <alignment vertical="top"/>
    </xf>
    <xf numFmtId="167" fontId="24" fillId="8" borderId="1" xfId="5" applyNumberFormat="1" applyFont="1" applyFill="1" applyBorder="1" applyAlignment="1">
      <alignment horizontal="center" vertical="top"/>
    </xf>
    <xf numFmtId="0" fontId="14" fillId="0" borderId="0" xfId="0" applyFont="1" applyFill="1" applyBorder="1"/>
    <xf numFmtId="167" fontId="46" fillId="9" borderId="1" xfId="5" applyNumberFormat="1" applyFont="1" applyFill="1" applyBorder="1" applyAlignment="1">
      <alignment horizontal="center" vertical="top"/>
    </xf>
    <xf numFmtId="39" fontId="46" fillId="9" borderId="1" xfId="5" applyNumberFormat="1" applyFont="1" applyFill="1" applyBorder="1" applyAlignment="1">
      <alignment vertical="top"/>
    </xf>
    <xf numFmtId="39" fontId="23" fillId="8" borderId="1" xfId="5" applyNumberFormat="1" applyFont="1" applyFill="1" applyBorder="1" applyAlignment="1">
      <alignment vertical="top"/>
    </xf>
    <xf numFmtId="170" fontId="24" fillId="8" borderId="1" xfId="5" applyNumberFormat="1" applyFont="1" applyFill="1" applyBorder="1" applyAlignment="1">
      <alignment horizontal="center" vertical="top"/>
    </xf>
    <xf numFmtId="167" fontId="3" fillId="0" borderId="1" xfId="5" applyNumberFormat="1" applyFont="1" applyFill="1" applyBorder="1" applyAlignment="1">
      <alignment horizontal="center" vertical="center"/>
    </xf>
    <xf numFmtId="39" fontId="3" fillId="0" borderId="1" xfId="5" applyNumberFormat="1" applyFont="1" applyFill="1" applyBorder="1"/>
    <xf numFmtId="167" fontId="14" fillId="8" borderId="1" xfId="5" applyNumberFormat="1" applyFont="1" applyFill="1" applyBorder="1" applyAlignment="1">
      <alignment horizontal="center" vertical="center"/>
    </xf>
    <xf numFmtId="39" fontId="50" fillId="8" borderId="1" xfId="5" applyNumberFormat="1" applyFont="1" applyFill="1" applyBorder="1"/>
    <xf numFmtId="39" fontId="50" fillId="0" borderId="1" xfId="5" applyNumberFormat="1" applyFont="1" applyFill="1" applyBorder="1"/>
    <xf numFmtId="167" fontId="24" fillId="8" borderId="1" xfId="5" applyNumberFormat="1" applyFont="1" applyFill="1" applyBorder="1" applyAlignment="1">
      <alignment horizontal="center" vertical="center"/>
    </xf>
    <xf numFmtId="39" fontId="3" fillId="8" borderId="1" xfId="5" applyNumberFormat="1" applyFont="1" applyFill="1" applyBorder="1"/>
    <xf numFmtId="167" fontId="50" fillId="0" borderId="1" xfId="5" applyNumberFormat="1" applyFont="1" applyFill="1" applyBorder="1" applyAlignment="1">
      <alignment horizontal="center" vertical="center"/>
    </xf>
    <xf numFmtId="167" fontId="46" fillId="8" borderId="1" xfId="5" applyNumberFormat="1" applyFont="1" applyFill="1" applyBorder="1" applyAlignment="1">
      <alignment horizontal="center" vertical="center"/>
    </xf>
    <xf numFmtId="39" fontId="46" fillId="8" borderId="1" xfId="5" applyNumberFormat="1" applyFont="1" applyFill="1" applyBorder="1"/>
    <xf numFmtId="39" fontId="23" fillId="0" borderId="1" xfId="5" applyNumberFormat="1" applyFont="1" applyFill="1" applyBorder="1"/>
    <xf numFmtId="167" fontId="46" fillId="9" borderId="1" xfId="5" applyNumberFormat="1" applyFont="1" applyFill="1" applyBorder="1" applyAlignment="1">
      <alignment horizontal="center" vertical="center"/>
    </xf>
    <xf numFmtId="39" fontId="46" fillId="9" borderId="1" xfId="5" applyNumberFormat="1" applyFont="1" applyFill="1" applyBorder="1" applyAlignment="1">
      <alignment horizontal="left"/>
    </xf>
    <xf numFmtId="0" fontId="14" fillId="0" borderId="0" xfId="0" applyFont="1" applyFill="1" applyBorder="1" applyAlignment="1">
      <alignment horizontal="center"/>
    </xf>
    <xf numFmtId="167" fontId="23" fillId="11" borderId="1" xfId="5" applyNumberFormat="1" applyFont="1" applyFill="1" applyBorder="1" applyAlignment="1">
      <alignment horizontal="center" vertical="top"/>
    </xf>
    <xf numFmtId="167" fontId="46" fillId="7" borderId="1" xfId="5" applyNumberFormat="1" applyFont="1" applyFill="1" applyBorder="1" applyAlignment="1">
      <alignment horizontal="center" vertical="top"/>
    </xf>
    <xf numFmtId="39" fontId="46" fillId="7" borderId="1" xfId="5" applyNumberFormat="1" applyFont="1" applyFill="1" applyBorder="1" applyAlignment="1">
      <alignment vertical="top"/>
    </xf>
    <xf numFmtId="167" fontId="23" fillId="11" borderId="1" xfId="5" applyNumberFormat="1" applyFont="1" applyFill="1" applyBorder="1" applyAlignment="1">
      <alignment horizontal="center" vertical="center"/>
    </xf>
    <xf numFmtId="0" fontId="5" fillId="0" borderId="0" xfId="0" applyFont="1" applyFill="1" applyBorder="1"/>
    <xf numFmtId="0" fontId="5" fillId="0" borderId="0" xfId="0" applyFont="1" applyBorder="1"/>
    <xf numFmtId="0" fontId="54" fillId="0" borderId="0" xfId="0" applyFont="1" applyFill="1" applyBorder="1"/>
    <xf numFmtId="0" fontId="12" fillId="0" borderId="0" xfId="0" applyFont="1" applyBorder="1" applyAlignment="1">
      <alignment horizontal="center"/>
    </xf>
    <xf numFmtId="0" fontId="14" fillId="4" borderId="8" xfId="0" applyFont="1" applyFill="1" applyBorder="1" applyAlignment="1">
      <alignment vertical="center" wrapText="1"/>
    </xf>
    <xf numFmtId="39" fontId="55" fillId="0" borderId="1" xfId="1" applyNumberFormat="1" applyFont="1" applyFill="1" applyBorder="1"/>
    <xf numFmtId="0" fontId="6" fillId="0" borderId="1" xfId="0" applyFont="1" applyFill="1" applyBorder="1"/>
    <xf numFmtId="0" fontId="55" fillId="2" borderId="1" xfId="0" applyFont="1" applyFill="1" applyBorder="1" applyAlignment="1">
      <alignment vertical="top" wrapText="1"/>
    </xf>
    <xf numFmtId="39" fontId="5" fillId="0" borderId="1" xfId="1" applyNumberFormat="1" applyFont="1" applyFill="1" applyBorder="1"/>
    <xf numFmtId="0" fontId="13" fillId="20" borderId="8" xfId="0" applyFont="1" applyFill="1" applyBorder="1" applyAlignment="1">
      <alignment vertical="center" wrapText="1"/>
    </xf>
    <xf numFmtId="0" fontId="6" fillId="0" borderId="5" xfId="0" applyFont="1" applyFill="1" applyBorder="1" applyAlignment="1">
      <alignment vertical="center" wrapText="1"/>
    </xf>
    <xf numFmtId="0" fontId="6" fillId="4" borderId="0" xfId="0" applyFont="1" applyFill="1" applyAlignment="1">
      <alignment horizontal="left"/>
    </xf>
    <xf numFmtId="0" fontId="6" fillId="0" borderId="6" xfId="0" applyFont="1" applyBorder="1"/>
    <xf numFmtId="0" fontId="5" fillId="0" borderId="6" xfId="0" applyFont="1" applyFill="1" applyBorder="1"/>
    <xf numFmtId="0" fontId="5" fillId="0" borderId="6" xfId="0" applyFont="1" applyBorder="1"/>
    <xf numFmtId="0" fontId="5" fillId="0" borderId="7" xfId="0" applyFont="1" applyBorder="1"/>
    <xf numFmtId="0" fontId="5" fillId="0" borderId="13" xfId="0" applyFont="1" applyBorder="1"/>
    <xf numFmtId="0" fontId="5" fillId="0" borderId="9" xfId="0" applyFont="1" applyBorder="1"/>
    <xf numFmtId="0" fontId="5" fillId="0" borderId="9" xfId="0" applyFont="1" applyFill="1" applyBorder="1"/>
    <xf numFmtId="0" fontId="5" fillId="0" borderId="10" xfId="0" applyFont="1" applyBorder="1"/>
    <xf numFmtId="0" fontId="57" fillId="5" borderId="11" xfId="2" applyNumberFormat="1" applyFont="1" applyFill="1" applyBorder="1" applyAlignment="1">
      <alignment horizontal="center" vertical="center" wrapText="1"/>
    </xf>
    <xf numFmtId="0" fontId="57" fillId="5" borderId="1" xfId="2" applyNumberFormat="1" applyFont="1" applyFill="1" applyBorder="1" applyAlignment="1">
      <alignment horizontal="center" vertical="center" wrapText="1"/>
    </xf>
    <xf numFmtId="9" fontId="57" fillId="0" borderId="1" xfId="3" applyFont="1" applyFill="1" applyBorder="1"/>
    <xf numFmtId="9" fontId="57" fillId="8" borderId="1" xfId="3" applyFont="1" applyFill="1" applyBorder="1" applyAlignment="1">
      <alignment vertical="center"/>
    </xf>
    <xf numFmtId="39" fontId="18" fillId="23" borderId="1" xfId="5" applyNumberFormat="1" applyFont="1" applyFill="1" applyBorder="1" applyAlignment="1">
      <alignment vertical="center"/>
    </xf>
    <xf numFmtId="39" fontId="18" fillId="23" borderId="4" xfId="5" applyNumberFormat="1" applyFont="1" applyFill="1" applyBorder="1"/>
    <xf numFmtId="39" fontId="18" fillId="0" borderId="4" xfId="5" applyNumberFormat="1" applyFont="1" applyFill="1" applyBorder="1"/>
    <xf numFmtId="39" fontId="21" fillId="8" borderId="4" xfId="5" applyNumberFormat="1" applyFont="1" applyFill="1" applyBorder="1"/>
    <xf numFmtId="39" fontId="21" fillId="0" borderId="4" xfId="5" applyNumberFormat="1" applyFont="1" applyFill="1" applyBorder="1"/>
    <xf numFmtId="9" fontId="21" fillId="8" borderId="1" xfId="3" applyFont="1" applyFill="1" applyBorder="1" applyAlignment="1">
      <alignment horizontal="right"/>
    </xf>
    <xf numFmtId="166" fontId="21" fillId="8" borderId="1" xfId="1" applyFont="1" applyFill="1" applyBorder="1" applyAlignment="1">
      <alignment horizontal="left"/>
    </xf>
    <xf numFmtId="0" fontId="18" fillId="0" borderId="7" xfId="0" applyFont="1" applyFill="1" applyBorder="1" applyAlignment="1">
      <alignment horizontal="left" vertical="center" wrapText="1"/>
    </xf>
    <xf numFmtId="43" fontId="17" fillId="0" borderId="0" xfId="0" applyNumberFormat="1" applyFont="1" applyFill="1" applyBorder="1"/>
    <xf numFmtId="0" fontId="67" fillId="33" borderId="1" xfId="11" applyFont="1" applyFill="1" applyBorder="1" applyAlignment="1" applyProtection="1">
      <alignment horizontal="left"/>
      <protection locked="0"/>
    </xf>
    <xf numFmtId="9" fontId="67" fillId="33" borderId="1" xfId="11" applyNumberFormat="1" applyFont="1" applyFill="1" applyBorder="1" applyProtection="1">
      <protection locked="0"/>
    </xf>
    <xf numFmtId="0" fontId="5" fillId="0" borderId="1" xfId="0" applyFont="1" applyFill="1" applyBorder="1" applyAlignment="1">
      <alignment vertical="center"/>
    </xf>
    <xf numFmtId="0" fontId="5" fillId="0" borderId="1" xfId="0" applyFont="1" applyFill="1" applyBorder="1" applyAlignment="1">
      <alignment vertical="top" wrapText="1"/>
    </xf>
    <xf numFmtId="0" fontId="7" fillId="0" borderId="1" xfId="0" applyFont="1" applyFill="1" applyBorder="1" applyAlignment="1">
      <alignment vertical="center" wrapText="1"/>
    </xf>
    <xf numFmtId="0" fontId="7" fillId="0" borderId="1" xfId="0" applyFont="1" applyFill="1" applyBorder="1" applyAlignment="1">
      <alignment horizontal="right" vertical="center" wrapText="1"/>
    </xf>
    <xf numFmtId="39" fontId="5" fillId="0" borderId="1" xfId="1" applyNumberFormat="1" applyFont="1" applyFill="1" applyBorder="1" applyAlignment="1">
      <alignment vertical="center"/>
    </xf>
    <xf numFmtId="9" fontId="5" fillId="0" borderId="1" xfId="1" applyNumberFormat="1" applyFont="1" applyFill="1" applyBorder="1" applyAlignment="1">
      <alignment horizontal="center" vertical="center"/>
    </xf>
    <xf numFmtId="0" fontId="5" fillId="0" borderId="1" xfId="0" applyFont="1" applyBorder="1"/>
    <xf numFmtId="0" fontId="5" fillId="2" borderId="1" xfId="0" applyFont="1" applyFill="1" applyBorder="1" applyAlignment="1">
      <alignment vertical="top" wrapText="1"/>
    </xf>
    <xf numFmtId="0" fontId="72" fillId="2" borderId="1" xfId="0" applyFont="1" applyFill="1" applyBorder="1" applyAlignment="1">
      <alignment vertical="top" wrapText="1"/>
    </xf>
    <xf numFmtId="39" fontId="55" fillId="2" borderId="1" xfId="1" applyNumberFormat="1" applyFont="1" applyFill="1" applyBorder="1"/>
    <xf numFmtId="0" fontId="11" fillId="0" borderId="1" xfId="0" applyFont="1" applyBorder="1" applyAlignment="1">
      <alignment horizontal="left" vertical="center" wrapText="1"/>
    </xf>
    <xf numFmtId="0" fontId="5" fillId="2" borderId="0" xfId="0" applyFont="1" applyFill="1"/>
    <xf numFmtId="0" fontId="5" fillId="0" borderId="1" xfId="0" applyFont="1" applyFill="1" applyBorder="1" applyAlignment="1">
      <alignment vertical="center" wrapText="1"/>
    </xf>
    <xf numFmtId="0" fontId="7" fillId="4" borderId="1" xfId="0" applyFont="1" applyFill="1" applyBorder="1" applyAlignment="1">
      <alignment horizontal="right" vertical="center" wrapText="1"/>
    </xf>
    <xf numFmtId="39" fontId="55" fillId="4" borderId="1" xfId="1" applyNumberFormat="1" applyFont="1" applyFill="1" applyBorder="1" applyAlignment="1">
      <alignment vertical="center"/>
    </xf>
    <xf numFmtId="39" fontId="55" fillId="4" borderId="1" xfId="1" applyNumberFormat="1" applyFont="1" applyFill="1" applyBorder="1"/>
    <xf numFmtId="0" fontId="7" fillId="4" borderId="1" xfId="0" applyFont="1" applyFill="1" applyBorder="1" applyAlignment="1">
      <alignment vertical="center" wrapText="1"/>
    </xf>
    <xf numFmtId="39" fontId="5" fillId="4" borderId="1" xfId="1" applyNumberFormat="1" applyFont="1" applyFill="1" applyBorder="1" applyAlignment="1">
      <alignment vertical="center"/>
    </xf>
    <xf numFmtId="0" fontId="5" fillId="4" borderId="1" xfId="0" applyFont="1" applyFill="1" applyBorder="1" applyAlignment="1">
      <alignment vertical="center" wrapText="1"/>
    </xf>
    <xf numFmtId="39" fontId="5" fillId="4" borderId="1" xfId="1" applyNumberFormat="1" applyFont="1" applyFill="1" applyBorder="1" applyAlignment="1">
      <alignment horizontal="left" vertical="center" wrapText="1"/>
    </xf>
    <xf numFmtId="0" fontId="55" fillId="21" borderId="1" xfId="0" applyFont="1" applyFill="1" applyBorder="1" applyAlignment="1">
      <alignment vertical="top" wrapText="1"/>
    </xf>
    <xf numFmtId="9" fontId="73" fillId="4" borderId="1" xfId="1" applyNumberFormat="1" applyFont="1" applyFill="1" applyBorder="1" applyAlignment="1">
      <alignment horizontal="center" vertical="center"/>
    </xf>
    <xf numFmtId="39" fontId="73" fillId="4" borderId="1" xfId="1" applyNumberFormat="1" applyFont="1" applyFill="1" applyBorder="1" applyAlignment="1">
      <alignment horizontal="center" vertical="center"/>
    </xf>
    <xf numFmtId="0" fontId="7" fillId="0" borderId="1" xfId="0" applyFont="1" applyFill="1" applyBorder="1" applyAlignment="1">
      <alignment horizontal="right" vertical="top" wrapText="1"/>
    </xf>
    <xf numFmtId="0" fontId="5" fillId="0" borderId="1" xfId="0" applyFont="1" applyBorder="1" applyAlignment="1">
      <alignment vertical="center"/>
    </xf>
    <xf numFmtId="39" fontId="5" fillId="0" borderId="1" xfId="1" applyNumberFormat="1" applyFont="1" applyFill="1" applyBorder="1" applyAlignment="1">
      <alignment horizontal="center"/>
    </xf>
    <xf numFmtId="39" fontId="73" fillId="2" borderId="1" xfId="1" applyNumberFormat="1" applyFont="1" applyFill="1" applyBorder="1" applyAlignment="1">
      <alignment horizontal="center"/>
    </xf>
    <xf numFmtId="0" fontId="55" fillId="23" borderId="1" xfId="0" applyFont="1" applyFill="1" applyBorder="1" applyAlignment="1">
      <alignment vertical="top" wrapText="1"/>
    </xf>
    <xf numFmtId="0" fontId="74" fillId="0" borderId="0" xfId="0" applyFont="1" applyBorder="1"/>
    <xf numFmtId="39" fontId="34" fillId="0" borderId="0" xfId="0" applyNumberFormat="1" applyFont="1" applyFill="1" applyBorder="1"/>
    <xf numFmtId="0" fontId="75" fillId="0" borderId="0" xfId="0" applyFont="1" applyBorder="1" applyAlignment="1">
      <alignment horizontal="center"/>
    </xf>
    <xf numFmtId="39" fontId="75" fillId="0" borderId="0" xfId="0" applyNumberFormat="1" applyFont="1" applyBorder="1" applyAlignment="1">
      <alignment horizontal="center"/>
    </xf>
    <xf numFmtId="0" fontId="13" fillId="3" borderId="11" xfId="2" applyNumberFormat="1" applyFont="1" applyFill="1" applyBorder="1" applyAlignment="1">
      <alignment horizontal="center" vertical="center" wrapText="1"/>
    </xf>
    <xf numFmtId="0" fontId="5" fillId="0" borderId="0" xfId="0" applyFont="1" applyAlignment="1">
      <alignment horizontal="center"/>
    </xf>
    <xf numFmtId="0" fontId="14" fillId="4" borderId="0" xfId="0" applyFont="1" applyFill="1" applyBorder="1" applyAlignment="1">
      <alignment vertical="center" wrapText="1"/>
    </xf>
    <xf numFmtId="0" fontId="55" fillId="22" borderId="1" xfId="0" applyFont="1" applyFill="1" applyBorder="1" applyAlignment="1">
      <alignment horizontal="left" vertical="top" wrapText="1"/>
    </xf>
    <xf numFmtId="39" fontId="55" fillId="22" borderId="1" xfId="1" applyNumberFormat="1" applyFont="1" applyFill="1" applyBorder="1" applyAlignment="1">
      <alignment horizontal="left"/>
    </xf>
    <xf numFmtId="166" fontId="55" fillId="23" borderId="1" xfId="1" applyFont="1" applyFill="1" applyBorder="1" applyAlignment="1">
      <alignment vertical="top" wrapText="1"/>
    </xf>
    <xf numFmtId="9" fontId="76" fillId="23" borderId="1" xfId="3" applyFont="1" applyFill="1" applyBorder="1" applyAlignment="1">
      <alignment vertical="top" wrapText="1"/>
    </xf>
    <xf numFmtId="39" fontId="55" fillId="23" borderId="1" xfId="1" applyNumberFormat="1" applyFont="1" applyFill="1" applyBorder="1"/>
    <xf numFmtId="9" fontId="55" fillId="23" borderId="1" xfId="3" applyFont="1" applyFill="1" applyBorder="1" applyAlignment="1">
      <alignment horizontal="left"/>
    </xf>
    <xf numFmtId="0" fontId="13" fillId="20" borderId="0" xfId="0" applyFont="1" applyFill="1" applyBorder="1" applyAlignment="1">
      <alignment vertical="center" wrapText="1"/>
    </xf>
    <xf numFmtId="39" fontId="13" fillId="20" borderId="0" xfId="0" applyNumberFormat="1" applyFont="1" applyFill="1" applyBorder="1" applyAlignment="1">
      <alignment vertical="center" wrapText="1"/>
    </xf>
    <xf numFmtId="0" fontId="13" fillId="20" borderId="13" xfId="0" applyFont="1" applyFill="1" applyBorder="1" applyAlignment="1">
      <alignment vertical="center" wrapText="1"/>
    </xf>
    <xf numFmtId="0" fontId="13" fillId="4" borderId="0" xfId="0" applyFont="1" applyFill="1" applyBorder="1" applyAlignment="1">
      <alignment vertical="center" wrapText="1"/>
    </xf>
    <xf numFmtId="0" fontId="6" fillId="18" borderId="3" xfId="0" applyFont="1" applyFill="1" applyBorder="1" applyAlignment="1">
      <alignment vertical="center" wrapText="1"/>
    </xf>
    <xf numFmtId="0" fontId="6" fillId="18" borderId="2" xfId="0" applyFont="1" applyFill="1" applyBorder="1" applyAlignment="1">
      <alignment vertical="center" wrapText="1"/>
    </xf>
    <xf numFmtId="0" fontId="6" fillId="0" borderId="0" xfId="0" applyFont="1" applyFill="1" applyBorder="1" applyAlignment="1">
      <alignment vertical="center" wrapText="1"/>
    </xf>
    <xf numFmtId="0" fontId="5" fillId="0" borderId="7" xfId="0" applyFont="1" applyFill="1" applyBorder="1" applyAlignment="1">
      <alignment horizontal="left" vertical="center"/>
    </xf>
    <xf numFmtId="0" fontId="5" fillId="0" borderId="14" xfId="0" applyFont="1" applyFill="1" applyBorder="1" applyAlignment="1">
      <alignment horizontal="left" vertical="center"/>
    </xf>
    <xf numFmtId="0" fontId="5" fillId="0" borderId="7" xfId="0" applyFont="1" applyFill="1" applyBorder="1" applyAlignment="1">
      <alignment vertical="top" wrapText="1"/>
    </xf>
    <xf numFmtId="0" fontId="6" fillId="0" borderId="1" xfId="0" applyFont="1" applyFill="1" applyBorder="1" applyAlignment="1">
      <alignment horizontal="right" vertical="center"/>
    </xf>
    <xf numFmtId="0" fontId="6" fillId="0" borderId="7" xfId="0" applyFont="1" applyFill="1" applyBorder="1" applyAlignment="1">
      <alignment horizontal="right" vertical="center"/>
    </xf>
    <xf numFmtId="0" fontId="6" fillId="0" borderId="14" xfId="0" applyFont="1" applyFill="1" applyBorder="1" applyAlignment="1">
      <alignment horizontal="right" vertical="center"/>
    </xf>
    <xf numFmtId="9" fontId="55" fillId="2" borderId="1" xfId="3" applyFont="1" applyFill="1" applyBorder="1" applyAlignment="1">
      <alignment horizontal="left"/>
    </xf>
    <xf numFmtId="9" fontId="55" fillId="2" borderId="1" xfId="3" applyFont="1" applyFill="1" applyBorder="1" applyAlignment="1">
      <alignment horizontal="center"/>
    </xf>
    <xf numFmtId="0" fontId="5" fillId="0" borderId="1" xfId="0" applyFont="1" applyFill="1" applyBorder="1" applyAlignment="1">
      <alignment horizontal="left" vertical="center"/>
    </xf>
    <xf numFmtId="0" fontId="6" fillId="0" borderId="14" xfId="0" applyFont="1" applyFill="1" applyBorder="1" applyAlignment="1">
      <alignment horizontal="left" vertical="center"/>
    </xf>
    <xf numFmtId="0" fontId="55" fillId="0" borderId="7" xfId="0" applyFont="1" applyFill="1" applyBorder="1" applyAlignment="1">
      <alignment vertical="top" wrapText="1"/>
    </xf>
    <xf numFmtId="0" fontId="55" fillId="0" borderId="1" xfId="0" applyFont="1" applyFill="1" applyBorder="1" applyAlignment="1">
      <alignment vertical="top" wrapText="1"/>
    </xf>
    <xf numFmtId="0" fontId="6" fillId="0" borderId="2" xfId="0" applyFont="1" applyFill="1" applyBorder="1" applyAlignment="1">
      <alignment horizontal="right" vertical="center"/>
    </xf>
    <xf numFmtId="0" fontId="6" fillId="0" borderId="1" xfId="0" applyFont="1" applyFill="1" applyBorder="1" applyAlignment="1">
      <alignment horizontal="left" vertical="center"/>
    </xf>
    <xf numFmtId="0" fontId="6" fillId="36" borderId="1" xfId="0" applyFont="1" applyFill="1" applyBorder="1" applyAlignment="1">
      <alignment horizontal="right" vertical="center"/>
    </xf>
    <xf numFmtId="0" fontId="6" fillId="36" borderId="7" xfId="0" applyFont="1" applyFill="1" applyBorder="1" applyAlignment="1">
      <alignment horizontal="right" vertical="center"/>
    </xf>
    <xf numFmtId="0" fontId="6" fillId="36" borderId="14" xfId="0" applyFont="1" applyFill="1" applyBorder="1" applyAlignment="1">
      <alignment horizontal="left" vertical="center"/>
    </xf>
    <xf numFmtId="0" fontId="5" fillId="36" borderId="7" xfId="0" applyFont="1" applyFill="1" applyBorder="1" applyAlignment="1">
      <alignment vertical="top" wrapText="1"/>
    </xf>
    <xf numFmtId="0" fontId="5" fillId="36" borderId="1" xfId="0" applyFont="1" applyFill="1" applyBorder="1" applyAlignment="1">
      <alignment vertical="top" wrapText="1"/>
    </xf>
    <xf numFmtId="39" fontId="55" fillId="36" borderId="1" xfId="1" applyNumberFormat="1" applyFont="1" applyFill="1" applyBorder="1"/>
    <xf numFmtId="0" fontId="6" fillId="36" borderId="2" xfId="0" applyFont="1" applyFill="1" applyBorder="1" applyAlignment="1">
      <alignment horizontal="right" vertical="center"/>
    </xf>
    <xf numFmtId="0" fontId="6" fillId="36" borderId="1" xfId="0" applyFont="1" applyFill="1" applyBorder="1" applyAlignment="1">
      <alignment horizontal="left" vertical="center"/>
    </xf>
    <xf numFmtId="0" fontId="72" fillId="36" borderId="1" xfId="0" applyFont="1" applyFill="1" applyBorder="1" applyAlignment="1">
      <alignment vertical="top" wrapText="1"/>
    </xf>
    <xf numFmtId="0" fontId="5" fillId="0" borderId="14" xfId="0" applyNumberFormat="1" applyFont="1" applyFill="1" applyBorder="1" applyAlignment="1">
      <alignment vertical="center" wrapText="1"/>
    </xf>
    <xf numFmtId="166" fontId="5" fillId="0" borderId="1" xfId="1" applyFont="1" applyFill="1" applyBorder="1" applyAlignment="1">
      <alignment vertical="center" wrapText="1"/>
    </xf>
    <xf numFmtId="0" fontId="5" fillId="36" borderId="1" xfId="0" applyFont="1" applyFill="1" applyBorder="1" applyAlignment="1">
      <alignment vertical="center"/>
    </xf>
    <xf numFmtId="0" fontId="5" fillId="36" borderId="7" xfId="0" applyFont="1" applyFill="1" applyBorder="1" applyAlignment="1">
      <alignment horizontal="left" vertical="center"/>
    </xf>
    <xf numFmtId="0" fontId="5" fillId="36" borderId="14" xfId="0" applyNumberFormat="1" applyFont="1" applyFill="1" applyBorder="1" applyAlignment="1">
      <alignment vertical="center" wrapText="1"/>
    </xf>
    <xf numFmtId="0" fontId="5" fillId="36" borderId="1" xfId="0" applyFont="1" applyFill="1" applyBorder="1" applyAlignment="1">
      <alignment vertical="center" wrapText="1"/>
    </xf>
    <xf numFmtId="166" fontId="5" fillId="36" borderId="1" xfId="1" applyFont="1" applyFill="1" applyBorder="1" applyAlignment="1">
      <alignment vertical="center" wrapText="1"/>
    </xf>
    <xf numFmtId="0" fontId="6" fillId="0" borderId="14" xfId="0" applyNumberFormat="1" applyFont="1" applyFill="1" applyBorder="1" applyAlignment="1">
      <alignment horizontal="left" vertical="center" wrapText="1"/>
    </xf>
    <xf numFmtId="39" fontId="55" fillId="22" borderId="1" xfId="1" applyNumberFormat="1" applyFont="1" applyFill="1" applyBorder="1" applyAlignment="1">
      <alignment horizontal="right"/>
    </xf>
    <xf numFmtId="9" fontId="6" fillId="22" borderId="1" xfId="3" applyFont="1" applyFill="1" applyBorder="1" applyAlignment="1">
      <alignment horizontal="left"/>
    </xf>
    <xf numFmtId="0" fontId="6" fillId="4" borderId="0" xfId="0" applyFont="1" applyFill="1" applyBorder="1" applyAlignment="1">
      <alignment horizontal="left"/>
    </xf>
    <xf numFmtId="0" fontId="6" fillId="24" borderId="1" xfId="0" applyFont="1" applyFill="1" applyBorder="1" applyAlignment="1">
      <alignment horizontal="left" vertical="center"/>
    </xf>
    <xf numFmtId="0" fontId="6" fillId="24" borderId="1" xfId="0" applyFont="1" applyFill="1" applyBorder="1" applyAlignment="1">
      <alignment horizontal="center" vertical="center" wrapText="1"/>
    </xf>
    <xf numFmtId="0" fontId="6" fillId="24" borderId="1" xfId="0" applyFont="1" applyFill="1" applyBorder="1" applyAlignment="1">
      <alignment vertical="center" wrapText="1"/>
    </xf>
    <xf numFmtId="37" fontId="6" fillId="24" borderId="1" xfId="0" applyNumberFormat="1" applyFont="1" applyFill="1" applyBorder="1" applyAlignment="1">
      <alignment vertical="center" wrapText="1"/>
    </xf>
    <xf numFmtId="0" fontId="5" fillId="23" borderId="1" xfId="0" applyFont="1" applyFill="1" applyBorder="1" applyAlignment="1">
      <alignment vertical="top" wrapText="1"/>
    </xf>
    <xf numFmtId="39" fontId="6" fillId="23" borderId="1" xfId="0" applyNumberFormat="1" applyFont="1" applyFill="1" applyBorder="1"/>
    <xf numFmtId="0" fontId="6" fillId="23" borderId="2" xfId="0" applyFont="1" applyFill="1" applyBorder="1" applyAlignment="1">
      <alignment horizontal="right" vertical="center"/>
    </xf>
    <xf numFmtId="0" fontId="6" fillId="23" borderId="1" xfId="0" applyFont="1" applyFill="1" applyBorder="1" applyAlignment="1">
      <alignment horizontal="left" vertical="center"/>
    </xf>
    <xf numFmtId="0" fontId="6" fillId="0" borderId="0" xfId="0" applyFont="1"/>
    <xf numFmtId="4" fontId="5" fillId="0" borderId="0" xfId="0" applyNumberFormat="1" applyFont="1"/>
    <xf numFmtId="4" fontId="11" fillId="0" borderId="0" xfId="0" applyNumberFormat="1" applyFont="1"/>
    <xf numFmtId="9" fontId="5" fillId="0" borderId="0" xfId="3" applyNumberFormat="1" applyFont="1"/>
    <xf numFmtId="0" fontId="6" fillId="0" borderId="5" xfId="0" applyFont="1" applyBorder="1"/>
    <xf numFmtId="0" fontId="6" fillId="0" borderId="7" xfId="0" applyFont="1" applyBorder="1"/>
    <xf numFmtId="37" fontId="6" fillId="0" borderId="0" xfId="0" applyNumberFormat="1" applyFont="1"/>
    <xf numFmtId="0" fontId="5" fillId="0" borderId="12" xfId="0" applyFont="1" applyBorder="1"/>
    <xf numFmtId="0" fontId="5" fillId="0" borderId="0" xfId="0" applyFont="1" applyBorder="1" applyAlignment="1"/>
    <xf numFmtId="37" fontId="5" fillId="0" borderId="0" xfId="0" applyNumberFormat="1" applyFont="1" applyBorder="1" applyAlignment="1"/>
    <xf numFmtId="165" fontId="5" fillId="0" borderId="0" xfId="0" applyNumberFormat="1" applyFont="1" applyBorder="1" applyAlignment="1"/>
    <xf numFmtId="0" fontId="14" fillId="20" borderId="4" xfId="0" applyFont="1" applyFill="1" applyBorder="1" applyAlignment="1">
      <alignment vertical="center"/>
    </xf>
    <xf numFmtId="0" fontId="14" fillId="20" borderId="3" xfId="0" applyFont="1" applyFill="1" applyBorder="1" applyAlignment="1">
      <alignment vertical="center"/>
    </xf>
    <xf numFmtId="0" fontId="14" fillId="20" borderId="2" xfId="0" applyFont="1" applyFill="1" applyBorder="1" applyAlignment="1">
      <alignment vertical="center"/>
    </xf>
    <xf numFmtId="0" fontId="14" fillId="35" borderId="4" xfId="0" applyFont="1" applyFill="1" applyBorder="1" applyAlignment="1">
      <alignment vertical="center"/>
    </xf>
    <xf numFmtId="0" fontId="14" fillId="35" borderId="3" xfId="0" applyFont="1" applyFill="1" applyBorder="1" applyAlignment="1">
      <alignment vertical="center"/>
    </xf>
    <xf numFmtId="0" fontId="14" fillId="35" borderId="2" xfId="0" applyFont="1" applyFill="1" applyBorder="1" applyAlignment="1">
      <alignment vertical="center"/>
    </xf>
    <xf numFmtId="0" fontId="6" fillId="23" borderId="4" xfId="0" applyFont="1" applyFill="1" applyBorder="1" applyAlignment="1">
      <alignment vertical="center"/>
    </xf>
    <xf numFmtId="0" fontId="6" fillId="23" borderId="3" xfId="0" applyFont="1" applyFill="1" applyBorder="1" applyAlignment="1">
      <alignment vertical="center"/>
    </xf>
    <xf numFmtId="0" fontId="6" fillId="23" borderId="2" xfId="0" applyFont="1" applyFill="1" applyBorder="1" applyAlignment="1">
      <alignment vertical="center"/>
    </xf>
    <xf numFmtId="0" fontId="6" fillId="18" borderId="4" xfId="0" applyFont="1" applyFill="1" applyBorder="1" applyAlignment="1">
      <alignment vertical="center"/>
    </xf>
    <xf numFmtId="0" fontId="6" fillId="18" borderId="3" xfId="0" applyFont="1" applyFill="1" applyBorder="1" applyAlignment="1">
      <alignment vertical="center"/>
    </xf>
    <xf numFmtId="0" fontId="6" fillId="18" borderId="2" xfId="0" applyFont="1" applyFill="1" applyBorder="1" applyAlignment="1">
      <alignment vertical="center"/>
    </xf>
    <xf numFmtId="0" fontId="6" fillId="22" borderId="4" xfId="0" applyFont="1" applyFill="1" applyBorder="1" applyAlignment="1">
      <alignment vertical="center"/>
    </xf>
    <xf numFmtId="0" fontId="6" fillId="22" borderId="3" xfId="0" applyFont="1" applyFill="1" applyBorder="1" applyAlignment="1">
      <alignment vertical="center"/>
    </xf>
    <xf numFmtId="0" fontId="6" fillId="22" borderId="2" xfId="0" applyFont="1" applyFill="1" applyBorder="1" applyAlignment="1">
      <alignment vertical="center"/>
    </xf>
    <xf numFmtId="0" fontId="6" fillId="24" borderId="5" xfId="0" applyFont="1" applyFill="1" applyBorder="1" applyAlignment="1">
      <alignment vertical="center"/>
    </xf>
    <xf numFmtId="0" fontId="6" fillId="24" borderId="6" xfId="0" applyFont="1" applyFill="1" applyBorder="1" applyAlignment="1">
      <alignment vertical="center"/>
    </xf>
    <xf numFmtId="0" fontId="6" fillId="24" borderId="7" xfId="0" applyFont="1" applyFill="1" applyBorder="1" applyAlignment="1">
      <alignment vertical="center"/>
    </xf>
    <xf numFmtId="0" fontId="6" fillId="24" borderId="8" xfId="0" applyFont="1" applyFill="1" applyBorder="1" applyAlignment="1">
      <alignment vertical="center"/>
    </xf>
    <xf numFmtId="0" fontId="6" fillId="24" borderId="9" xfId="0" applyFont="1" applyFill="1" applyBorder="1" applyAlignment="1">
      <alignment vertical="center"/>
    </xf>
    <xf numFmtId="0" fontId="6" fillId="24" borderId="10" xfId="0" applyFont="1" applyFill="1" applyBorder="1" applyAlignment="1">
      <alignment vertical="center"/>
    </xf>
    <xf numFmtId="0" fontId="6" fillId="23" borderId="4" xfId="0" applyFont="1" applyFill="1" applyBorder="1" applyAlignment="1"/>
    <xf numFmtId="0" fontId="6" fillId="23" borderId="3" xfId="0" applyFont="1" applyFill="1" applyBorder="1" applyAlignment="1"/>
    <xf numFmtId="0" fontId="6" fillId="23" borderId="2" xfId="0" applyFont="1" applyFill="1" applyBorder="1" applyAlignment="1"/>
    <xf numFmtId="39" fontId="55" fillId="2" borderId="1" xfId="1" applyNumberFormat="1" applyFont="1" applyFill="1" applyBorder="1" applyAlignment="1">
      <alignment vertical="center"/>
    </xf>
    <xf numFmtId="39" fontId="5" fillId="4" borderId="1" xfId="1" applyNumberFormat="1" applyFont="1" applyFill="1" applyBorder="1" applyAlignment="1">
      <alignment horizontal="right" vertical="center"/>
    </xf>
    <xf numFmtId="39" fontId="55" fillId="22" borderId="1" xfId="0" applyNumberFormat="1" applyFont="1" applyFill="1" applyBorder="1" applyAlignment="1">
      <alignment horizontal="left" vertical="top" wrapText="1"/>
    </xf>
    <xf numFmtId="166" fontId="55" fillId="23" borderId="1" xfId="1" applyFont="1" applyFill="1" applyBorder="1" applyAlignment="1">
      <alignment horizontal="center"/>
    </xf>
    <xf numFmtId="39" fontId="73" fillId="22" borderId="1" xfId="1" applyNumberFormat="1" applyFont="1" applyFill="1" applyBorder="1" applyAlignment="1">
      <alignment horizontal="right"/>
    </xf>
    <xf numFmtId="39" fontId="55" fillId="23" borderId="1" xfId="1" applyNumberFormat="1" applyFont="1" applyFill="1" applyBorder="1" applyAlignment="1">
      <alignment horizontal="right"/>
    </xf>
    <xf numFmtId="37" fontId="6" fillId="23" borderId="1" xfId="0" applyNumberFormat="1" applyFont="1" applyFill="1" applyBorder="1" applyAlignment="1">
      <alignment vertical="center"/>
    </xf>
    <xf numFmtId="0" fontId="27" fillId="11" borderId="1" xfId="0" applyFont="1" applyFill="1" applyBorder="1" applyAlignment="1">
      <alignment vertical="center" wrapText="1"/>
    </xf>
    <xf numFmtId="0" fontId="27" fillId="11" borderId="1" xfId="0" applyFont="1" applyFill="1" applyBorder="1" applyAlignment="1">
      <alignment vertical="top" wrapText="1"/>
    </xf>
    <xf numFmtId="0" fontId="27" fillId="11" borderId="1" xfId="0" applyFont="1" applyFill="1" applyBorder="1" applyAlignment="1">
      <alignment horizontal="left" vertical="top" wrapText="1"/>
    </xf>
    <xf numFmtId="0" fontId="42" fillId="11" borderId="1" xfId="0" applyFont="1" applyFill="1" applyBorder="1" applyAlignment="1">
      <alignment vertical="top" wrapText="1"/>
    </xf>
    <xf numFmtId="166" fontId="17" fillId="12" borderId="1" xfId="1" applyFont="1" applyFill="1" applyBorder="1" applyAlignment="1">
      <alignment vertical="center" wrapText="1"/>
    </xf>
    <xf numFmtId="168" fontId="17" fillId="13" borderId="1" xfId="1" applyNumberFormat="1" applyFont="1" applyFill="1" applyBorder="1" applyAlignment="1">
      <alignment vertical="center"/>
    </xf>
    <xf numFmtId="0" fontId="18" fillId="4" borderId="14" xfId="0" applyFont="1" applyFill="1" applyBorder="1" applyAlignment="1">
      <alignment vertical="center" wrapText="1"/>
    </xf>
    <xf numFmtId="0" fontId="18" fillId="4" borderId="7" xfId="0" applyFont="1" applyFill="1" applyBorder="1" applyAlignment="1">
      <alignment vertical="center" wrapText="1"/>
    </xf>
    <xf numFmtId="0" fontId="18" fillId="4" borderId="1" xfId="0" applyFont="1" applyFill="1" applyBorder="1" applyAlignment="1">
      <alignment vertical="center" wrapText="1"/>
    </xf>
    <xf numFmtId="166" fontId="18" fillId="4" borderId="1" xfId="1" applyFont="1" applyFill="1" applyBorder="1" applyAlignment="1">
      <alignment vertical="center" wrapText="1"/>
    </xf>
    <xf numFmtId="39" fontId="27" fillId="4" borderId="1" xfId="1" applyNumberFormat="1" applyFont="1" applyFill="1" applyBorder="1" applyAlignment="1">
      <alignment vertical="center"/>
    </xf>
    <xf numFmtId="0" fontId="18" fillId="4" borderId="7" xfId="0" applyFont="1" applyFill="1" applyBorder="1" applyAlignment="1">
      <alignment vertical="top" wrapText="1"/>
    </xf>
    <xf numFmtId="0" fontId="18" fillId="4" borderId="11" xfId="0" applyFont="1" applyFill="1" applyBorder="1" applyAlignment="1">
      <alignment horizontal="left" vertical="top" wrapText="1"/>
    </xf>
    <xf numFmtId="0" fontId="58" fillId="14" borderId="1" xfId="7" applyFont="1" applyFill="1" applyBorder="1" applyAlignment="1">
      <alignment vertical="top" wrapText="1"/>
    </xf>
    <xf numFmtId="0" fontId="58" fillId="14" borderId="3" xfId="7" applyFont="1" applyFill="1" applyBorder="1" applyAlignment="1">
      <alignment vertical="top" wrapText="1"/>
    </xf>
    <xf numFmtId="0" fontId="58" fillId="0" borderId="1" xfId="7" applyFont="1" applyFill="1" applyBorder="1" applyAlignment="1">
      <alignment vertical="top" wrapText="1"/>
    </xf>
    <xf numFmtId="168" fontId="31" fillId="14" borderId="1" xfId="1" applyNumberFormat="1" applyFont="1" applyFill="1" applyBorder="1" applyAlignment="1">
      <alignment vertical="center" wrapText="1"/>
    </xf>
    <xf numFmtId="168" fontId="27" fillId="14" borderId="1" xfId="1" applyNumberFormat="1" applyFont="1" applyFill="1" applyBorder="1" applyAlignment="1">
      <alignment vertical="center" wrapText="1"/>
    </xf>
    <xf numFmtId="166" fontId="0" fillId="0" borderId="0" xfId="1" applyFont="1"/>
    <xf numFmtId="0" fontId="14" fillId="0" borderId="0" xfId="0" applyFont="1" applyAlignment="1">
      <alignment horizontal="center"/>
    </xf>
    <xf numFmtId="166" fontId="14" fillId="0" borderId="0" xfId="1" applyFont="1"/>
    <xf numFmtId="0" fontId="14" fillId="16" borderId="0" xfId="0" applyFont="1" applyFill="1"/>
    <xf numFmtId="0" fontId="10" fillId="0" borderId="0" xfId="0" applyFont="1" applyFill="1" applyBorder="1" applyAlignment="1">
      <alignment horizontal="left"/>
    </xf>
    <xf numFmtId="168" fontId="6" fillId="0" borderId="0" xfId="1" applyNumberFormat="1" applyFont="1"/>
    <xf numFmtId="0" fontId="10" fillId="0" borderId="0" xfId="0" applyFont="1" applyBorder="1" applyAlignment="1">
      <alignment horizontal="center"/>
    </xf>
    <xf numFmtId="166" fontId="6" fillId="0" borderId="0" xfId="1" applyFont="1"/>
    <xf numFmtId="168" fontId="5" fillId="0" borderId="0" xfId="0" applyNumberFormat="1" applyFont="1"/>
    <xf numFmtId="43" fontId="7" fillId="4" borderId="1" xfId="1" applyNumberFormat="1" applyFont="1" applyFill="1" applyBorder="1" applyAlignment="1">
      <alignment horizontal="center" vertical="center"/>
    </xf>
    <xf numFmtId="0" fontId="6" fillId="15" borderId="1" xfId="0" applyFont="1" applyFill="1" applyBorder="1" applyAlignment="1">
      <alignment horizontal="center" vertical="center" wrapText="1"/>
    </xf>
    <xf numFmtId="0" fontId="6" fillId="15" borderId="1" xfId="0" applyFont="1" applyFill="1" applyBorder="1" applyAlignment="1">
      <alignment horizontal="left" vertical="center" wrapText="1"/>
    </xf>
    <xf numFmtId="0" fontId="6" fillId="15" borderId="14" xfId="0" applyFont="1" applyFill="1" applyBorder="1" applyAlignment="1">
      <alignment horizontal="left" vertical="center" wrapText="1"/>
    </xf>
    <xf numFmtId="0" fontId="29" fillId="2" borderId="1" xfId="0" applyFont="1" applyFill="1" applyBorder="1" applyAlignment="1">
      <alignment vertical="center" wrapText="1"/>
    </xf>
    <xf numFmtId="9" fontId="7" fillId="2" borderId="1" xfId="0" applyNumberFormat="1" applyFont="1" applyFill="1" applyBorder="1" applyAlignment="1">
      <alignment horizontal="center" vertical="center"/>
    </xf>
    <xf numFmtId="0" fontId="5" fillId="18" borderId="1" xfId="0" applyFont="1" applyFill="1" applyBorder="1" applyAlignment="1">
      <alignment vertical="center"/>
    </xf>
    <xf numFmtId="9" fontId="5" fillId="18" borderId="1" xfId="3" applyFont="1" applyFill="1" applyBorder="1" applyAlignment="1">
      <alignment horizontal="center" vertical="center"/>
    </xf>
    <xf numFmtId="43" fontId="29" fillId="4" borderId="1" xfId="1" applyNumberFormat="1" applyFont="1" applyFill="1" applyBorder="1" applyAlignment="1">
      <alignment horizontal="center" vertical="center"/>
    </xf>
    <xf numFmtId="0" fontId="10" fillId="0" borderId="1" xfId="0" applyFont="1" applyBorder="1" applyAlignment="1">
      <alignment horizontal="center"/>
    </xf>
    <xf numFmtId="166" fontId="6" fillId="4" borderId="1" xfId="1" applyFont="1" applyFill="1" applyBorder="1"/>
    <xf numFmtId="43" fontId="3" fillId="0" borderId="0" xfId="0" applyNumberFormat="1" applyFont="1" applyFill="1" applyBorder="1" applyAlignment="1"/>
    <xf numFmtId="0" fontId="29" fillId="40" borderId="1" xfId="0" applyFont="1" applyFill="1" applyBorder="1" applyAlignment="1">
      <alignment vertical="center" wrapText="1"/>
    </xf>
    <xf numFmtId="9" fontId="5" fillId="40" borderId="1" xfId="3" applyFont="1" applyFill="1" applyBorder="1" applyAlignment="1">
      <alignment horizontal="center" vertical="center"/>
    </xf>
    <xf numFmtId="39" fontId="17" fillId="0" borderId="1" xfId="0" applyNumberFormat="1" applyFont="1" applyFill="1" applyBorder="1"/>
    <xf numFmtId="39" fontId="21" fillId="9" borderId="1" xfId="0" applyNumberFormat="1" applyFont="1" applyFill="1" applyBorder="1" applyAlignment="1">
      <alignment horizontal="left" vertical="top" wrapText="1"/>
    </xf>
    <xf numFmtId="0" fontId="6" fillId="23" borderId="1" xfId="0" applyFont="1" applyFill="1" applyBorder="1" applyAlignment="1">
      <alignment horizontal="center" vertical="center" wrapText="1"/>
    </xf>
    <xf numFmtId="43" fontId="7" fillId="23" borderId="1" xfId="1" applyNumberFormat="1" applyFont="1" applyFill="1" applyBorder="1" applyAlignment="1">
      <alignment horizontal="center" vertical="center"/>
    </xf>
    <xf numFmtId="166" fontId="5" fillId="0" borderId="0" xfId="1" applyFont="1"/>
    <xf numFmtId="166" fontId="7" fillId="40" borderId="1" xfId="1" applyFont="1" applyFill="1" applyBorder="1" applyAlignment="1">
      <alignment horizontal="center" vertical="center"/>
    </xf>
    <xf numFmtId="166" fontId="7" fillId="18" borderId="1" xfId="1" applyFont="1" applyFill="1" applyBorder="1" applyAlignment="1">
      <alignment horizontal="center" vertical="center"/>
    </xf>
    <xf numFmtId="166" fontId="7" fillId="2" borderId="1" xfId="1" applyFont="1" applyFill="1" applyBorder="1" applyAlignment="1">
      <alignment horizontal="center" vertical="center"/>
    </xf>
    <xf numFmtId="43" fontId="3" fillId="0" borderId="0" xfId="0" applyNumberFormat="1" applyFont="1" applyFill="1" applyBorder="1" applyAlignment="1">
      <alignment horizontal="center"/>
    </xf>
    <xf numFmtId="0" fontId="58" fillId="0" borderId="1" xfId="7" applyFont="1" applyFill="1" applyBorder="1" applyAlignment="1">
      <alignment vertical="center"/>
    </xf>
    <xf numFmtId="0" fontId="57" fillId="0" borderId="4" xfId="7" applyFont="1" applyFill="1" applyBorder="1" applyAlignment="1">
      <alignment vertical="center"/>
    </xf>
    <xf numFmtId="0" fontId="57" fillId="0" borderId="3" xfId="7" applyFont="1" applyFill="1" applyBorder="1" applyAlignment="1">
      <alignment vertical="center"/>
    </xf>
    <xf numFmtId="0" fontId="58" fillId="0" borderId="1" xfId="7" applyFont="1" applyFill="1" applyBorder="1"/>
    <xf numFmtId="0" fontId="58" fillId="0" borderId="4" xfId="7" applyFont="1" applyFill="1" applyBorder="1"/>
    <xf numFmtId="0" fontId="58" fillId="8" borderId="1" xfId="7" applyFont="1" applyFill="1" applyBorder="1" applyAlignment="1">
      <alignment vertical="top"/>
    </xf>
    <xf numFmtId="0" fontId="59" fillId="8" borderId="1" xfId="7" applyFont="1" applyFill="1" applyBorder="1" applyAlignment="1">
      <alignment vertical="top"/>
    </xf>
    <xf numFmtId="0" fontId="59" fillId="8" borderId="1" xfId="7" applyFont="1" applyFill="1" applyBorder="1" applyAlignment="1">
      <alignment horizontal="right" vertical="top"/>
    </xf>
    <xf numFmtId="0" fontId="57" fillId="8" borderId="1" xfId="7" applyFont="1" applyFill="1" applyBorder="1"/>
    <xf numFmtId="167" fontId="57" fillId="8" borderId="4" xfId="7" applyNumberFormat="1" applyFont="1" applyFill="1" applyBorder="1"/>
    <xf numFmtId="0" fontId="58" fillId="4" borderId="1" xfId="7" applyFont="1" applyFill="1" applyBorder="1" applyAlignment="1">
      <alignment vertical="top"/>
    </xf>
    <xf numFmtId="0" fontId="58" fillId="14" borderId="1" xfId="7" applyFont="1" applyFill="1" applyBorder="1" applyAlignment="1">
      <alignment vertical="top"/>
    </xf>
    <xf numFmtId="0" fontId="58" fillId="4" borderId="1" xfId="7" applyFont="1" applyFill="1" applyBorder="1" applyAlignment="1">
      <alignment vertical="center"/>
    </xf>
    <xf numFmtId="0" fontId="57" fillId="0" borderId="3" xfId="7" applyFont="1" applyFill="1" applyBorder="1" applyAlignment="1">
      <alignment horizontal="center" vertical="center"/>
    </xf>
    <xf numFmtId="0" fontId="58" fillId="0" borderId="1" xfId="7" applyFont="1" applyFill="1" applyBorder="1" applyAlignment="1">
      <alignment vertical="top"/>
    </xf>
    <xf numFmtId="167" fontId="58" fillId="0" borderId="1" xfId="7" applyNumberFormat="1" applyFont="1" applyFill="1" applyBorder="1"/>
    <xf numFmtId="0" fontId="58" fillId="8" borderId="1" xfId="7" applyFont="1" applyFill="1" applyBorder="1" applyAlignment="1">
      <alignment horizontal="left" vertical="center"/>
    </xf>
    <xf numFmtId="0" fontId="57" fillId="41" borderId="4" xfId="7" applyFont="1" applyFill="1" applyBorder="1" applyAlignment="1">
      <alignment vertical="center"/>
    </xf>
    <xf numFmtId="0" fontId="57" fillId="41" borderId="3" xfId="7" applyFont="1" applyFill="1" applyBorder="1" applyAlignment="1">
      <alignment vertical="center"/>
    </xf>
    <xf numFmtId="0" fontId="58" fillId="41" borderId="1" xfId="7" applyFont="1" applyFill="1" applyBorder="1" applyAlignment="1">
      <alignment vertical="top"/>
    </xf>
    <xf numFmtId="0" fontId="59" fillId="2" borderId="1" xfId="7" applyFont="1" applyFill="1" applyBorder="1" applyAlignment="1">
      <alignment vertical="top"/>
    </xf>
    <xf numFmtId="0" fontId="58" fillId="2" borderId="11" xfId="7" applyFont="1" applyFill="1" applyBorder="1" applyAlignment="1">
      <alignment horizontal="left" vertical="center"/>
    </xf>
    <xf numFmtId="0" fontId="59" fillId="8" borderId="14" xfId="7" applyFont="1" applyFill="1" applyBorder="1" applyAlignment="1">
      <alignment vertical="top"/>
    </xf>
    <xf numFmtId="167" fontId="57" fillId="8" borderId="1" xfId="7" applyNumberFormat="1" applyFont="1" applyFill="1" applyBorder="1"/>
    <xf numFmtId="0" fontId="59" fillId="8" borderId="3" xfId="7" applyFont="1" applyFill="1" applyBorder="1" applyAlignment="1">
      <alignment vertical="top"/>
    </xf>
    <xf numFmtId="0" fontId="58" fillId="0" borderId="2" xfId="7" applyFont="1" applyFill="1" applyBorder="1" applyAlignment="1">
      <alignment vertical="top"/>
    </xf>
    <xf numFmtId="0" fontId="58" fillId="11" borderId="1" xfId="7" applyFont="1" applyFill="1" applyBorder="1" applyAlignment="1">
      <alignment horizontal="center" vertical="center"/>
    </xf>
    <xf numFmtId="0" fontId="58" fillId="0" borderId="1" xfId="7" applyFont="1" applyFill="1" applyBorder="1" applyAlignment="1">
      <alignment horizontal="center" vertical="center"/>
    </xf>
    <xf numFmtId="0" fontId="58" fillId="0" borderId="4" xfId="7" applyFont="1" applyFill="1" applyBorder="1" applyAlignment="1">
      <alignment horizontal="center" vertical="center"/>
    </xf>
    <xf numFmtId="0" fontId="59" fillId="8" borderId="4" xfId="7" applyFont="1" applyFill="1" applyBorder="1" applyAlignment="1">
      <alignment vertical="top"/>
    </xf>
    <xf numFmtId="0" fontId="59" fillId="8" borderId="2" xfId="7" applyFont="1" applyFill="1" applyBorder="1" applyAlignment="1">
      <alignment vertical="top"/>
    </xf>
    <xf numFmtId="0" fontId="58" fillId="11" borderId="1" xfId="7" applyFont="1" applyFill="1" applyBorder="1" applyAlignment="1">
      <alignment vertical="center"/>
    </xf>
    <xf numFmtId="1" fontId="58" fillId="0" borderId="1" xfId="7" applyNumberFormat="1" applyFont="1" applyFill="1" applyBorder="1" applyAlignment="1">
      <alignment horizontal="right" vertical="center"/>
    </xf>
    <xf numFmtId="166" fontId="58" fillId="0" borderId="4" xfId="5" applyFont="1" applyFill="1" applyBorder="1"/>
    <xf numFmtId="0" fontId="58" fillId="8" borderId="1" xfId="7" applyFont="1" applyFill="1" applyBorder="1" applyAlignment="1">
      <alignment vertical="top" wrapText="1"/>
    </xf>
    <xf numFmtId="0" fontId="21" fillId="8" borderId="1" xfId="7" applyFont="1" applyFill="1" applyBorder="1" applyAlignment="1">
      <alignment vertical="top" wrapText="1"/>
    </xf>
    <xf numFmtId="0" fontId="21" fillId="8" borderId="1" xfId="7" applyFont="1" applyFill="1" applyBorder="1" applyAlignment="1">
      <alignment horizontal="right" vertical="top" wrapText="1"/>
    </xf>
    <xf numFmtId="0" fontId="57" fillId="14" borderId="11" xfId="7" applyFont="1" applyFill="1" applyBorder="1" applyAlignment="1">
      <alignment horizontal="center" vertical="center"/>
    </xf>
    <xf numFmtId="0" fontId="57" fillId="0" borderId="4" xfId="7" applyFont="1" applyFill="1" applyBorder="1" applyAlignment="1">
      <alignment horizontal="left" vertical="center"/>
    </xf>
    <xf numFmtId="0" fontId="57" fillId="0" borderId="3" xfId="7" applyFont="1" applyFill="1" applyBorder="1" applyAlignment="1">
      <alignment horizontal="left" vertical="center"/>
    </xf>
    <xf numFmtId="0" fontId="57" fillId="0" borderId="3" xfId="7" applyFont="1" applyFill="1" applyBorder="1" applyAlignment="1">
      <alignment horizontal="left" vertical="center" wrapText="1"/>
    </xf>
    <xf numFmtId="0" fontId="58" fillId="14" borderId="1" xfId="7" applyFont="1" applyFill="1" applyBorder="1" applyAlignment="1">
      <alignment horizontal="left" vertical="top"/>
    </xf>
    <xf numFmtId="0" fontId="58" fillId="0" borderId="3" xfId="7" applyFont="1" applyFill="1" applyBorder="1" applyAlignment="1">
      <alignment horizontal="left" vertical="center"/>
    </xf>
    <xf numFmtId="0" fontId="58" fillId="11" borderId="11" xfId="7" applyFont="1" applyFill="1" applyBorder="1" applyAlignment="1">
      <alignment horizontal="left" vertical="center"/>
    </xf>
    <xf numFmtId="0" fontId="58" fillId="14" borderId="11" xfId="7" applyFont="1" applyFill="1" applyBorder="1" applyAlignment="1">
      <alignment horizontal="left" vertical="center" wrapText="1"/>
    </xf>
    <xf numFmtId="166" fontId="3" fillId="0" borderId="0" xfId="1" applyFont="1" applyFill="1" applyBorder="1" applyAlignment="1"/>
    <xf numFmtId="0" fontId="58" fillId="0" borderId="1" xfId="7" applyFont="1" applyFill="1" applyBorder="1" applyAlignment="1">
      <alignment vertical="center" wrapText="1"/>
    </xf>
    <xf numFmtId="171" fontId="7" fillId="4" borderId="1" xfId="1" applyNumberFormat="1" applyFont="1" applyFill="1" applyBorder="1" applyAlignment="1">
      <alignment horizontal="center" vertical="center"/>
    </xf>
    <xf numFmtId="171" fontId="7" fillId="40" borderId="1" xfId="1" applyNumberFormat="1" applyFont="1" applyFill="1" applyBorder="1" applyAlignment="1">
      <alignment horizontal="center" vertical="center"/>
    </xf>
    <xf numFmtId="171" fontId="7" fillId="18" borderId="1" xfId="1" applyNumberFormat="1" applyFont="1" applyFill="1" applyBorder="1" applyAlignment="1">
      <alignment horizontal="center" vertical="center"/>
    </xf>
    <xf numFmtId="171" fontId="7" fillId="2" borderId="1" xfId="1" applyNumberFormat="1" applyFont="1" applyFill="1" applyBorder="1" applyAlignment="1">
      <alignment horizontal="center" vertical="center"/>
    </xf>
    <xf numFmtId="9" fontId="11" fillId="0" borderId="1" xfId="3" applyFont="1" applyBorder="1" applyAlignment="1">
      <alignment horizontal="center" vertical="center"/>
    </xf>
    <xf numFmtId="43" fontId="5" fillId="23" borderId="1" xfId="1" applyNumberFormat="1" applyFont="1" applyFill="1" applyBorder="1" applyAlignment="1">
      <alignment horizontal="center" vertical="center"/>
    </xf>
    <xf numFmtId="0" fontId="22" fillId="14" borderId="1" xfId="0" applyFont="1" applyFill="1" applyBorder="1" applyAlignment="1">
      <alignment vertical="top" wrapText="1"/>
    </xf>
    <xf numFmtId="0" fontId="79" fillId="14" borderId="1" xfId="0" applyFont="1" applyFill="1" applyBorder="1" applyAlignment="1">
      <alignment vertical="center" wrapText="1"/>
    </xf>
    <xf numFmtId="168" fontId="79" fillId="14" borderId="1" xfId="1" applyNumberFormat="1" applyFont="1" applyFill="1" applyBorder="1" applyAlignment="1">
      <alignment vertical="center" wrapText="1"/>
    </xf>
    <xf numFmtId="39" fontId="79" fillId="11" borderId="1" xfId="1" applyNumberFormat="1" applyFont="1" applyFill="1" applyBorder="1" applyAlignment="1">
      <alignment vertical="center"/>
    </xf>
    <xf numFmtId="0" fontId="22" fillId="14" borderId="3" xfId="0" applyFont="1" applyFill="1" applyBorder="1" applyAlignment="1">
      <alignment vertical="top" wrapText="1"/>
    </xf>
    <xf numFmtId="0" fontId="22" fillId="4" borderId="11" xfId="0" applyFont="1" applyFill="1" applyBorder="1" applyAlignment="1">
      <alignment horizontal="left" vertical="top" wrapText="1"/>
    </xf>
    <xf numFmtId="39" fontId="79" fillId="14" borderId="1" xfId="1" applyNumberFormat="1" applyFont="1" applyFill="1" applyBorder="1" applyAlignment="1">
      <alignment vertical="center"/>
    </xf>
    <xf numFmtId="43" fontId="3" fillId="0" borderId="0" xfId="0" applyNumberFormat="1" applyFont="1" applyFill="1" applyBorder="1" applyAlignment="1">
      <alignment horizontal="right"/>
    </xf>
    <xf numFmtId="43" fontId="11" fillId="23" borderId="1" xfId="1" applyNumberFormat="1" applyFont="1" applyFill="1" applyBorder="1" applyAlignment="1">
      <alignment horizontal="center" vertical="center"/>
    </xf>
    <xf numFmtId="166" fontId="11" fillId="40" borderId="1" xfId="1" applyFont="1" applyFill="1" applyBorder="1" applyAlignment="1">
      <alignment horizontal="center" vertical="center"/>
    </xf>
    <xf numFmtId="166" fontId="11" fillId="18" borderId="1" xfId="1" applyFont="1" applyFill="1" applyBorder="1" applyAlignment="1">
      <alignment horizontal="center" vertical="center"/>
    </xf>
    <xf numFmtId="166" fontId="11" fillId="2" borderId="1" xfId="1" applyFont="1" applyFill="1" applyBorder="1" applyAlignment="1">
      <alignment horizontal="center" vertical="center"/>
    </xf>
    <xf numFmtId="39" fontId="21" fillId="0" borderId="1" xfId="1" applyNumberFormat="1" applyFont="1" applyFill="1" applyBorder="1" applyAlignment="1">
      <alignment vertical="center"/>
    </xf>
    <xf numFmtId="10" fontId="21" fillId="11" borderId="1" xfId="3" applyNumberFormat="1" applyFont="1" applyFill="1" applyBorder="1"/>
    <xf numFmtId="168" fontId="12" fillId="0" borderId="0" xfId="1" applyNumberFormat="1" applyFont="1" applyFill="1" applyAlignment="1">
      <alignment horizontal="left"/>
    </xf>
    <xf numFmtId="39" fontId="80" fillId="0" borderId="1" xfId="1" applyNumberFormat="1" applyFont="1" applyFill="1" applyBorder="1" applyAlignment="1">
      <alignment vertical="center" wrapText="1"/>
    </xf>
    <xf numFmtId="0" fontId="30" fillId="0" borderId="15" xfId="0" applyFont="1" applyFill="1" applyBorder="1" applyAlignment="1">
      <alignment horizontal="left" vertical="top" wrapText="1"/>
    </xf>
    <xf numFmtId="0" fontId="30" fillId="0" borderId="11" xfId="0" applyFont="1" applyFill="1" applyBorder="1" applyAlignment="1">
      <alignment horizontal="left" vertical="top" wrapText="1"/>
    </xf>
    <xf numFmtId="0" fontId="17" fillId="0" borderId="15" xfId="0" applyFont="1" applyFill="1" applyBorder="1" applyAlignment="1">
      <alignment vertical="top" wrapText="1"/>
    </xf>
    <xf numFmtId="0" fontId="17" fillId="0" borderId="11" xfId="0" applyFont="1" applyFill="1" applyBorder="1" applyAlignment="1">
      <alignment vertical="top" wrapText="1"/>
    </xf>
    <xf numFmtId="0" fontId="17" fillId="0" borderId="15" xfId="0" applyFont="1" applyFill="1" applyBorder="1" applyAlignment="1">
      <alignment horizontal="left" vertical="top" wrapText="1"/>
    </xf>
    <xf numFmtId="0" fontId="17" fillId="0" borderId="11" xfId="0" applyFont="1" applyFill="1" applyBorder="1" applyAlignment="1">
      <alignment horizontal="left" vertical="top" wrapText="1"/>
    </xf>
    <xf numFmtId="0" fontId="30" fillId="0" borderId="11" xfId="0" applyFont="1" applyFill="1" applyBorder="1" applyAlignment="1">
      <alignment horizontal="left" vertical="top" wrapText="1"/>
    </xf>
    <xf numFmtId="0" fontId="17" fillId="0" borderId="15" xfId="0" applyFont="1" applyFill="1" applyBorder="1" applyAlignment="1">
      <alignment horizontal="left" vertical="top" wrapText="1"/>
    </xf>
    <xf numFmtId="0" fontId="18" fillId="0" borderId="7" xfId="0" applyFont="1" applyFill="1" applyBorder="1" applyAlignment="1">
      <alignment vertical="center" wrapText="1"/>
    </xf>
    <xf numFmtId="0" fontId="25" fillId="0" borderId="15" xfId="0" applyFont="1" applyFill="1" applyBorder="1" applyAlignment="1">
      <alignment horizontal="left" vertical="top" wrapText="1"/>
    </xf>
    <xf numFmtId="0" fontId="5" fillId="0" borderId="11" xfId="0" applyFont="1" applyBorder="1"/>
    <xf numFmtId="0" fontId="17" fillId="0" borderId="15" xfId="0" applyFont="1" applyFill="1" applyBorder="1" applyAlignment="1">
      <alignment horizontal="left" vertical="center" wrapText="1"/>
    </xf>
    <xf numFmtId="0" fontId="18" fillId="0" borderId="11" xfId="0" applyFont="1" applyFill="1" applyBorder="1" applyAlignment="1">
      <alignment vertical="center" wrapText="1"/>
    </xf>
    <xf numFmtId="0" fontId="81" fillId="0" borderId="0" xfId="0" applyFont="1" applyAlignment="1">
      <alignment horizontal="left" vertical="center"/>
    </xf>
    <xf numFmtId="0" fontId="52" fillId="0" borderId="0" xfId="0" applyFont="1"/>
    <xf numFmtId="0" fontId="52" fillId="0" borderId="0" xfId="0" applyFont="1" applyAlignment="1">
      <alignment vertical="center"/>
    </xf>
    <xf numFmtId="0" fontId="77" fillId="0" borderId="11" xfId="0" applyFont="1" applyFill="1" applyBorder="1" applyAlignment="1">
      <alignment horizontal="left" vertical="center" wrapText="1"/>
    </xf>
    <xf numFmtId="0" fontId="25" fillId="0" borderId="15" xfId="0" applyFont="1" applyFill="1" applyBorder="1" applyAlignment="1">
      <alignment horizontal="left" vertical="center" wrapText="1"/>
    </xf>
    <xf numFmtId="175" fontId="13" fillId="3" borderId="4" xfId="12" applyNumberFormat="1" applyFont="1" applyFill="1" applyBorder="1" applyAlignment="1">
      <alignment horizontal="center" vertical="center" wrapText="1"/>
    </xf>
    <xf numFmtId="39" fontId="26" fillId="11" borderId="1" xfId="1" applyNumberFormat="1" applyFont="1" applyFill="1" applyBorder="1" applyAlignment="1">
      <alignment vertical="center"/>
    </xf>
    <xf numFmtId="39" fontId="21" fillId="11" borderId="4" xfId="1" applyNumberFormat="1" applyFont="1" applyFill="1" applyBorder="1"/>
    <xf numFmtId="0" fontId="11" fillId="4" borderId="1" xfId="0" applyFont="1" applyFill="1" applyBorder="1"/>
    <xf numFmtId="39" fontId="26" fillId="0" borderId="1" xfId="1" applyNumberFormat="1" applyFont="1" applyFill="1" applyBorder="1" applyAlignment="1">
      <alignment vertical="center"/>
    </xf>
    <xf numFmtId="39" fontId="26" fillId="0" borderId="1" xfId="1" applyNumberFormat="1" applyFont="1" applyFill="1" applyBorder="1"/>
    <xf numFmtId="166" fontId="18" fillId="0" borderId="0" xfId="1" applyFont="1" applyFill="1" applyBorder="1" applyAlignment="1"/>
    <xf numFmtId="166" fontId="18" fillId="0" borderId="0" xfId="0" applyNumberFormat="1" applyFont="1" applyFill="1" applyBorder="1"/>
    <xf numFmtId="9" fontId="83" fillId="11" borderId="1" xfId="3" applyFont="1" applyFill="1" applyBorder="1" applyAlignment="1">
      <alignment vertical="center" wrapText="1"/>
    </xf>
    <xf numFmtId="9" fontId="26" fillId="8" borderId="1" xfId="3" applyFont="1" applyFill="1" applyBorder="1" applyAlignment="1">
      <alignment vertical="center"/>
    </xf>
    <xf numFmtId="9" fontId="79" fillId="11" borderId="1" xfId="3" applyFont="1" applyFill="1" applyBorder="1" applyAlignment="1">
      <alignment vertical="center"/>
    </xf>
    <xf numFmtId="9" fontId="21" fillId="8" borderId="1" xfId="3" applyFont="1" applyFill="1" applyBorder="1" applyAlignment="1">
      <alignment vertical="center"/>
    </xf>
    <xf numFmtId="166" fontId="6" fillId="2" borderId="1" xfId="1" applyFont="1" applyFill="1" applyBorder="1"/>
    <xf numFmtId="9" fontId="6" fillId="2" borderId="1" xfId="3" applyFont="1" applyFill="1" applyBorder="1"/>
    <xf numFmtId="166" fontId="11" fillId="4" borderId="1" xfId="1" applyFont="1" applyFill="1" applyBorder="1" applyAlignment="1">
      <alignment vertical="center"/>
    </xf>
    <xf numFmtId="166" fontId="5" fillId="2" borderId="1" xfId="0" applyNumberFormat="1" applyFont="1" applyFill="1" applyBorder="1"/>
    <xf numFmtId="9" fontId="11" fillId="4" borderId="1" xfId="3" applyFont="1" applyFill="1" applyBorder="1" applyAlignment="1">
      <alignment vertical="center"/>
    </xf>
    <xf numFmtId="176" fontId="11" fillId="4" borderId="1" xfId="3" applyNumberFormat="1" applyFont="1" applyFill="1" applyBorder="1" applyAlignment="1">
      <alignment vertical="center"/>
    </xf>
    <xf numFmtId="176" fontId="5" fillId="2" borderId="1" xfId="0" applyNumberFormat="1" applyFont="1" applyFill="1" applyBorder="1"/>
    <xf numFmtId="9" fontId="26" fillId="0" borderId="1" xfId="3" applyFont="1" applyFill="1" applyBorder="1"/>
    <xf numFmtId="9" fontId="26" fillId="0" borderId="1" xfId="3" applyFont="1" applyFill="1" applyBorder="1" applyAlignment="1">
      <alignment vertical="center"/>
    </xf>
    <xf numFmtId="9" fontId="26" fillId="8" borderId="1" xfId="3" applyFont="1" applyFill="1" applyBorder="1"/>
    <xf numFmtId="166" fontId="17" fillId="9" borderId="1" xfId="1" applyFont="1" applyFill="1" applyBorder="1" applyAlignment="1">
      <alignment horizontal="left"/>
    </xf>
    <xf numFmtId="9" fontId="17" fillId="9" borderId="1" xfId="3" applyFont="1" applyFill="1" applyBorder="1" applyAlignment="1">
      <alignment horizontal="right"/>
    </xf>
    <xf numFmtId="9" fontId="21" fillId="9" borderId="1" xfId="3" applyFont="1" applyFill="1" applyBorder="1" applyAlignment="1">
      <alignment horizontal="right" vertical="center"/>
    </xf>
    <xf numFmtId="9" fontId="21" fillId="13" borderId="1" xfId="3" applyFont="1" applyFill="1" applyBorder="1" applyAlignment="1">
      <alignment horizontal="right" vertical="center"/>
    </xf>
    <xf numFmtId="39" fontId="17" fillId="13" borderId="1" xfId="0" applyNumberFormat="1" applyFont="1" applyFill="1" applyBorder="1" applyAlignment="1">
      <alignment vertical="center"/>
    </xf>
    <xf numFmtId="9" fontId="26" fillId="11" borderId="1" xfId="3" applyFont="1" applyFill="1" applyBorder="1" applyAlignment="1">
      <alignment vertical="center"/>
    </xf>
    <xf numFmtId="9" fontId="17" fillId="13" borderId="1" xfId="3" applyFont="1" applyFill="1" applyBorder="1" applyAlignment="1">
      <alignment vertical="center"/>
    </xf>
    <xf numFmtId="9" fontId="17" fillId="0" borderId="0" xfId="3" applyFont="1" applyFill="1" applyBorder="1"/>
    <xf numFmtId="39" fontId="27" fillId="14" borderId="1" xfId="1" applyNumberFormat="1" applyFont="1" applyFill="1" applyBorder="1" applyAlignment="1">
      <alignment wrapText="1"/>
    </xf>
    <xf numFmtId="39" fontId="17" fillId="13" borderId="1" xfId="0" applyNumberFormat="1" applyFont="1" applyFill="1" applyBorder="1" applyAlignment="1">
      <alignment vertical="center" wrapText="1"/>
    </xf>
    <xf numFmtId="166" fontId="17" fillId="13" borderId="1" xfId="1" applyFont="1" applyFill="1" applyBorder="1" applyAlignment="1">
      <alignment vertical="center"/>
    </xf>
    <xf numFmtId="39" fontId="17" fillId="10" borderId="3" xfId="0" applyNumberFormat="1" applyFont="1" applyFill="1" applyBorder="1" applyAlignment="1">
      <alignment vertical="center"/>
    </xf>
    <xf numFmtId="39" fontId="5" fillId="0" borderId="0" xfId="0" applyNumberFormat="1" applyFont="1"/>
    <xf numFmtId="9" fontId="18" fillId="0" borderId="0" xfId="3" applyFont="1" applyFill="1" applyBorder="1"/>
    <xf numFmtId="0" fontId="65" fillId="32" borderId="18" xfId="10" applyFont="1" applyFill="1" applyBorder="1" applyAlignment="1">
      <alignment horizontal="center"/>
    </xf>
    <xf numFmtId="0" fontId="6" fillId="22" borderId="3" xfId="0" applyFont="1" applyFill="1" applyBorder="1" applyAlignment="1">
      <alignment horizontal="left" vertical="center"/>
    </xf>
    <xf numFmtId="43" fontId="17" fillId="10" borderId="3" xfId="0" applyNumberFormat="1" applyFont="1" applyFill="1" applyBorder="1" applyAlignment="1">
      <alignment vertical="center"/>
    </xf>
    <xf numFmtId="43" fontId="17" fillId="10" borderId="2" xfId="0" applyNumberFormat="1" applyFont="1" applyFill="1" applyBorder="1" applyAlignment="1">
      <alignment vertical="center"/>
    </xf>
    <xf numFmtId="43" fontId="5" fillId="0" borderId="0" xfId="0" applyNumberFormat="1" applyFont="1"/>
    <xf numFmtId="39" fontId="11" fillId="0" borderId="0" xfId="0" applyNumberFormat="1" applyFont="1"/>
    <xf numFmtId="43" fontId="11" fillId="0" borderId="0" xfId="0" applyNumberFormat="1" applyFont="1"/>
    <xf numFmtId="0" fontId="5" fillId="0" borderId="0" xfId="0" applyFont="1" applyBorder="1" applyAlignment="1">
      <alignment horizontal="center"/>
    </xf>
    <xf numFmtId="39" fontId="87" fillId="42" borderId="1" xfId="1" applyNumberFormat="1" applyFont="1" applyFill="1" applyBorder="1"/>
    <xf numFmtId="39" fontId="87" fillId="42" borderId="1" xfId="1" applyNumberFormat="1" applyFont="1" applyFill="1" applyBorder="1" applyAlignment="1">
      <alignment horizontal="center" vertical="center"/>
    </xf>
    <xf numFmtId="39" fontId="34" fillId="0" borderId="1" xfId="1" applyNumberFormat="1" applyFont="1" applyFill="1" applyBorder="1" applyAlignment="1">
      <alignment vertical="center"/>
    </xf>
    <xf numFmtId="0" fontId="5" fillId="0" borderId="1" xfId="0" applyFont="1" applyBorder="1" applyAlignment="1">
      <alignment horizontal="left" vertical="center" wrapText="1"/>
    </xf>
    <xf numFmtId="39" fontId="87" fillId="4" borderId="1" xfId="1" applyNumberFormat="1" applyFont="1" applyFill="1" applyBorder="1" applyAlignment="1">
      <alignment vertical="center"/>
    </xf>
    <xf numFmtId="39" fontId="87" fillId="4" borderId="1" xfId="1" applyNumberFormat="1" applyFont="1" applyFill="1" applyBorder="1"/>
    <xf numFmtId="39" fontId="87" fillId="42" borderId="1" xfId="1" applyNumberFormat="1" applyFont="1" applyFill="1" applyBorder="1" applyAlignment="1">
      <alignment horizontal="center"/>
    </xf>
    <xf numFmtId="39" fontId="88" fillId="4" borderId="1" xfId="1" applyNumberFormat="1" applyFont="1" applyFill="1" applyBorder="1" applyAlignment="1">
      <alignment horizontal="center" vertical="center"/>
    </xf>
    <xf numFmtId="39" fontId="34" fillId="0" borderId="1" xfId="1" applyNumberFormat="1" applyFont="1" applyFill="1" applyBorder="1" applyAlignment="1">
      <alignment horizontal="center"/>
    </xf>
    <xf numFmtId="39" fontId="88" fillId="42" borderId="1" xfId="1" applyNumberFormat="1" applyFont="1" applyFill="1" applyBorder="1" applyAlignment="1">
      <alignment horizontal="center"/>
    </xf>
    <xf numFmtId="166" fontId="87" fillId="42" borderId="1" xfId="1" applyFont="1" applyFill="1" applyBorder="1" applyAlignment="1">
      <alignment horizontal="center" vertical="center"/>
    </xf>
    <xf numFmtId="174" fontId="6" fillId="0" borderId="0" xfId="0" applyNumberFormat="1" applyFont="1" applyFill="1"/>
    <xf numFmtId="166" fontId="87" fillId="42" borderId="1" xfId="1" applyFont="1" applyFill="1" applyBorder="1" applyAlignment="1">
      <alignment horizontal="center"/>
    </xf>
    <xf numFmtId="39" fontId="5" fillId="0" borderId="1" xfId="1" applyNumberFormat="1" applyFont="1" applyFill="1" applyBorder="1" applyAlignment="1">
      <alignment horizontal="left" vertical="center" wrapText="1"/>
    </xf>
    <xf numFmtId="39" fontId="5" fillId="0" borderId="1" xfId="1" applyNumberFormat="1" applyFont="1" applyFill="1" applyBorder="1" applyAlignment="1">
      <alignment vertical="center" wrapText="1"/>
    </xf>
    <xf numFmtId="39" fontId="75" fillId="42" borderId="1" xfId="0" applyNumberFormat="1" applyFont="1" applyFill="1" applyBorder="1"/>
    <xf numFmtId="166" fontId="5" fillId="0" borderId="0" xfId="1" applyFont="1" applyFill="1"/>
    <xf numFmtId="0" fontId="34" fillId="0" borderId="0" xfId="0" applyFont="1" applyBorder="1"/>
    <xf numFmtId="0" fontId="34" fillId="0" borderId="0" xfId="0" applyFont="1" applyFill="1" applyBorder="1"/>
    <xf numFmtId="0" fontId="6" fillId="4" borderId="0" xfId="0" applyFont="1" applyFill="1" applyBorder="1" applyAlignment="1">
      <alignment vertical="center" wrapText="1"/>
    </xf>
    <xf numFmtId="0" fontId="84" fillId="0" borderId="0" xfId="0" applyFont="1"/>
    <xf numFmtId="0" fontId="16" fillId="5" borderId="11" xfId="13" applyFont="1" applyFill="1" applyBorder="1" applyAlignment="1">
      <alignment horizontal="center" vertical="center" wrapText="1"/>
    </xf>
    <xf numFmtId="0" fontId="16" fillId="5" borderId="8" xfId="2" applyNumberFormat="1" applyFont="1" applyFill="1" applyBorder="1" applyAlignment="1">
      <alignment horizontal="center" vertical="center" wrapText="1"/>
    </xf>
    <xf numFmtId="0" fontId="16" fillId="5" borderId="1" xfId="2" applyNumberFormat="1" applyFont="1" applyFill="1" applyBorder="1" applyAlignment="1">
      <alignment horizontal="center" vertical="center" wrapText="1"/>
    </xf>
    <xf numFmtId="0" fontId="13" fillId="5" borderId="1" xfId="2" applyNumberFormat="1" applyFont="1" applyFill="1" applyBorder="1" applyAlignment="1">
      <alignment horizontal="center" vertical="center" wrapText="1"/>
    </xf>
    <xf numFmtId="0" fontId="14" fillId="6" borderId="4" xfId="13" applyFont="1" applyFill="1" applyBorder="1" applyAlignment="1">
      <alignment horizontal="left" vertical="center" wrapText="1"/>
    </xf>
    <xf numFmtId="0" fontId="14" fillId="6" borderId="3" xfId="13" applyFont="1" applyFill="1" applyBorder="1" applyAlignment="1">
      <alignment horizontal="left" vertical="center" wrapText="1"/>
    </xf>
    <xf numFmtId="0" fontId="0" fillId="0" borderId="1" xfId="0" applyBorder="1"/>
    <xf numFmtId="0" fontId="84" fillId="0" borderId="1" xfId="0" applyFont="1" applyBorder="1"/>
    <xf numFmtId="0" fontId="14" fillId="37" borderId="4" xfId="13" applyFont="1" applyFill="1" applyBorder="1" applyAlignment="1">
      <alignment vertical="center"/>
    </xf>
    <xf numFmtId="0" fontId="14" fillId="37" borderId="3" xfId="13" applyFont="1" applyFill="1" applyBorder="1" applyAlignment="1">
      <alignment vertical="center"/>
    </xf>
    <xf numFmtId="0" fontId="18" fillId="23" borderId="1" xfId="13" applyFont="1" applyFill="1" applyBorder="1" applyAlignment="1">
      <alignment vertical="top" wrapText="1"/>
    </xf>
    <xf numFmtId="0" fontId="19" fillId="23" borderId="1" xfId="13" applyFont="1" applyFill="1" applyBorder="1" applyAlignment="1">
      <alignment horizontal="left" vertical="top" wrapText="1"/>
    </xf>
    <xf numFmtId="0" fontId="19" fillId="23" borderId="1" xfId="13" applyFont="1" applyFill="1" applyBorder="1" applyAlignment="1">
      <alignment horizontal="right" vertical="center" wrapText="1"/>
    </xf>
    <xf numFmtId="39" fontId="18" fillId="23" borderId="4" xfId="5" applyNumberFormat="1" applyFont="1" applyFill="1" applyBorder="1" applyAlignment="1">
      <alignment vertical="center"/>
    </xf>
    <xf numFmtId="0" fontId="18" fillId="0" borderId="1" xfId="13" applyFont="1" applyFill="1" applyBorder="1" applyAlignment="1">
      <alignment vertical="top" wrapText="1"/>
    </xf>
    <xf numFmtId="0" fontId="19" fillId="0" borderId="1" xfId="13" applyFont="1" applyFill="1" applyBorder="1" applyAlignment="1">
      <alignment vertical="top" wrapText="1"/>
    </xf>
    <xf numFmtId="0" fontId="19" fillId="0" borderId="1" xfId="13" applyFont="1" applyFill="1" applyBorder="1" applyAlignment="1">
      <alignment vertical="center" wrapText="1"/>
    </xf>
    <xf numFmtId="0" fontId="19" fillId="0" borderId="1" xfId="13" applyFont="1" applyFill="1" applyBorder="1" applyAlignment="1">
      <alignment horizontal="right" vertical="center" wrapText="1"/>
    </xf>
    <xf numFmtId="39" fontId="18" fillId="0" borderId="4" xfId="5" applyNumberFormat="1" applyFont="1" applyFill="1" applyBorder="1" applyAlignment="1">
      <alignment vertical="center"/>
    </xf>
    <xf numFmtId="0" fontId="18" fillId="0" borderId="1" xfId="13" applyFont="1" applyFill="1" applyBorder="1" applyAlignment="1">
      <alignment wrapText="1"/>
    </xf>
    <xf numFmtId="0" fontId="18" fillId="0" borderId="1" xfId="13" applyFont="1" applyFill="1" applyBorder="1" applyAlignment="1">
      <alignment vertical="center" wrapText="1"/>
    </xf>
    <xf numFmtId="0" fontId="18" fillId="8" borderId="1" xfId="13" applyFont="1" applyFill="1" applyBorder="1" applyAlignment="1">
      <alignment vertical="center" wrapText="1"/>
    </xf>
    <xf numFmtId="0" fontId="20" fillId="8" borderId="1" xfId="13" applyFont="1" applyFill="1" applyBorder="1" applyAlignment="1">
      <alignment vertical="center" wrapText="1"/>
    </xf>
    <xf numFmtId="0" fontId="53" fillId="2" borderId="0" xfId="13" applyFont="1" applyFill="1" applyBorder="1"/>
    <xf numFmtId="174" fontId="60" fillId="2" borderId="4" xfId="13" applyNumberFormat="1" applyFont="1" applyFill="1" applyBorder="1" applyAlignment="1">
      <alignment vertical="center"/>
    </xf>
    <xf numFmtId="166" fontId="86" fillId="18" borderId="1" xfId="1" applyFont="1" applyFill="1" applyBorder="1"/>
    <xf numFmtId="43" fontId="38" fillId="43" borderId="1" xfId="0" applyNumberFormat="1" applyFont="1" applyFill="1" applyBorder="1"/>
    <xf numFmtId="177" fontId="84" fillId="44" borderId="1" xfId="0" applyNumberFormat="1" applyFont="1" applyFill="1" applyBorder="1"/>
    <xf numFmtId="0" fontId="0" fillId="44" borderId="1" xfId="0" applyFill="1" applyBorder="1"/>
    <xf numFmtId="165" fontId="19" fillId="23" borderId="1" xfId="5" applyNumberFormat="1" applyFont="1" applyFill="1" applyBorder="1" applyAlignment="1">
      <alignment horizontal="right" vertical="center" wrapText="1"/>
    </xf>
    <xf numFmtId="166" fontId="0" fillId="23" borderId="1" xfId="1" applyFont="1" applyFill="1" applyBorder="1"/>
    <xf numFmtId="0" fontId="0" fillId="23" borderId="1" xfId="0" applyFill="1" applyBorder="1"/>
    <xf numFmtId="177" fontId="84" fillId="23" borderId="1" xfId="0" applyNumberFormat="1" applyFont="1" applyFill="1" applyBorder="1"/>
    <xf numFmtId="0" fontId="18" fillId="4" borderId="1" xfId="13" applyFont="1" applyFill="1" applyBorder="1" applyAlignment="1">
      <alignment vertical="top" wrapText="1"/>
    </xf>
    <xf numFmtId="0" fontId="19" fillId="4" borderId="1" xfId="13" applyFont="1" applyFill="1" applyBorder="1" applyAlignment="1">
      <alignment vertical="top" wrapText="1"/>
    </xf>
    <xf numFmtId="165" fontId="19" fillId="0" borderId="1" xfId="5" applyNumberFormat="1" applyFont="1" applyFill="1" applyBorder="1" applyAlignment="1">
      <alignment horizontal="right" vertical="center" wrapText="1"/>
    </xf>
    <xf numFmtId="166" fontId="0" fillId="0" borderId="1" xfId="1" applyFont="1" applyBorder="1"/>
    <xf numFmtId="177" fontId="84" fillId="0" borderId="1" xfId="0" applyNumberFormat="1" applyFont="1" applyBorder="1"/>
    <xf numFmtId="43" fontId="84" fillId="43" borderId="1" xfId="0" applyNumberFormat="1" applyFont="1" applyFill="1" applyBorder="1"/>
    <xf numFmtId="0" fontId="17" fillId="23" borderId="1" xfId="13" applyFont="1" applyFill="1" applyBorder="1" applyAlignment="1">
      <alignment vertical="top" wrapText="1"/>
    </xf>
    <xf numFmtId="0" fontId="18" fillId="23" borderId="1" xfId="13" applyFont="1" applyFill="1" applyBorder="1" applyAlignment="1">
      <alignment wrapText="1"/>
    </xf>
    <xf numFmtId="43" fontId="0" fillId="23" borderId="1" xfId="0" applyNumberFormat="1" applyFill="1" applyBorder="1"/>
    <xf numFmtId="0" fontId="18" fillId="4" borderId="1" xfId="13" applyFont="1" applyFill="1" applyBorder="1" applyAlignment="1">
      <alignment wrapText="1"/>
    </xf>
    <xf numFmtId="0" fontId="18" fillId="4" borderId="1" xfId="13" applyFont="1" applyFill="1" applyBorder="1" applyAlignment="1">
      <alignment vertical="center" wrapText="1"/>
    </xf>
    <xf numFmtId="39" fontId="18" fillId="4" borderId="4" xfId="5" applyNumberFormat="1" applyFont="1" applyFill="1" applyBorder="1" applyAlignment="1">
      <alignment vertical="center"/>
    </xf>
    <xf numFmtId="0" fontId="18" fillId="8" borderId="1" xfId="13" applyFont="1" applyFill="1" applyBorder="1" applyAlignment="1">
      <alignment vertical="top" wrapText="1"/>
    </xf>
    <xf numFmtId="39" fontId="21" fillId="8" borderId="4" xfId="5" applyNumberFormat="1" applyFont="1" applyFill="1" applyBorder="1" applyAlignment="1">
      <alignment vertical="center"/>
    </xf>
    <xf numFmtId="39" fontId="84" fillId="22" borderId="1" xfId="0" applyNumberFormat="1" applyFont="1" applyFill="1" applyBorder="1"/>
    <xf numFmtId="0" fontId="17" fillId="44" borderId="1" xfId="13" applyFont="1" applyFill="1" applyBorder="1" applyAlignment="1">
      <alignment vertical="top" wrapText="1"/>
    </xf>
    <xf numFmtId="166" fontId="0" fillId="4" borderId="1" xfId="1" applyFont="1" applyFill="1" applyBorder="1" applyAlignment="1">
      <alignment vertical="center"/>
    </xf>
    <xf numFmtId="0" fontId="17" fillId="0" borderId="1" xfId="13" applyFont="1" applyFill="1" applyBorder="1" applyAlignment="1">
      <alignment vertical="top" wrapText="1"/>
    </xf>
    <xf numFmtId="0" fontId="18" fillId="0" borderId="4" xfId="13" applyFont="1" applyFill="1" applyBorder="1" applyAlignment="1">
      <alignment vertical="center" wrapText="1"/>
    </xf>
    <xf numFmtId="0" fontId="17" fillId="0" borderId="1" xfId="13" applyFont="1" applyFill="1" applyBorder="1" applyAlignment="1">
      <alignment horizontal="left" vertical="top" wrapText="1"/>
    </xf>
    <xf numFmtId="43" fontId="84" fillId="22" borderId="1" xfId="0" applyNumberFormat="1" applyFont="1" applyFill="1" applyBorder="1"/>
    <xf numFmtId="0" fontId="17" fillId="0" borderId="15" xfId="13" applyFont="1" applyFill="1" applyBorder="1" applyAlignment="1">
      <alignment horizontal="left" vertical="top" wrapText="1"/>
    </xf>
    <xf numFmtId="0" fontId="18" fillId="0" borderId="2" xfId="13" applyFont="1" applyFill="1" applyBorder="1" applyAlignment="1">
      <alignment vertical="center" wrapText="1"/>
    </xf>
    <xf numFmtId="166" fontId="0" fillId="0" borderId="1" xfId="1" applyFont="1" applyBorder="1" applyAlignment="1">
      <alignment vertical="center"/>
    </xf>
    <xf numFmtId="177" fontId="84" fillId="0" borderId="1" xfId="0" applyNumberFormat="1" applyFont="1" applyFill="1" applyBorder="1"/>
    <xf numFmtId="0" fontId="17" fillId="0" borderId="11" xfId="13" applyFont="1" applyFill="1" applyBorder="1" applyAlignment="1">
      <alignment horizontal="left" vertical="top" wrapText="1"/>
    </xf>
    <xf numFmtId="0" fontId="18" fillId="8" borderId="11" xfId="13" applyFont="1" applyFill="1" applyBorder="1" applyAlignment="1">
      <alignment vertical="top" wrapText="1"/>
    </xf>
    <xf numFmtId="0" fontId="17" fillId="26" borderId="1" xfId="13" applyFont="1" applyFill="1" applyBorder="1" applyAlignment="1">
      <alignment horizontal="left" vertical="top" wrapText="1"/>
    </xf>
    <xf numFmtId="0" fontId="18" fillId="4" borderId="3" xfId="13" applyFont="1" applyFill="1" applyBorder="1" applyAlignment="1">
      <alignment horizontal="center" vertical="top" wrapText="1"/>
    </xf>
    <xf numFmtId="0" fontId="53" fillId="0" borderId="1" xfId="13" applyFont="1" applyFill="1" applyBorder="1" applyAlignment="1">
      <alignment vertical="center"/>
    </xf>
    <xf numFmtId="0" fontId="19" fillId="0" borderId="2" xfId="13" applyFont="1" applyFill="1" applyBorder="1" applyAlignment="1">
      <alignment vertical="center" wrapText="1"/>
    </xf>
    <xf numFmtId="0" fontId="17" fillId="27" borderId="4" xfId="13" applyFont="1" applyFill="1" applyBorder="1" applyAlignment="1">
      <alignment horizontal="left" vertical="center" wrapText="1"/>
    </xf>
    <xf numFmtId="0" fontId="18" fillId="4" borderId="2" xfId="13" applyFont="1" applyFill="1" applyBorder="1" applyAlignment="1">
      <alignment horizontal="center" vertical="top" wrapText="1"/>
    </xf>
    <xf numFmtId="0" fontId="19" fillId="0" borderId="1" xfId="13" applyFont="1" applyFill="1" applyBorder="1" applyAlignment="1">
      <alignment horizontal="right" vertical="top" wrapText="1"/>
    </xf>
    <xf numFmtId="0" fontId="18" fillId="0" borderId="1" xfId="13" applyFont="1" applyFill="1" applyBorder="1" applyAlignment="1">
      <alignment horizontal="right" wrapText="1"/>
    </xf>
    <xf numFmtId="0" fontId="17" fillId="27" borderId="4" xfId="13" applyFont="1" applyFill="1" applyBorder="1" applyAlignment="1">
      <alignment horizontal="left" vertical="top" wrapText="1"/>
    </xf>
    <xf numFmtId="43" fontId="0" fillId="0" borderId="1" xfId="0" applyNumberFormat="1" applyBorder="1"/>
    <xf numFmtId="166" fontId="0" fillId="18" borderId="1" xfId="1" applyFont="1" applyFill="1" applyBorder="1"/>
    <xf numFmtId="43" fontId="38" fillId="22" borderId="1" xfId="0" applyNumberFormat="1" applyFont="1" applyFill="1" applyBorder="1"/>
    <xf numFmtId="0" fontId="17" fillId="28" borderId="4" xfId="13" applyFont="1" applyFill="1" applyBorder="1" applyAlignment="1">
      <alignment vertical="center"/>
    </xf>
    <xf numFmtId="0" fontId="17" fillId="28" borderId="3" xfId="13" applyFont="1" applyFill="1" applyBorder="1" applyAlignment="1">
      <alignment vertical="center"/>
    </xf>
    <xf numFmtId="0" fontId="17" fillId="28" borderId="2" xfId="13" applyFont="1" applyFill="1" applyBorder="1" applyAlignment="1">
      <alignment vertical="center"/>
    </xf>
    <xf numFmtId="39" fontId="21" fillId="28" borderId="4" xfId="5" applyNumberFormat="1" applyFont="1" applyFill="1" applyBorder="1" applyAlignment="1">
      <alignment vertical="center"/>
    </xf>
    <xf numFmtId="43" fontId="17" fillId="28" borderId="1" xfId="13" applyNumberFormat="1" applyFont="1" applyFill="1" applyBorder="1" applyAlignment="1">
      <alignment vertical="center"/>
    </xf>
    <xf numFmtId="43" fontId="86" fillId="27" borderId="1" xfId="0" applyNumberFormat="1" applyFont="1" applyFill="1" applyBorder="1"/>
    <xf numFmtId="0" fontId="17" fillId="37" borderId="4" xfId="13" applyFont="1" applyFill="1" applyBorder="1" applyAlignment="1">
      <alignment vertical="center"/>
    </xf>
    <xf numFmtId="0" fontId="17" fillId="37" borderId="3" xfId="13" applyFont="1" applyFill="1" applyBorder="1" applyAlignment="1">
      <alignment vertical="center"/>
    </xf>
    <xf numFmtId="0" fontId="19" fillId="0" borderId="1" xfId="13" applyFont="1" applyFill="1" applyBorder="1" applyAlignment="1">
      <alignment horizontal="left" vertical="top" wrapText="1"/>
    </xf>
    <xf numFmtId="166" fontId="2" fillId="4" borderId="1" xfId="1" applyFont="1" applyFill="1" applyBorder="1" applyAlignment="1">
      <alignment vertical="center"/>
    </xf>
    <xf numFmtId="174" fontId="17" fillId="8" borderId="3" xfId="13" applyNumberFormat="1" applyFont="1" applyFill="1" applyBorder="1" applyAlignment="1">
      <alignment horizontal="right" vertical="center" wrapText="1"/>
    </xf>
    <xf numFmtId="0" fontId="17" fillId="28" borderId="4" xfId="13" applyFont="1" applyFill="1" applyBorder="1" applyAlignment="1">
      <alignment vertical="center" wrapText="1"/>
    </xf>
    <xf numFmtId="174" fontId="17" fillId="28" borderId="4" xfId="13" applyNumberFormat="1" applyFont="1" applyFill="1" applyBorder="1" applyAlignment="1">
      <alignment vertical="center" wrapText="1"/>
    </xf>
    <xf numFmtId="166" fontId="17" fillId="28" borderId="1" xfId="1" applyFont="1" applyFill="1" applyBorder="1" applyAlignment="1">
      <alignment vertical="center" wrapText="1"/>
    </xf>
    <xf numFmtId="0" fontId="17" fillId="9" borderId="4" xfId="13" applyFont="1" applyFill="1" applyBorder="1" applyAlignment="1">
      <alignment vertical="center"/>
    </xf>
    <xf numFmtId="0" fontId="17" fillId="9" borderId="3" xfId="13" applyFont="1" applyFill="1" applyBorder="1" applyAlignment="1">
      <alignment vertical="center"/>
    </xf>
    <xf numFmtId="0" fontId="17" fillId="9" borderId="2" xfId="13" applyFont="1" applyFill="1" applyBorder="1" applyAlignment="1">
      <alignment vertical="center"/>
    </xf>
    <xf numFmtId="0" fontId="21" fillId="9" borderId="1" xfId="13" applyFont="1" applyFill="1" applyBorder="1" applyAlignment="1">
      <alignment vertical="top" wrapText="1"/>
    </xf>
    <xf numFmtId="39" fontId="21" fillId="9" borderId="4" xfId="5" applyNumberFormat="1" applyFont="1" applyFill="1" applyBorder="1"/>
    <xf numFmtId="43" fontId="21" fillId="9" borderId="1" xfId="13" applyNumberFormat="1" applyFont="1" applyFill="1" applyBorder="1" applyAlignment="1">
      <alignment vertical="top" wrapText="1"/>
    </xf>
    <xf numFmtId="177" fontId="84" fillId="22" borderId="1" xfId="0" applyNumberFormat="1" applyFont="1" applyFill="1" applyBorder="1"/>
    <xf numFmtId="0" fontId="0" fillId="22" borderId="1" xfId="0" applyFill="1" applyBorder="1"/>
    <xf numFmtId="0" fontId="16" fillId="6" borderId="0" xfId="13" applyFont="1" applyFill="1" applyBorder="1" applyAlignment="1">
      <alignment vertical="center" wrapText="1"/>
    </xf>
    <xf numFmtId="166" fontId="0" fillId="20" borderId="1" xfId="1" applyFont="1" applyFill="1" applyBorder="1"/>
    <xf numFmtId="0" fontId="0" fillId="20" borderId="1" xfId="0" applyFill="1" applyBorder="1"/>
    <xf numFmtId="177" fontId="84" fillId="20" borderId="1" xfId="0" applyNumberFormat="1" applyFont="1" applyFill="1" applyBorder="1"/>
    <xf numFmtId="0" fontId="17" fillId="10" borderId="4" xfId="13" applyFont="1" applyFill="1" applyBorder="1" applyAlignment="1">
      <alignment vertical="center"/>
    </xf>
    <xf numFmtId="0" fontId="17" fillId="10" borderId="3" xfId="13" applyFont="1" applyFill="1" applyBorder="1" applyAlignment="1">
      <alignment vertical="center"/>
    </xf>
    <xf numFmtId="0" fontId="17" fillId="10" borderId="3" xfId="13" applyFont="1" applyFill="1" applyBorder="1" applyAlignment="1">
      <alignment vertical="center" wrapText="1"/>
    </xf>
    <xf numFmtId="0" fontId="0" fillId="18" borderId="1" xfId="0" applyFill="1" applyBorder="1"/>
    <xf numFmtId="177" fontId="84" fillId="18" borderId="1" xfId="0" applyNumberFormat="1" applyFont="1" applyFill="1" applyBorder="1"/>
    <xf numFmtId="0" fontId="18" fillId="4" borderId="1" xfId="13" applyFont="1" applyFill="1" applyBorder="1" applyAlignment="1">
      <alignment vertical="center"/>
    </xf>
    <xf numFmtId="0" fontId="18" fillId="0" borderId="7" xfId="13" applyFont="1" applyFill="1" applyBorder="1" applyAlignment="1">
      <alignment horizontal="left" vertical="center"/>
    </xf>
    <xf numFmtId="0" fontId="18" fillId="0" borderId="14" xfId="13" applyFont="1" applyFill="1" applyBorder="1" applyAlignment="1">
      <alignment horizontal="left" vertical="center"/>
    </xf>
    <xf numFmtId="0" fontId="18" fillId="0" borderId="7" xfId="13" applyFont="1" applyFill="1" applyBorder="1" applyAlignment="1">
      <alignment vertical="top" wrapText="1"/>
    </xf>
    <xf numFmtId="0" fontId="27" fillId="0" borderId="1" xfId="13" applyFont="1" applyFill="1" applyBorder="1" applyAlignment="1">
      <alignment vertical="top" wrapText="1"/>
    </xf>
    <xf numFmtId="39" fontId="27" fillId="0" borderId="4" xfId="5" applyNumberFormat="1" applyFont="1" applyFill="1" applyBorder="1" applyAlignment="1">
      <alignment vertical="top"/>
    </xf>
    <xf numFmtId="0" fontId="85" fillId="0" borderId="0" xfId="0" applyFont="1"/>
    <xf numFmtId="0" fontId="17" fillId="0" borderId="1" xfId="13" applyFont="1" applyFill="1" applyBorder="1"/>
    <xf numFmtId="0" fontId="17" fillId="0" borderId="7" xfId="13" applyFont="1" applyFill="1" applyBorder="1" applyAlignment="1">
      <alignment horizontal="right" vertical="center"/>
    </xf>
    <xf numFmtId="0" fontId="18" fillId="0" borderId="14" xfId="13" applyFont="1" applyFill="1" applyBorder="1" applyAlignment="1">
      <alignment horizontal="right" vertical="center"/>
    </xf>
    <xf numFmtId="39" fontId="27" fillId="0" borderId="4" xfId="5" applyNumberFormat="1" applyFont="1" applyFill="1" applyBorder="1"/>
    <xf numFmtId="0" fontId="17" fillId="0" borderId="1" xfId="13" applyFont="1" applyFill="1" applyBorder="1" applyAlignment="1">
      <alignment horizontal="right" vertical="center"/>
    </xf>
    <xf numFmtId="0" fontId="17" fillId="0" borderId="14" xfId="13" applyFont="1" applyFill="1" applyBorder="1" applyAlignment="1">
      <alignment horizontal="right" vertical="center"/>
    </xf>
    <xf numFmtId="0" fontId="20" fillId="8" borderId="1" xfId="13" applyFont="1" applyFill="1" applyBorder="1" applyAlignment="1">
      <alignment vertical="top" wrapText="1"/>
    </xf>
    <xf numFmtId="166" fontId="86" fillId="2" borderId="1" xfId="1" applyFont="1" applyFill="1" applyBorder="1"/>
    <xf numFmtId="0" fontId="18" fillId="0" borderId="1" xfId="13" applyFont="1" applyFill="1" applyBorder="1" applyAlignment="1">
      <alignment horizontal="right" vertical="top" wrapText="1"/>
    </xf>
    <xf numFmtId="0" fontId="21" fillId="0" borderId="7" xfId="13" applyFont="1" applyFill="1" applyBorder="1" applyAlignment="1">
      <alignment vertical="top" wrapText="1"/>
    </xf>
    <xf numFmtId="0" fontId="21" fillId="0" borderId="1" xfId="13" applyFont="1" applyFill="1" applyBorder="1" applyAlignment="1">
      <alignment vertical="top" wrapText="1"/>
    </xf>
    <xf numFmtId="0" fontId="18" fillId="4" borderId="1" xfId="13" applyFont="1" applyFill="1" applyBorder="1" applyAlignment="1">
      <alignment horizontal="left" vertical="center"/>
    </xf>
    <xf numFmtId="0" fontId="17" fillId="0" borderId="7" xfId="13" applyFont="1" applyFill="1" applyBorder="1" applyAlignment="1">
      <alignment horizontal="left" vertical="center"/>
    </xf>
    <xf numFmtId="0" fontId="27" fillId="4" borderId="1" xfId="13" applyFont="1" applyFill="1" applyBorder="1" applyAlignment="1">
      <alignment vertical="top" wrapText="1"/>
    </xf>
    <xf numFmtId="0" fontId="27" fillId="4" borderId="1" xfId="13" applyFont="1" applyFill="1" applyBorder="1" applyAlignment="1">
      <alignment horizontal="right" vertical="top" wrapText="1"/>
    </xf>
    <xf numFmtId="171" fontId="27" fillId="14" borderId="4" xfId="5" applyNumberFormat="1" applyFont="1" applyFill="1" applyBorder="1"/>
    <xf numFmtId="0" fontId="18" fillId="0" borderId="1" xfId="13" applyFont="1" applyFill="1" applyBorder="1" applyAlignment="1">
      <alignment horizontal="left" vertical="center"/>
    </xf>
    <xf numFmtId="0" fontId="17" fillId="0" borderId="2" xfId="13" applyFont="1" applyFill="1" applyBorder="1" applyAlignment="1">
      <alignment horizontal="right" vertical="center"/>
    </xf>
    <xf numFmtId="171" fontId="21" fillId="8" borderId="4" xfId="5" applyNumberFormat="1" applyFont="1" applyFill="1" applyBorder="1"/>
    <xf numFmtId="171" fontId="84" fillId="22" borderId="1" xfId="0" applyNumberFormat="1" applyFont="1" applyFill="1" applyBorder="1"/>
    <xf numFmtId="0" fontId="22" fillId="14" borderId="1" xfId="13" applyFont="1" applyFill="1" applyBorder="1" applyAlignment="1">
      <alignment vertical="top" wrapText="1"/>
    </xf>
    <xf numFmtId="0" fontId="25" fillId="0" borderId="7" xfId="13" applyFont="1" applyFill="1" applyBorder="1" applyAlignment="1">
      <alignment horizontal="right" vertical="center"/>
    </xf>
    <xf numFmtId="0" fontId="25" fillId="0" borderId="14" xfId="13" applyFont="1" applyFill="1" applyBorder="1" applyAlignment="1">
      <alignment horizontal="right" vertical="center"/>
    </xf>
    <xf numFmtId="0" fontId="26" fillId="0" borderId="7" xfId="13" applyFont="1" applyFill="1" applyBorder="1" applyAlignment="1">
      <alignment vertical="top" wrapText="1"/>
    </xf>
    <xf numFmtId="0" fontId="26" fillId="0" borderId="1" xfId="13" applyFont="1" applyFill="1" applyBorder="1" applyAlignment="1">
      <alignment vertical="top" wrapText="1"/>
    </xf>
    <xf numFmtId="39" fontId="26" fillId="0" borderId="4" xfId="5" applyNumberFormat="1" applyFont="1" applyFill="1" applyBorder="1"/>
    <xf numFmtId="39" fontId="26" fillId="8" borderId="4" xfId="5" applyNumberFormat="1" applyFont="1" applyFill="1" applyBorder="1"/>
    <xf numFmtId="0" fontId="18" fillId="0" borderId="14" xfId="13" applyFont="1" applyFill="1" applyBorder="1" applyAlignment="1">
      <alignment horizontal="left" vertical="center" wrapText="1"/>
    </xf>
    <xf numFmtId="39" fontId="27" fillId="0" borderId="4" xfId="5" applyNumberFormat="1" applyFont="1" applyFill="1" applyBorder="1" applyAlignment="1">
      <alignment vertical="center"/>
    </xf>
    <xf numFmtId="39" fontId="21" fillId="0" borderId="4" xfId="5" applyNumberFormat="1" applyFont="1" applyFill="1" applyBorder="1" applyAlignment="1">
      <alignment vertical="center"/>
    </xf>
    <xf numFmtId="165" fontId="0" fillId="0" borderId="0" xfId="0" applyNumberFormat="1"/>
    <xf numFmtId="0" fontId="38" fillId="22" borderId="1" xfId="0" applyFont="1" applyFill="1" applyBorder="1"/>
    <xf numFmtId="43" fontId="0" fillId="22" borderId="1" xfId="0" applyNumberFormat="1" applyFill="1" applyBorder="1"/>
    <xf numFmtId="0" fontId="18" fillId="0" borderId="7" xfId="13" applyFont="1" applyFill="1" applyBorder="1" applyAlignment="1">
      <alignment horizontal="left" vertical="center" wrapText="1"/>
    </xf>
    <xf numFmtId="0" fontId="3" fillId="0" borderId="0" xfId="13"/>
    <xf numFmtId="39" fontId="27" fillId="4" borderId="4" xfId="5" applyNumberFormat="1" applyFont="1" applyFill="1" applyBorder="1" applyAlignment="1">
      <alignment vertical="center"/>
    </xf>
    <xf numFmtId="0" fontId="21" fillId="9" borderId="1" xfId="13" applyFont="1" applyFill="1" applyBorder="1" applyAlignment="1">
      <alignment horizontal="left" vertical="top" wrapText="1"/>
    </xf>
    <xf numFmtId="43" fontId="21" fillId="9" borderId="1" xfId="13" applyNumberFormat="1" applyFont="1" applyFill="1" applyBorder="1" applyAlignment="1">
      <alignment horizontal="left" vertical="top" wrapText="1"/>
    </xf>
    <xf numFmtId="37" fontId="21" fillId="9" borderId="4" xfId="5" applyNumberFormat="1" applyFont="1" applyFill="1" applyBorder="1" applyAlignment="1">
      <alignment horizontal="right"/>
    </xf>
    <xf numFmtId="43" fontId="86" fillId="45" borderId="1" xfId="0" applyNumberFormat="1" applyFont="1" applyFill="1" applyBorder="1"/>
    <xf numFmtId="0" fontId="17" fillId="29" borderId="5" xfId="13" applyFont="1" applyFill="1" applyBorder="1" applyAlignment="1">
      <alignment vertical="center"/>
    </xf>
    <xf numFmtId="0" fontId="17" fillId="29" borderId="6" xfId="13" applyFont="1" applyFill="1" applyBorder="1" applyAlignment="1">
      <alignment vertical="center"/>
    </xf>
    <xf numFmtId="0" fontId="17" fillId="29" borderId="7" xfId="13" applyFont="1" applyFill="1" applyBorder="1" applyAlignment="1">
      <alignment vertical="center"/>
    </xf>
    <xf numFmtId="0" fontId="17" fillId="29" borderId="1" xfId="13" applyFont="1" applyFill="1" applyBorder="1" applyAlignment="1">
      <alignment horizontal="left" vertical="center"/>
    </xf>
    <xf numFmtId="43" fontId="17" fillId="29" borderId="1" xfId="13" applyNumberFormat="1" applyFont="1" applyFill="1" applyBorder="1" applyAlignment="1">
      <alignment horizontal="left" vertical="center"/>
    </xf>
    <xf numFmtId="37" fontId="61" fillId="29" borderId="4" xfId="5" applyNumberFormat="1" applyFont="1" applyFill="1" applyBorder="1" applyAlignment="1">
      <alignment horizontal="right" vertical="center"/>
    </xf>
    <xf numFmtId="166" fontId="84" fillId="42" borderId="1" xfId="1" applyFont="1" applyFill="1" applyBorder="1"/>
    <xf numFmtId="43" fontId="84" fillId="44" borderId="1" xfId="0" applyNumberFormat="1" applyFont="1" applyFill="1" applyBorder="1"/>
    <xf numFmtId="0" fontId="17" fillId="29" borderId="8" xfId="13" applyFont="1" applyFill="1" applyBorder="1" applyAlignment="1">
      <alignment vertical="center"/>
    </xf>
    <xf numFmtId="0" fontId="17" fillId="29" borderId="9" xfId="13" applyFont="1" applyFill="1" applyBorder="1" applyAlignment="1">
      <alignment vertical="center"/>
    </xf>
    <xf numFmtId="0" fontId="17" fillId="29" borderId="10" xfId="13" applyFont="1" applyFill="1" applyBorder="1" applyAlignment="1">
      <alignment vertical="center"/>
    </xf>
    <xf numFmtId="0" fontId="62" fillId="29" borderId="4" xfId="13" applyFont="1" applyFill="1" applyBorder="1" applyAlignment="1">
      <alignment vertical="center" wrapText="1"/>
    </xf>
    <xf numFmtId="166" fontId="0" fillId="46" borderId="1" xfId="1" applyFont="1" applyFill="1" applyBorder="1"/>
    <xf numFmtId="43" fontId="0" fillId="46" borderId="1" xfId="0" applyNumberFormat="1" applyFill="1" applyBorder="1"/>
    <xf numFmtId="0" fontId="84" fillId="46" borderId="1" xfId="0" applyFont="1" applyFill="1" applyBorder="1"/>
    <xf numFmtId="0" fontId="0" fillId="46" borderId="1" xfId="0" applyFill="1" applyBorder="1"/>
    <xf numFmtId="0" fontId="17" fillId="30" borderId="4" xfId="13" applyFont="1" applyFill="1" applyBorder="1" applyAlignment="1"/>
    <xf numFmtId="0" fontId="17" fillId="30" borderId="3" xfId="13" applyFont="1" applyFill="1" applyBorder="1" applyAlignment="1"/>
    <xf numFmtId="0" fontId="17" fillId="30" borderId="2" xfId="13" applyFont="1" applyFill="1" applyBorder="1" applyAlignment="1"/>
    <xf numFmtId="0" fontId="18" fillId="30" borderId="1" xfId="13" applyFont="1" applyFill="1" applyBorder="1" applyAlignment="1">
      <alignment vertical="center" wrapText="1"/>
    </xf>
    <xf numFmtId="43" fontId="18" fillId="30" borderId="1" xfId="13" applyNumberFormat="1" applyFont="1" applyFill="1" applyBorder="1" applyAlignment="1">
      <alignment vertical="center" wrapText="1"/>
    </xf>
    <xf numFmtId="37" fontId="62" fillId="47" borderId="4" xfId="13" applyNumberFormat="1" applyFont="1" applyFill="1" applyBorder="1" applyAlignment="1">
      <alignment vertical="center"/>
    </xf>
    <xf numFmtId="166" fontId="0" fillId="48" borderId="1" xfId="1" applyFont="1" applyFill="1" applyBorder="1"/>
    <xf numFmtId="43" fontId="0" fillId="48" borderId="1" xfId="0" applyNumberFormat="1" applyFill="1" applyBorder="1"/>
    <xf numFmtId="0" fontId="84" fillId="48" borderId="1" xfId="0" applyFont="1" applyFill="1" applyBorder="1"/>
    <xf numFmtId="0" fontId="0" fillId="48" borderId="1" xfId="0" applyFill="1" applyBorder="1"/>
    <xf numFmtId="0" fontId="17" fillId="31" borderId="4" xfId="13" applyFont="1" applyFill="1" applyBorder="1" applyAlignment="1">
      <alignment vertical="center"/>
    </xf>
    <xf numFmtId="0" fontId="17" fillId="31" borderId="3" xfId="13" applyFont="1" applyFill="1" applyBorder="1" applyAlignment="1">
      <alignment vertical="center"/>
    </xf>
    <xf numFmtId="0" fontId="17" fillId="31" borderId="2" xfId="13" applyFont="1" applyFill="1" applyBorder="1" applyAlignment="1">
      <alignment horizontal="right" vertical="center"/>
    </xf>
    <xf numFmtId="0" fontId="17" fillId="31" borderId="1" xfId="13" applyFont="1" applyFill="1" applyBorder="1" applyAlignment="1">
      <alignment horizontal="left" vertical="center"/>
    </xf>
    <xf numFmtId="43" fontId="17" fillId="31" borderId="1" xfId="13" applyNumberFormat="1" applyFont="1" applyFill="1" applyBorder="1" applyAlignment="1">
      <alignment horizontal="left" vertical="center"/>
    </xf>
    <xf numFmtId="168" fontId="17" fillId="31" borderId="4" xfId="5" applyNumberFormat="1" applyFont="1" applyFill="1" applyBorder="1" applyAlignment="1">
      <alignment vertical="center"/>
    </xf>
    <xf numFmtId="166" fontId="84" fillId="44" borderId="1" xfId="1" applyFont="1" applyFill="1" applyBorder="1"/>
    <xf numFmtId="0" fontId="84" fillId="44" borderId="1" xfId="0" applyFont="1" applyFill="1" applyBorder="1"/>
    <xf numFmtId="166" fontId="0" fillId="44" borderId="1" xfId="1" applyFont="1" applyFill="1" applyBorder="1"/>
    <xf numFmtId="0" fontId="17" fillId="0" borderId="0" xfId="13" applyFont="1" applyFill="1" applyBorder="1"/>
    <xf numFmtId="0" fontId="18" fillId="0" borderId="0" xfId="13" applyFont="1" applyFill="1" applyBorder="1"/>
    <xf numFmtId="39" fontId="18" fillId="0" borderId="0" xfId="13" applyNumberFormat="1" applyFont="1" applyFill="1" applyBorder="1"/>
    <xf numFmtId="43" fontId="0" fillId="0" borderId="0" xfId="0" applyNumberFormat="1"/>
    <xf numFmtId="166" fontId="0" fillId="4" borderId="0" xfId="1" applyFont="1" applyFill="1"/>
    <xf numFmtId="0" fontId="17" fillId="0" borderId="5" xfId="13" applyFont="1" applyFill="1" applyBorder="1"/>
    <xf numFmtId="0" fontId="17" fillId="0" borderId="6" xfId="13" applyFont="1" applyFill="1" applyBorder="1"/>
    <xf numFmtId="0" fontId="17" fillId="0" borderId="7" xfId="13" applyFont="1" applyFill="1" applyBorder="1"/>
    <xf numFmtId="166" fontId="63" fillId="0" borderId="0" xfId="5" applyFont="1"/>
    <xf numFmtId="166" fontId="89" fillId="0" borderId="0" xfId="1" applyFont="1"/>
    <xf numFmtId="43" fontId="0" fillId="4" borderId="0" xfId="0" applyNumberFormat="1" applyFill="1"/>
    <xf numFmtId="0" fontId="18" fillId="0" borderId="12" xfId="13" applyFont="1" applyFill="1" applyBorder="1"/>
    <xf numFmtId="0" fontId="18" fillId="0" borderId="13" xfId="13" applyFont="1" applyFill="1" applyBorder="1"/>
    <xf numFmtId="165" fontId="17" fillId="0" borderId="0" xfId="13" applyNumberFormat="1" applyFont="1" applyFill="1" applyBorder="1"/>
    <xf numFmtId="39" fontId="17" fillId="0" borderId="0" xfId="13" applyNumberFormat="1" applyFont="1" applyFill="1" applyBorder="1"/>
    <xf numFmtId="0" fontId="18" fillId="0" borderId="0" xfId="13" applyFont="1" applyFill="1" applyBorder="1" applyAlignment="1"/>
    <xf numFmtId="39" fontId="22" fillId="0" borderId="0" xfId="13" applyNumberFormat="1" applyFont="1" applyFill="1" applyBorder="1" applyAlignment="1">
      <alignment vertical="center"/>
    </xf>
    <xf numFmtId="0" fontId="18" fillId="0" borderId="6" xfId="13" applyFont="1" applyFill="1" applyBorder="1"/>
    <xf numFmtId="0" fontId="18" fillId="0" borderId="7" xfId="13" applyFont="1" applyFill="1" applyBorder="1"/>
    <xf numFmtId="0" fontId="18" fillId="0" borderId="9" xfId="13" applyFont="1" applyFill="1" applyBorder="1"/>
    <xf numFmtId="0" fontId="18" fillId="0" borderId="10" xfId="13" applyFont="1" applyFill="1" applyBorder="1"/>
    <xf numFmtId="0" fontId="64" fillId="0" borderId="0" xfId="13" applyFont="1" applyFill="1" applyBorder="1"/>
    <xf numFmtId="0" fontId="66" fillId="0" borderId="0" xfId="13" applyFont="1" applyFill="1" applyBorder="1" applyAlignment="1">
      <alignment horizontal="left"/>
    </xf>
    <xf numFmtId="0" fontId="66" fillId="0" borderId="0" xfId="13" applyFont="1" applyFill="1" applyBorder="1" applyAlignment="1">
      <alignment horizontal="right"/>
    </xf>
    <xf numFmtId="0" fontId="69" fillId="0" borderId="0" xfId="13" applyFont="1" applyFill="1" applyBorder="1"/>
    <xf numFmtId="165" fontId="67" fillId="33" borderId="1" xfId="11" applyNumberFormat="1" applyFont="1" applyFill="1" applyBorder="1" applyProtection="1">
      <protection locked="0"/>
    </xf>
    <xf numFmtId="0" fontId="66" fillId="0" borderId="0" xfId="13" applyFont="1" applyFill="1" applyBorder="1"/>
    <xf numFmtId="166" fontId="17" fillId="0" borderId="0" xfId="1" applyFont="1" applyFill="1" applyBorder="1"/>
    <xf numFmtId="0" fontId="18" fillId="0" borderId="0" xfId="2" applyFont="1" applyFill="1" applyBorder="1"/>
    <xf numFmtId="166" fontId="17" fillId="0" borderId="0" xfId="5" applyFont="1" applyFill="1" applyBorder="1" applyAlignment="1">
      <alignment horizontal="center"/>
    </xf>
    <xf numFmtId="0" fontId="90" fillId="0" borderId="0" xfId="2" applyFont="1" applyFill="1" applyBorder="1"/>
    <xf numFmtId="0" fontId="17" fillId="0" borderId="0" xfId="2" applyFont="1" applyFill="1" applyBorder="1"/>
    <xf numFmtId="0" fontId="10" fillId="0" borderId="0" xfId="2" applyFont="1" applyFill="1" applyBorder="1"/>
    <xf numFmtId="0" fontId="54" fillId="0" borderId="0" xfId="2" applyFont="1" applyFill="1" applyBorder="1"/>
    <xf numFmtId="166" fontId="59" fillId="13" borderId="1" xfId="5" applyFont="1" applyFill="1" applyBorder="1" applyAlignment="1">
      <alignment vertical="top" wrapText="1"/>
    </xf>
    <xf numFmtId="0" fontId="25" fillId="0" borderId="0" xfId="2" applyFont="1" applyFill="1" applyBorder="1" applyAlignment="1">
      <alignment horizontal="center"/>
    </xf>
    <xf numFmtId="0" fontId="9" fillId="0" borderId="0" xfId="2" applyFont="1" applyFill="1" applyBorder="1" applyAlignment="1">
      <alignment horizontal="center"/>
    </xf>
    <xf numFmtId="0" fontId="18" fillId="0" borderId="13" xfId="2" applyFont="1" applyFill="1" applyBorder="1"/>
    <xf numFmtId="0" fontId="57" fillId="5" borderId="11" xfId="2" applyFont="1" applyFill="1" applyBorder="1" applyAlignment="1">
      <alignment horizontal="center" vertical="center" wrapText="1"/>
    </xf>
    <xf numFmtId="0" fontId="57" fillId="5" borderId="4" xfId="2" applyNumberFormat="1" applyFont="1" applyFill="1" applyBorder="1" applyAlignment="1">
      <alignment horizontal="center" vertical="center" wrapText="1"/>
    </xf>
    <xf numFmtId="166" fontId="13" fillId="3" borderId="4" xfId="5" applyFont="1" applyFill="1" applyBorder="1" applyAlignment="1">
      <alignment horizontal="center" vertical="center" wrapText="1"/>
    </xf>
    <xf numFmtId="175" fontId="13" fillId="3" borderId="1" xfId="14" applyNumberFormat="1" applyFont="1" applyFill="1" applyBorder="1" applyAlignment="1">
      <alignment horizontal="center" vertical="center" wrapText="1"/>
    </xf>
    <xf numFmtId="0" fontId="57" fillId="5" borderId="2" xfId="2" applyNumberFormat="1" applyFont="1" applyFill="1" applyBorder="1" applyAlignment="1">
      <alignment horizontal="center" vertical="center" wrapText="1"/>
    </xf>
    <xf numFmtId="0" fontId="41" fillId="5" borderId="11" xfId="2" applyFont="1" applyFill="1" applyBorder="1" applyAlignment="1">
      <alignment vertical="top" wrapText="1"/>
    </xf>
    <xf numFmtId="0" fontId="58" fillId="0" borderId="0" xfId="2" applyFont="1" applyFill="1" applyBorder="1"/>
    <xf numFmtId="0" fontId="14" fillId="11" borderId="8" xfId="2" applyFont="1" applyFill="1" applyBorder="1" applyAlignment="1">
      <alignment vertical="center" wrapText="1"/>
    </xf>
    <xf numFmtId="0" fontId="57" fillId="6" borderId="4" xfId="2" applyFont="1" applyFill="1" applyBorder="1" applyAlignment="1">
      <alignment vertical="center"/>
    </xf>
    <xf numFmtId="0" fontId="57" fillId="6" borderId="3" xfId="2" applyFont="1" applyFill="1" applyBorder="1" applyAlignment="1">
      <alignment vertical="center"/>
    </xf>
    <xf numFmtId="0" fontId="57" fillId="6" borderId="2" xfId="2" applyFont="1" applyFill="1" applyBorder="1" applyAlignment="1">
      <alignment vertical="center"/>
    </xf>
    <xf numFmtId="0" fontId="57" fillId="11" borderId="1" xfId="2" applyFont="1" applyFill="1" applyBorder="1" applyAlignment="1">
      <alignment vertical="center" wrapText="1"/>
    </xf>
    <xf numFmtId="0" fontId="57" fillId="11" borderId="9" xfId="2" applyFont="1" applyFill="1" applyBorder="1" applyAlignment="1">
      <alignment vertical="center" wrapText="1"/>
    </xf>
    <xf numFmtId="0" fontId="57" fillId="11" borderId="8" xfId="2" applyFont="1" applyFill="1" applyBorder="1" applyAlignment="1">
      <alignment vertical="center" wrapText="1"/>
    </xf>
    <xf numFmtId="0" fontId="57" fillId="25" borderId="6" xfId="2" applyFont="1" applyFill="1" applyBorder="1" applyAlignment="1">
      <alignment vertical="center" wrapText="1"/>
    </xf>
    <xf numFmtId="166" fontId="57" fillId="21" borderId="6" xfId="5" applyFont="1" applyFill="1" applyBorder="1" applyAlignment="1">
      <alignment horizontal="center" vertical="center" wrapText="1"/>
    </xf>
    <xf numFmtId="0" fontId="57" fillId="25" borderId="7" xfId="2" applyFont="1" applyFill="1" applyBorder="1" applyAlignment="1">
      <alignment vertical="center" wrapText="1"/>
    </xf>
    <xf numFmtId="0" fontId="58" fillId="0" borderId="1" xfId="2" applyFont="1" applyFill="1" applyBorder="1"/>
    <xf numFmtId="0" fontId="58" fillId="21" borderId="1" xfId="2" applyFont="1" applyFill="1" applyBorder="1"/>
    <xf numFmtId="0" fontId="57" fillId="11" borderId="14" xfId="2" applyFont="1" applyFill="1" applyBorder="1" applyAlignment="1">
      <alignment vertical="center"/>
    </xf>
    <xf numFmtId="0" fontId="57" fillId="0" borderId="4" xfId="2" applyFont="1" applyFill="1" applyBorder="1" applyAlignment="1">
      <alignment vertical="center"/>
    </xf>
    <xf numFmtId="0" fontId="57" fillId="0" borderId="3" xfId="2" applyFont="1" applyFill="1" applyBorder="1" applyAlignment="1">
      <alignment vertical="center"/>
    </xf>
    <xf numFmtId="0" fontId="57" fillId="0" borderId="2" xfId="2" applyFont="1" applyFill="1" applyBorder="1" applyAlignment="1">
      <alignment vertical="center"/>
    </xf>
    <xf numFmtId="166" fontId="57" fillId="0" borderId="0" xfId="5" applyFont="1" applyFill="1" applyBorder="1" applyAlignment="1">
      <alignment horizontal="center"/>
    </xf>
    <xf numFmtId="0" fontId="58" fillId="0" borderId="13" xfId="2" applyFont="1" applyFill="1" applyBorder="1"/>
    <xf numFmtId="0" fontId="57" fillId="11" borderId="15" xfId="2" applyFont="1" applyFill="1" applyBorder="1" applyAlignment="1">
      <alignment vertical="center"/>
    </xf>
    <xf numFmtId="0" fontId="58" fillId="0" borderId="1" xfId="2" applyFont="1" applyFill="1" applyBorder="1" applyAlignment="1">
      <alignment vertical="top"/>
    </xf>
    <xf numFmtId="0" fontId="58" fillId="11" borderId="1" xfId="2" applyFont="1" applyFill="1" applyBorder="1" applyAlignment="1">
      <alignment horizontal="left" vertical="top"/>
    </xf>
    <xf numFmtId="0" fontId="58" fillId="0" borderId="1" xfId="2" applyFont="1" applyFill="1" applyBorder="1" applyAlignment="1">
      <alignment horizontal="right" vertical="top"/>
    </xf>
    <xf numFmtId="167" fontId="58" fillId="0" borderId="1" xfId="2" applyNumberFormat="1" applyFont="1" applyFill="1" applyBorder="1" applyAlignment="1">
      <alignment horizontal="right" vertical="top"/>
    </xf>
    <xf numFmtId="168" fontId="58" fillId="0" borderId="1" xfId="5" applyNumberFormat="1" applyFont="1" applyFill="1" applyBorder="1" applyAlignment="1">
      <alignment horizontal="right" vertical="top"/>
    </xf>
    <xf numFmtId="166" fontId="58" fillId="0" borderId="4" xfId="5" applyFont="1" applyFill="1" applyBorder="1" applyAlignment="1">
      <alignment horizontal="right"/>
    </xf>
    <xf numFmtId="0" fontId="58" fillId="0" borderId="4" xfId="2" applyFont="1" applyFill="1" applyBorder="1"/>
    <xf numFmtId="0" fontId="58" fillId="0" borderId="12" xfId="2" applyFont="1" applyFill="1" applyBorder="1"/>
    <xf numFmtId="166" fontId="57" fillId="0" borderId="12" xfId="5" applyFont="1" applyFill="1" applyBorder="1" applyAlignment="1">
      <alignment horizontal="center"/>
    </xf>
    <xf numFmtId="0" fontId="58" fillId="0" borderId="15" xfId="2" applyFont="1" applyFill="1" applyBorder="1"/>
    <xf numFmtId="0" fontId="58" fillId="0" borderId="1" xfId="2" applyFont="1" applyFill="1" applyBorder="1" applyAlignment="1">
      <alignment horizontal="right"/>
    </xf>
    <xf numFmtId="167" fontId="58" fillId="0" borderId="1" xfId="2" applyNumberFormat="1" applyFont="1" applyFill="1" applyBorder="1" applyAlignment="1">
      <alignment horizontal="right"/>
    </xf>
    <xf numFmtId="168" fontId="58" fillId="0" borderId="1" xfId="5" applyNumberFormat="1" applyFont="1" applyFill="1" applyBorder="1" applyAlignment="1">
      <alignment horizontal="right"/>
    </xf>
    <xf numFmtId="167" fontId="58" fillId="34" borderId="1" xfId="2" applyNumberFormat="1" applyFont="1" applyFill="1" applyBorder="1" applyAlignment="1"/>
    <xf numFmtId="168" fontId="58" fillId="0" borderId="1" xfId="5" applyNumberFormat="1" applyFont="1" applyFill="1" applyBorder="1" applyAlignment="1"/>
    <xf numFmtId="166" fontId="58" fillId="0" borderId="4" xfId="5" applyFont="1" applyFill="1" applyBorder="1" applyAlignment="1"/>
    <xf numFmtId="0" fontId="14" fillId="49" borderId="1" xfId="0" applyFont="1" applyFill="1" applyBorder="1"/>
    <xf numFmtId="0" fontId="58" fillId="8" borderId="1" xfId="2" applyFont="1" applyFill="1" applyBorder="1" applyAlignment="1">
      <alignment vertical="top"/>
    </xf>
    <xf numFmtId="0" fontId="59" fillId="8" borderId="1" xfId="2" applyFont="1" applyFill="1" applyBorder="1" applyAlignment="1">
      <alignment vertical="top"/>
    </xf>
    <xf numFmtId="167" fontId="57" fillId="8" borderId="4" xfId="5" applyNumberFormat="1" applyFont="1" applyFill="1" applyBorder="1" applyAlignment="1"/>
    <xf numFmtId="0" fontId="57" fillId="8" borderId="1" xfId="2" applyFont="1" applyFill="1" applyBorder="1"/>
    <xf numFmtId="167" fontId="57" fillId="8" borderId="4" xfId="2" applyNumberFormat="1" applyFont="1" applyFill="1" applyBorder="1"/>
    <xf numFmtId="167" fontId="57" fillId="8" borderId="1" xfId="2" applyNumberFormat="1" applyFont="1" applyFill="1" applyBorder="1"/>
    <xf numFmtId="166" fontId="91" fillId="2" borderId="1" xfId="5" applyFont="1" applyFill="1" applyBorder="1" applyAlignment="1">
      <alignment horizontal="center"/>
    </xf>
    <xf numFmtId="9" fontId="57" fillId="8" borderId="1" xfId="3" applyFont="1" applyFill="1" applyBorder="1"/>
    <xf numFmtId="0" fontId="58" fillId="2" borderId="1" xfId="2" applyFont="1" applyFill="1" applyBorder="1" applyAlignment="1">
      <alignment wrapText="1"/>
    </xf>
    <xf numFmtId="0" fontId="58" fillId="0" borderId="5" xfId="2" applyFont="1" applyFill="1" applyBorder="1"/>
    <xf numFmtId="166" fontId="57" fillId="0" borderId="5" xfId="5" applyFont="1" applyFill="1" applyBorder="1" applyAlignment="1">
      <alignment horizontal="center"/>
    </xf>
    <xf numFmtId="0" fontId="58" fillId="0" borderId="14" xfId="2" applyFont="1" applyFill="1" applyBorder="1"/>
    <xf numFmtId="167" fontId="58" fillId="0" borderId="1" xfId="2" applyNumberFormat="1" applyFont="1" applyFill="1" applyBorder="1" applyAlignment="1">
      <alignment horizontal="left" vertical="top"/>
    </xf>
    <xf numFmtId="167" fontId="58" fillId="0" borderId="1" xfId="2" applyNumberFormat="1" applyFont="1" applyFill="1" applyBorder="1" applyAlignment="1">
      <alignment vertical="top"/>
    </xf>
    <xf numFmtId="0" fontId="5" fillId="0" borderId="1" xfId="2" applyFont="1" applyFill="1" applyBorder="1" applyAlignment="1">
      <alignment horizontal="left" vertical="top" wrapText="1"/>
    </xf>
    <xf numFmtId="0" fontId="5" fillId="0" borderId="1" xfId="2" applyFont="1" applyBorder="1" applyAlignment="1">
      <alignment horizontal="right" vertical="top" wrapText="1"/>
    </xf>
    <xf numFmtId="166" fontId="5" fillId="0" borderId="1" xfId="5" applyFont="1" applyBorder="1" applyAlignment="1">
      <alignment vertical="top" wrapText="1"/>
    </xf>
    <xf numFmtId="168" fontId="5" fillId="0" borderId="1" xfId="5" applyNumberFormat="1" applyFont="1" applyBorder="1" applyAlignment="1">
      <alignment horizontal="right" vertical="top" wrapText="1"/>
    </xf>
    <xf numFmtId="167" fontId="58" fillId="0" borderId="1" xfId="2" applyNumberFormat="1" applyFont="1" applyFill="1" applyBorder="1" applyAlignment="1"/>
    <xf numFmtId="9" fontId="57" fillId="8" borderId="1" xfId="6" applyFont="1" applyFill="1" applyBorder="1"/>
    <xf numFmtId="0" fontId="5" fillId="0" borderId="1" xfId="2" applyFont="1" applyFill="1" applyBorder="1" applyAlignment="1">
      <alignment vertical="top" wrapText="1"/>
    </xf>
    <xf numFmtId="0" fontId="5" fillId="4" borderId="1" xfId="2" applyFont="1" applyFill="1" applyBorder="1" applyAlignment="1">
      <alignment vertical="top" wrapText="1"/>
    </xf>
    <xf numFmtId="171" fontId="5" fillId="4" borderId="1" xfId="5" applyNumberFormat="1" applyFont="1" applyFill="1" applyBorder="1" applyAlignment="1">
      <alignment vertical="top" wrapText="1"/>
    </xf>
    <xf numFmtId="168" fontId="5" fillId="4" borderId="1" xfId="5" applyNumberFormat="1" applyFont="1" applyFill="1" applyBorder="1" applyAlignment="1">
      <alignment vertical="top" wrapText="1"/>
    </xf>
    <xf numFmtId="166" fontId="58" fillId="11" borderId="4" xfId="5" applyFont="1" applyFill="1" applyBorder="1" applyAlignment="1"/>
    <xf numFmtId="0" fontId="58" fillId="0" borderId="12" xfId="7" applyFont="1" applyFill="1" applyBorder="1"/>
    <xf numFmtId="0" fontId="58" fillId="0" borderId="15" xfId="7" applyFont="1" applyFill="1" applyBorder="1"/>
    <xf numFmtId="0" fontId="58" fillId="0" borderId="8" xfId="7" applyFont="1" applyFill="1" applyBorder="1"/>
    <xf numFmtId="166" fontId="57" fillId="0" borderId="8" xfId="5" applyFont="1" applyFill="1" applyBorder="1" applyAlignment="1">
      <alignment horizontal="center"/>
    </xf>
    <xf numFmtId="0" fontId="58" fillId="0" borderId="11" xfId="7" applyFont="1" applyFill="1" applyBorder="1"/>
    <xf numFmtId="171" fontId="58" fillId="14" borderId="1" xfId="5" applyNumberFormat="1" applyFont="1" applyFill="1" applyBorder="1" applyAlignment="1">
      <alignment vertical="top"/>
    </xf>
    <xf numFmtId="168" fontId="58" fillId="14" borderId="1" xfId="5" applyNumberFormat="1" applyFont="1" applyFill="1" applyBorder="1" applyAlignment="1">
      <alignment vertical="top"/>
    </xf>
    <xf numFmtId="0" fontId="58" fillId="0" borderId="9" xfId="2" applyFont="1" applyFill="1" applyBorder="1" applyAlignment="1">
      <alignment horizontal="justify" vertical="center" wrapText="1"/>
    </xf>
    <xf numFmtId="171" fontId="59" fillId="8" borderId="1" xfId="5" applyNumberFormat="1" applyFont="1" applyFill="1" applyBorder="1" applyAlignment="1">
      <alignment horizontal="right" vertical="top"/>
    </xf>
    <xf numFmtId="171" fontId="57" fillId="8" borderId="4" xfId="5" applyNumberFormat="1" applyFont="1" applyFill="1" applyBorder="1" applyAlignment="1"/>
    <xf numFmtId="9" fontId="57" fillId="8" borderId="11" xfId="6" applyFont="1" applyFill="1" applyBorder="1"/>
    <xf numFmtId="0" fontId="57" fillId="8" borderId="3" xfId="2" applyFont="1" applyFill="1" applyBorder="1"/>
    <xf numFmtId="166" fontId="58" fillId="11" borderId="4" xfId="5" applyFont="1" applyFill="1" applyBorder="1" applyAlignment="1">
      <alignment vertical="center"/>
    </xf>
    <xf numFmtId="166" fontId="58" fillId="14" borderId="4" xfId="5" applyFont="1" applyFill="1" applyBorder="1" applyAlignment="1">
      <alignment vertical="center"/>
    </xf>
    <xf numFmtId="171" fontId="59" fillId="8" borderId="1" xfId="5" applyNumberFormat="1" applyFont="1" applyFill="1" applyBorder="1" applyAlignment="1">
      <alignment vertical="top"/>
    </xf>
    <xf numFmtId="171" fontId="57" fillId="0" borderId="3" xfId="5" applyNumberFormat="1" applyFont="1" applyFill="1" applyBorder="1" applyAlignment="1">
      <alignment vertical="center"/>
    </xf>
    <xf numFmtId="171" fontId="57" fillId="0" borderId="2" xfId="5" applyNumberFormat="1" applyFont="1" applyFill="1" applyBorder="1" applyAlignment="1">
      <alignment vertical="center"/>
    </xf>
    <xf numFmtId="0" fontId="58" fillId="0" borderId="14" xfId="7" applyFont="1" applyFill="1" applyBorder="1"/>
    <xf numFmtId="166" fontId="57" fillId="0" borderId="14" xfId="5" applyFont="1" applyFill="1" applyBorder="1" applyAlignment="1">
      <alignment horizontal="center"/>
    </xf>
    <xf numFmtId="0" fontId="5" fillId="4" borderId="11" xfId="2" applyFont="1" applyFill="1" applyBorder="1" applyAlignment="1">
      <alignment horizontal="left" vertical="center" wrapText="1"/>
    </xf>
    <xf numFmtId="0" fontId="5" fillId="4" borderId="11" xfId="2" applyFont="1" applyFill="1" applyBorder="1" applyAlignment="1">
      <alignment horizontal="right" vertical="center" wrapText="1"/>
    </xf>
    <xf numFmtId="171" fontId="5" fillId="4" borderId="11" xfId="5" applyNumberFormat="1" applyFont="1" applyFill="1" applyBorder="1" applyAlignment="1">
      <alignment horizontal="right" vertical="center" wrapText="1"/>
    </xf>
    <xf numFmtId="168" fontId="5" fillId="4" borderId="11" xfId="5" applyNumberFormat="1" applyFont="1" applyFill="1" applyBorder="1" applyAlignment="1">
      <alignment horizontal="right" vertical="center" wrapText="1"/>
    </xf>
    <xf numFmtId="166" fontId="58" fillId="11" borderId="8" xfId="5" applyFont="1" applyFill="1" applyBorder="1" applyAlignment="1">
      <alignment horizontal="right" vertical="center"/>
    </xf>
    <xf numFmtId="0" fontId="5" fillId="4" borderId="1" xfId="2" applyFont="1" applyFill="1" applyBorder="1" applyAlignment="1">
      <alignment horizontal="left" vertical="top" wrapText="1"/>
    </xf>
    <xf numFmtId="166" fontId="58" fillId="14" borderId="8" xfId="5" applyFont="1" applyFill="1" applyBorder="1" applyAlignment="1">
      <alignment horizontal="right" vertical="center"/>
    </xf>
    <xf numFmtId="0" fontId="58" fillId="8" borderId="1" xfId="2" applyFont="1" applyFill="1" applyBorder="1" applyAlignment="1">
      <alignment horizontal="left" vertical="center"/>
    </xf>
    <xf numFmtId="168" fontId="57" fillId="8" borderId="4" xfId="5" applyNumberFormat="1" applyFont="1" applyFill="1" applyBorder="1" applyAlignment="1"/>
    <xf numFmtId="0" fontId="58" fillId="0" borderId="5" xfId="7" applyFont="1" applyFill="1" applyBorder="1"/>
    <xf numFmtId="0" fontId="5" fillId="4" borderId="1" xfId="2" applyFont="1" applyFill="1" applyBorder="1" applyAlignment="1">
      <alignment horizontal="left" vertical="center" wrapText="1"/>
    </xf>
    <xf numFmtId="0" fontId="5" fillId="4" borderId="11" xfId="2" applyFont="1" applyFill="1" applyBorder="1" applyAlignment="1">
      <alignment horizontal="right" vertical="top" wrapText="1"/>
    </xf>
    <xf numFmtId="171" fontId="5" fillId="4" borderId="11" xfId="5" applyNumberFormat="1" applyFont="1" applyFill="1" applyBorder="1" applyAlignment="1">
      <alignment horizontal="right" vertical="top" wrapText="1"/>
    </xf>
    <xf numFmtId="168" fontId="5" fillId="4" borderId="11" xfId="5" applyNumberFormat="1" applyFont="1" applyFill="1" applyBorder="1" applyAlignment="1">
      <alignment horizontal="right" vertical="top" wrapText="1"/>
    </xf>
    <xf numFmtId="166" fontId="58" fillId="11" borderId="8" xfId="5" applyFont="1" applyFill="1" applyBorder="1" applyAlignment="1">
      <alignment horizontal="right" vertical="top"/>
    </xf>
    <xf numFmtId="0" fontId="5" fillId="0" borderId="11" xfId="2" applyFont="1" applyFill="1" applyBorder="1" applyAlignment="1">
      <alignment vertical="top" wrapText="1"/>
    </xf>
    <xf numFmtId="0" fontId="5" fillId="0" borderId="11" xfId="2" applyFont="1" applyBorder="1" applyAlignment="1">
      <alignment vertical="top" wrapText="1"/>
    </xf>
    <xf numFmtId="171" fontId="5" fillId="0" borderId="11" xfId="5" applyNumberFormat="1" applyFont="1" applyBorder="1" applyAlignment="1">
      <alignment vertical="top" wrapText="1"/>
    </xf>
    <xf numFmtId="168" fontId="5" fillId="0" borderId="11" xfId="5" applyNumberFormat="1" applyFont="1" applyBorder="1" applyAlignment="1">
      <alignment vertical="top" wrapText="1"/>
    </xf>
    <xf numFmtId="166" fontId="5" fillId="0" borderId="11" xfId="5" applyFont="1" applyFill="1" applyBorder="1"/>
    <xf numFmtId="0" fontId="5" fillId="0" borderId="1" xfId="2" applyFont="1" applyBorder="1" applyAlignment="1">
      <alignment vertical="top" wrapText="1"/>
    </xf>
    <xf numFmtId="171" fontId="5" fillId="0" borderId="1" xfId="5" applyNumberFormat="1" applyFont="1" applyBorder="1" applyAlignment="1">
      <alignment vertical="top" wrapText="1"/>
    </xf>
    <xf numFmtId="168" fontId="5" fillId="0" borderId="1" xfId="5" applyNumberFormat="1" applyFont="1" applyBorder="1" applyAlignment="1">
      <alignment vertical="top" wrapText="1"/>
    </xf>
    <xf numFmtId="166" fontId="5" fillId="0" borderId="1" xfId="5" applyFont="1" applyFill="1" applyBorder="1"/>
    <xf numFmtId="0" fontId="5" fillId="0" borderId="1" xfId="2" applyFont="1" applyBorder="1" applyAlignment="1">
      <alignment wrapText="1"/>
    </xf>
    <xf numFmtId="171" fontId="5" fillId="0" borderId="1" xfId="5" applyNumberFormat="1" applyFont="1" applyBorder="1" applyAlignment="1">
      <alignment wrapText="1"/>
    </xf>
    <xf numFmtId="168" fontId="5" fillId="0" borderId="1" xfId="5" applyNumberFormat="1" applyFont="1" applyBorder="1" applyAlignment="1">
      <alignment wrapText="1"/>
    </xf>
    <xf numFmtId="0" fontId="57" fillId="11" borderId="11" xfId="2" applyFont="1" applyFill="1" applyBorder="1" applyAlignment="1">
      <alignment vertical="center"/>
    </xf>
    <xf numFmtId="167" fontId="59" fillId="8" borderId="1" xfId="2" applyNumberFormat="1" applyFont="1" applyFill="1" applyBorder="1" applyAlignment="1">
      <alignment vertical="top"/>
    </xf>
    <xf numFmtId="0" fontId="57" fillId="0" borderId="14" xfId="2" applyFont="1" applyFill="1" applyBorder="1" applyAlignment="1">
      <alignment vertical="center"/>
    </xf>
    <xf numFmtId="0" fontId="57" fillId="0" borderId="15" xfId="2" applyFont="1" applyFill="1" applyBorder="1" applyAlignment="1">
      <alignment vertical="center"/>
    </xf>
    <xf numFmtId="166" fontId="58" fillId="0" borderId="0" xfId="5" applyFont="1" applyFill="1" applyBorder="1" applyAlignment="1"/>
    <xf numFmtId="0" fontId="5" fillId="0" borderId="0" xfId="2" applyFont="1"/>
    <xf numFmtId="171" fontId="5" fillId="0" borderId="0" xfId="5" applyNumberFormat="1" applyFont="1"/>
    <xf numFmtId="168" fontId="5" fillId="0" borderId="0" xfId="5" applyNumberFormat="1" applyFont="1"/>
    <xf numFmtId="166" fontId="58" fillId="14" borderId="4" xfId="5" applyFont="1" applyFill="1" applyBorder="1" applyAlignment="1"/>
    <xf numFmtId="171" fontId="57" fillId="41" borderId="3" xfId="5" applyNumberFormat="1" applyFont="1" applyFill="1" applyBorder="1" applyAlignment="1">
      <alignment vertical="center"/>
    </xf>
    <xf numFmtId="171" fontId="57" fillId="41" borderId="2" xfId="5" applyNumberFormat="1" applyFont="1" applyFill="1" applyBorder="1" applyAlignment="1">
      <alignment vertical="center"/>
    </xf>
    <xf numFmtId="0" fontId="5" fillId="41" borderId="1" xfId="2" applyFont="1" applyFill="1" applyBorder="1" applyAlignment="1">
      <alignment horizontal="left" vertical="center" wrapText="1"/>
    </xf>
    <xf numFmtId="0" fontId="5" fillId="41" borderId="1" xfId="2" applyFont="1" applyFill="1" applyBorder="1" applyAlignment="1">
      <alignment horizontal="right" vertical="center" wrapText="1"/>
    </xf>
    <xf numFmtId="171" fontId="5" fillId="41" borderId="1" xfId="5" applyNumberFormat="1" applyFont="1" applyFill="1" applyBorder="1" applyAlignment="1">
      <alignment horizontal="right" vertical="center" wrapText="1"/>
    </xf>
    <xf numFmtId="168" fontId="5" fillId="41" borderId="1" xfId="5" applyNumberFormat="1" applyFont="1" applyFill="1" applyBorder="1" applyAlignment="1">
      <alignment horizontal="right" vertical="center" wrapText="1"/>
    </xf>
    <xf numFmtId="166" fontId="5" fillId="41" borderId="1" xfId="5" applyFont="1" applyFill="1" applyBorder="1" applyAlignment="1">
      <alignment horizontal="right" vertical="center" wrapText="1"/>
    </xf>
    <xf numFmtId="166" fontId="58" fillId="41" borderId="1" xfId="5" applyFont="1" applyFill="1" applyBorder="1"/>
    <xf numFmtId="171" fontId="59" fillId="2" borderId="1" xfId="5" applyNumberFormat="1" applyFont="1" applyFill="1" applyBorder="1" applyAlignment="1">
      <alignment vertical="top"/>
    </xf>
    <xf numFmtId="171" fontId="57" fillId="2" borderId="4" xfId="5" applyNumberFormat="1" applyFont="1" applyFill="1" applyBorder="1" applyAlignment="1">
      <alignment vertical="top"/>
    </xf>
    <xf numFmtId="0" fontId="58" fillId="2" borderId="1" xfId="2" applyFont="1" applyFill="1" applyBorder="1"/>
    <xf numFmtId="0" fontId="57" fillId="13" borderId="4" xfId="2" applyFont="1" applyFill="1" applyBorder="1" applyAlignment="1">
      <alignment vertical="center"/>
    </xf>
    <xf numFmtId="0" fontId="57" fillId="13" borderId="3" xfId="2" applyFont="1" applyFill="1" applyBorder="1" applyAlignment="1">
      <alignment vertical="center"/>
    </xf>
    <xf numFmtId="0" fontId="57" fillId="13" borderId="2" xfId="2" applyFont="1" applyFill="1" applyBorder="1" applyAlignment="1">
      <alignment vertical="center"/>
    </xf>
    <xf numFmtId="0" fontId="5" fillId="0" borderId="1" xfId="2" applyFont="1" applyFill="1" applyBorder="1" applyAlignment="1">
      <alignment horizontal="right" vertical="top" wrapText="1"/>
    </xf>
    <xf numFmtId="171" fontId="5" fillId="0" borderId="1" xfId="5" applyNumberFormat="1" applyFont="1" applyFill="1" applyBorder="1" applyAlignment="1">
      <alignment horizontal="right" vertical="top" wrapText="1"/>
    </xf>
    <xf numFmtId="168" fontId="5" fillId="0" borderId="1" xfId="5" applyNumberFormat="1" applyFont="1" applyFill="1" applyBorder="1" applyAlignment="1">
      <alignment horizontal="right" vertical="top" wrapText="1"/>
    </xf>
    <xf numFmtId="171" fontId="5" fillId="0" borderId="1" xfId="5" applyNumberFormat="1" applyFont="1" applyBorder="1" applyAlignment="1">
      <alignment horizontal="right" vertical="top" wrapText="1"/>
    </xf>
    <xf numFmtId="166" fontId="58" fillId="0" borderId="4" xfId="5" applyFont="1" applyFill="1" applyBorder="1" applyAlignment="1">
      <alignment vertical="top"/>
    </xf>
    <xf numFmtId="0" fontId="5" fillId="0" borderId="1" xfId="2" applyFont="1" applyBorder="1" applyAlignment="1">
      <alignment horizontal="right" wrapText="1"/>
    </xf>
    <xf numFmtId="171" fontId="5" fillId="0" borderId="1" xfId="5" applyNumberFormat="1" applyFont="1" applyBorder="1" applyAlignment="1">
      <alignment horizontal="right" wrapText="1"/>
    </xf>
    <xf numFmtId="168" fontId="5" fillId="0" borderId="1" xfId="5" applyNumberFormat="1" applyFont="1" applyBorder="1" applyAlignment="1">
      <alignment horizontal="right" wrapText="1"/>
    </xf>
    <xf numFmtId="0" fontId="5" fillId="4" borderId="14" xfId="2" applyFont="1" applyFill="1" applyBorder="1" applyAlignment="1">
      <alignment vertical="top" wrapText="1"/>
    </xf>
    <xf numFmtId="0" fontId="5" fillId="4" borderId="14" xfId="2" applyFont="1" applyFill="1" applyBorder="1" applyAlignment="1">
      <alignment horizontal="right" wrapText="1"/>
    </xf>
    <xf numFmtId="171" fontId="5" fillId="4" borderId="14" xfId="5" applyNumberFormat="1" applyFont="1" applyFill="1" applyBorder="1" applyAlignment="1">
      <alignment horizontal="right" wrapText="1"/>
    </xf>
    <xf numFmtId="168" fontId="5" fillId="4" borderId="14" xfId="5" applyNumberFormat="1" applyFont="1" applyFill="1" applyBorder="1" applyAlignment="1">
      <alignment horizontal="right" wrapText="1"/>
    </xf>
    <xf numFmtId="166" fontId="58" fillId="4" borderId="4" xfId="5" applyFont="1" applyFill="1" applyBorder="1" applyAlignment="1"/>
    <xf numFmtId="171" fontId="57" fillId="8" borderId="1" xfId="5" applyNumberFormat="1" applyFont="1" applyFill="1" applyBorder="1" applyAlignment="1">
      <alignment vertical="top"/>
    </xf>
    <xf numFmtId="171" fontId="5" fillId="0" borderId="1" xfId="5" applyNumberFormat="1" applyFont="1" applyFill="1" applyBorder="1" applyAlignment="1">
      <alignment vertical="top" wrapText="1"/>
    </xf>
    <xf numFmtId="168" fontId="5" fillId="0" borderId="1" xfId="5" applyNumberFormat="1" applyFont="1" applyFill="1" applyBorder="1" applyAlignment="1">
      <alignment vertical="top" wrapText="1"/>
    </xf>
    <xf numFmtId="171" fontId="59" fillId="8" borderId="14" xfId="5" applyNumberFormat="1" applyFont="1" applyFill="1" applyBorder="1" applyAlignment="1">
      <alignment vertical="top"/>
    </xf>
    <xf numFmtId="171" fontId="57" fillId="8" borderId="5" xfId="5" applyNumberFormat="1" applyFont="1" applyFill="1" applyBorder="1" applyAlignment="1">
      <alignment vertical="top"/>
    </xf>
    <xf numFmtId="0" fontId="58" fillId="0" borderId="0" xfId="2" applyFont="1" applyFill="1" applyBorder="1" applyAlignment="1">
      <alignment horizontal="justify" wrapText="1"/>
    </xf>
    <xf numFmtId="0" fontId="5" fillId="4" borderId="1" xfId="2" applyFont="1" applyFill="1" applyBorder="1" applyAlignment="1">
      <alignment horizontal="right" wrapText="1"/>
    </xf>
    <xf numFmtId="171" fontId="5" fillId="4" borderId="1" xfId="5" applyNumberFormat="1" applyFont="1" applyFill="1" applyBorder="1" applyAlignment="1">
      <alignment horizontal="right" wrapText="1"/>
    </xf>
    <xf numFmtId="168" fontId="5" fillId="4" borderId="1" xfId="5" applyNumberFormat="1" applyFont="1" applyFill="1" applyBorder="1" applyAlignment="1">
      <alignment horizontal="right" wrapText="1"/>
    </xf>
    <xf numFmtId="171" fontId="57" fillId="8" borderId="4" xfId="5" applyNumberFormat="1" applyFont="1" applyFill="1" applyBorder="1" applyAlignment="1">
      <alignment horizontal="right" vertical="top"/>
    </xf>
    <xf numFmtId="166" fontId="57" fillId="0" borderId="4" xfId="5" applyFont="1" applyFill="1" applyBorder="1" applyAlignment="1">
      <alignment horizontal="center"/>
    </xf>
    <xf numFmtId="0" fontId="58" fillId="0" borderId="3" xfId="2" applyFont="1" applyFill="1" applyBorder="1"/>
    <xf numFmtId="0" fontId="58" fillId="0" borderId="11" xfId="7" applyFont="1" applyFill="1" applyBorder="1" applyAlignment="1">
      <alignment vertical="top"/>
    </xf>
    <xf numFmtId="171" fontId="58" fillId="11" borderId="1" xfId="5" applyNumberFormat="1" applyFont="1" applyFill="1" applyBorder="1" applyAlignment="1">
      <alignment horizontal="center" vertical="center"/>
    </xf>
    <xf numFmtId="168" fontId="58" fillId="11" borderId="1" xfId="5" applyNumberFormat="1" applyFont="1" applyFill="1" applyBorder="1" applyAlignment="1">
      <alignment horizontal="center" vertical="center"/>
    </xf>
    <xf numFmtId="166" fontId="58" fillId="11" borderId="4" xfId="5" applyFont="1" applyFill="1" applyBorder="1" applyAlignment="1">
      <alignment horizontal="center" vertical="center"/>
    </xf>
    <xf numFmtId="166" fontId="57" fillId="0" borderId="4" xfId="5" applyFont="1" applyFill="1" applyBorder="1" applyAlignment="1">
      <alignment horizontal="center" vertical="center"/>
    </xf>
    <xf numFmtId="0" fontId="58" fillId="0" borderId="3" xfId="2" applyFont="1" applyFill="1" applyBorder="1" applyAlignment="1">
      <alignment horizontal="justify" wrapText="1"/>
    </xf>
    <xf numFmtId="9" fontId="57" fillId="8" borderId="15" xfId="6" applyFont="1" applyFill="1" applyBorder="1"/>
    <xf numFmtId="171" fontId="58" fillId="11" borderId="1" xfId="5" applyNumberFormat="1" applyFont="1" applyFill="1" applyBorder="1" applyAlignment="1">
      <alignment vertical="center"/>
    </xf>
    <xf numFmtId="171" fontId="58" fillId="14" borderId="4" xfId="5" applyNumberFormat="1" applyFont="1" applyFill="1" applyBorder="1" applyAlignment="1">
      <alignment vertical="center"/>
    </xf>
    <xf numFmtId="0" fontId="58" fillId="0" borderId="3" xfId="2" applyFont="1" applyFill="1" applyBorder="1" applyAlignment="1">
      <alignment wrapText="1"/>
    </xf>
    <xf numFmtId="0" fontId="57" fillId="9" borderId="4" xfId="2" applyFont="1" applyFill="1" applyBorder="1" applyAlignment="1">
      <alignment vertical="center"/>
    </xf>
    <xf numFmtId="0" fontId="57" fillId="9" borderId="2" xfId="2" applyFont="1" applyFill="1" applyBorder="1" applyAlignment="1">
      <alignment vertical="center"/>
    </xf>
    <xf numFmtId="0" fontId="57" fillId="9" borderId="3" xfId="2" applyFont="1" applyFill="1" applyBorder="1" applyAlignment="1">
      <alignment vertical="center"/>
    </xf>
    <xf numFmtId="169" fontId="57" fillId="9" borderId="4" xfId="2" applyNumberFormat="1" applyFont="1" applyFill="1" applyBorder="1" applyAlignment="1">
      <alignment vertical="center"/>
    </xf>
    <xf numFmtId="170" fontId="59" fillId="9" borderId="4" xfId="2" applyNumberFormat="1" applyFont="1" applyFill="1" applyBorder="1" applyAlignment="1">
      <alignment vertical="center"/>
    </xf>
    <xf numFmtId="9" fontId="58" fillId="9" borderId="1" xfId="6" applyFont="1" applyFill="1" applyBorder="1"/>
    <xf numFmtId="167" fontId="57" fillId="9" borderId="4" xfId="2" applyNumberFormat="1" applyFont="1" applyFill="1" applyBorder="1"/>
    <xf numFmtId="9" fontId="17" fillId="2" borderId="13" xfId="6" applyFont="1" applyFill="1" applyBorder="1"/>
    <xf numFmtId="0" fontId="58" fillId="9" borderId="3" xfId="2" applyFont="1" applyFill="1" applyBorder="1"/>
    <xf numFmtId="0" fontId="58" fillId="22" borderId="1" xfId="2" applyFont="1" applyFill="1" applyBorder="1"/>
    <xf numFmtId="0" fontId="57" fillId="25" borderId="4" xfId="2" applyFont="1" applyFill="1" applyBorder="1" applyAlignment="1">
      <alignment vertical="center"/>
    </xf>
    <xf numFmtId="0" fontId="57" fillId="25" borderId="3" xfId="2" applyFont="1" applyFill="1" applyBorder="1" applyAlignment="1">
      <alignment vertical="center"/>
    </xf>
    <xf numFmtId="0" fontId="57" fillId="25" borderId="2" xfId="2" applyFont="1" applyFill="1" applyBorder="1" applyAlignment="1">
      <alignment vertical="center"/>
    </xf>
    <xf numFmtId="170" fontId="58" fillId="0" borderId="1" xfId="2" applyNumberFormat="1" applyFont="1" applyFill="1" applyBorder="1"/>
    <xf numFmtId="9" fontId="17" fillId="2" borderId="1" xfId="6" applyFont="1" applyFill="1" applyBorder="1"/>
    <xf numFmtId="166" fontId="57" fillId="0" borderId="1" xfId="5" applyFont="1" applyFill="1" applyBorder="1" applyAlignment="1">
      <alignment horizontal="center"/>
    </xf>
    <xf numFmtId="43" fontId="58" fillId="0" borderId="1" xfId="2" applyNumberFormat="1" applyFont="1" applyFill="1" applyBorder="1"/>
    <xf numFmtId="0" fontId="58" fillId="0" borderId="11" xfId="2" applyFont="1" applyFill="1" applyBorder="1" applyAlignment="1">
      <alignment vertical="top"/>
    </xf>
    <xf numFmtId="0" fontId="58" fillId="0" borderId="11" xfId="2" applyFont="1" applyFill="1" applyBorder="1" applyAlignment="1">
      <alignment horizontal="center" vertical="center"/>
    </xf>
    <xf numFmtId="167" fontId="58" fillId="0" borderId="1" xfId="2" applyNumberFormat="1" applyFont="1" applyFill="1" applyBorder="1" applyAlignment="1">
      <alignment horizontal="left" vertical="center"/>
    </xf>
    <xf numFmtId="168" fontId="58" fillId="0" borderId="1" xfId="5" applyNumberFormat="1" applyFont="1" applyFill="1" applyBorder="1" applyAlignment="1">
      <alignment horizontal="left" vertical="center"/>
    </xf>
    <xf numFmtId="166" fontId="58" fillId="0" borderId="4" xfId="5" applyFont="1" applyFill="1" applyBorder="1" applyAlignment="1">
      <alignment vertical="center"/>
    </xf>
    <xf numFmtId="0" fontId="58" fillId="0" borderId="1" xfId="2" applyFont="1" applyFill="1" applyBorder="1" applyAlignment="1">
      <alignment vertical="center"/>
    </xf>
    <xf numFmtId="0" fontId="58" fillId="0" borderId="4" xfId="2" applyFont="1" applyFill="1" applyBorder="1" applyAlignment="1">
      <alignment vertical="center"/>
    </xf>
    <xf numFmtId="0" fontId="58" fillId="0" borderId="5" xfId="2" applyFont="1" applyFill="1" applyBorder="1" applyAlignment="1">
      <alignment vertical="center"/>
    </xf>
    <xf numFmtId="166" fontId="57" fillId="0" borderId="5" xfId="5" applyFont="1" applyFill="1" applyBorder="1" applyAlignment="1">
      <alignment horizontal="center" vertical="center"/>
    </xf>
    <xf numFmtId="0" fontId="58" fillId="0" borderId="14" xfId="2" applyFont="1" applyFill="1" applyBorder="1" applyAlignment="1">
      <alignment vertical="center"/>
    </xf>
    <xf numFmtId="0" fontId="57" fillId="0" borderId="11" xfId="2" applyFont="1" applyFill="1" applyBorder="1" applyAlignment="1">
      <alignment vertical="center"/>
    </xf>
    <xf numFmtId="0" fontId="59" fillId="8" borderId="4" xfId="2" applyFont="1" applyFill="1" applyBorder="1" applyAlignment="1">
      <alignment vertical="top"/>
    </xf>
    <xf numFmtId="0" fontId="59" fillId="8" borderId="3" xfId="2" applyFont="1" applyFill="1" applyBorder="1" applyAlignment="1">
      <alignment vertical="top"/>
    </xf>
    <xf numFmtId="0" fontId="59" fillId="8" borderId="2" xfId="2" applyFont="1" applyFill="1" applyBorder="1" applyAlignment="1">
      <alignment vertical="top"/>
    </xf>
    <xf numFmtId="39" fontId="57" fillId="8" borderId="4" xfId="5" applyNumberFormat="1" applyFont="1" applyFill="1" applyBorder="1" applyAlignment="1"/>
    <xf numFmtId="0" fontId="57" fillId="0" borderId="8" xfId="2" applyFont="1" applyFill="1" applyBorder="1" applyAlignment="1">
      <alignment vertical="center"/>
    </xf>
    <xf numFmtId="0" fontId="92" fillId="8" borderId="3" xfId="2" applyFont="1" applyFill="1" applyBorder="1" applyAlignment="1">
      <alignment vertical="top"/>
    </xf>
    <xf numFmtId="39" fontId="57" fillId="8" borderId="3" xfId="5" applyNumberFormat="1" applyFont="1" applyFill="1" applyBorder="1" applyAlignment="1"/>
    <xf numFmtId="166" fontId="57" fillId="2" borderId="1" xfId="5" applyFont="1" applyFill="1" applyBorder="1" applyAlignment="1">
      <alignment horizontal="center"/>
    </xf>
    <xf numFmtId="0" fontId="58" fillId="0" borderId="9" xfId="2" applyFont="1" applyFill="1" applyBorder="1" applyAlignment="1">
      <alignment horizontal="left" vertical="center" wrapText="1"/>
    </xf>
    <xf numFmtId="0" fontId="18" fillId="23" borderId="0" xfId="2" applyFont="1" applyFill="1" applyBorder="1"/>
    <xf numFmtId="0" fontId="14" fillId="50" borderId="1" xfId="0" applyFont="1" applyFill="1" applyBorder="1"/>
    <xf numFmtId="171" fontId="78" fillId="2" borderId="1" xfId="1" applyNumberFormat="1" applyFont="1" applyFill="1" applyBorder="1" applyAlignment="1">
      <alignment horizontal="left" vertical="center" wrapText="1"/>
    </xf>
    <xf numFmtId="0" fontId="58" fillId="23" borderId="1" xfId="2" applyFont="1" applyFill="1" applyBorder="1" applyAlignment="1">
      <alignment vertical="center"/>
    </xf>
    <xf numFmtId="0" fontId="58" fillId="23" borderId="11" xfId="2" applyFont="1" applyFill="1" applyBorder="1" applyAlignment="1">
      <alignment vertical="center"/>
    </xf>
    <xf numFmtId="0" fontId="58" fillId="13" borderId="11" xfId="2" applyFont="1" applyFill="1" applyBorder="1" applyAlignment="1">
      <alignment horizontal="left" vertical="center"/>
    </xf>
    <xf numFmtId="0" fontId="18" fillId="13" borderId="1" xfId="2" applyFont="1" applyFill="1" applyBorder="1" applyAlignment="1">
      <alignment horizontal="right" vertical="center"/>
    </xf>
    <xf numFmtId="166" fontId="18" fillId="13" borderId="1" xfId="5" applyFont="1" applyFill="1" applyBorder="1" applyAlignment="1">
      <alignment horizontal="right" vertical="center"/>
    </xf>
    <xf numFmtId="166" fontId="18" fillId="13" borderId="4" xfId="5" applyFont="1" applyFill="1" applyBorder="1" applyAlignment="1">
      <alignment horizontal="right" vertical="center"/>
    </xf>
    <xf numFmtId="0" fontId="58" fillId="23" borderId="1" xfId="2" applyFont="1" applyFill="1" applyBorder="1"/>
    <xf numFmtId="0" fontId="58" fillId="23" borderId="4" xfId="2" applyFont="1" applyFill="1" applyBorder="1"/>
    <xf numFmtId="166" fontId="91" fillId="23" borderId="1" xfId="5" applyFont="1" applyFill="1" applyBorder="1" applyAlignment="1">
      <alignment horizontal="center"/>
    </xf>
    <xf numFmtId="9" fontId="58" fillId="23" borderId="3" xfId="3" applyFont="1" applyFill="1" applyBorder="1"/>
    <xf numFmtId="0" fontId="58" fillId="23" borderId="3" xfId="2" applyFont="1" applyFill="1" applyBorder="1"/>
    <xf numFmtId="0" fontId="58" fillId="23" borderId="0" xfId="2" applyFont="1" applyFill="1" applyBorder="1"/>
    <xf numFmtId="0" fontId="58" fillId="0" borderId="1" xfId="2" applyFont="1" applyFill="1" applyBorder="1" applyAlignment="1">
      <alignment horizontal="left" vertical="center"/>
    </xf>
    <xf numFmtId="0" fontId="58" fillId="11" borderId="11" xfId="2" applyFont="1" applyFill="1" applyBorder="1" applyAlignment="1">
      <alignment vertical="center"/>
    </xf>
    <xf numFmtId="0" fontId="18" fillId="14" borderId="1" xfId="2" applyFont="1" applyFill="1" applyBorder="1" applyAlignment="1">
      <alignment horizontal="right" vertical="center"/>
    </xf>
    <xf numFmtId="166" fontId="18" fillId="14" borderId="1" xfId="5" applyFont="1" applyFill="1" applyBorder="1" applyAlignment="1">
      <alignment horizontal="right" vertical="center"/>
    </xf>
    <xf numFmtId="0" fontId="18" fillId="11" borderId="1" xfId="2" applyFont="1" applyFill="1" applyBorder="1" applyAlignment="1">
      <alignment horizontal="right" vertical="center"/>
    </xf>
    <xf numFmtId="166" fontId="18" fillId="10" borderId="4" xfId="5" applyFont="1" applyFill="1" applyBorder="1" applyAlignment="1">
      <alignment horizontal="right" vertical="center"/>
    </xf>
    <xf numFmtId="166" fontId="91" fillId="4" borderId="1" xfId="5" applyFont="1" applyFill="1" applyBorder="1" applyAlignment="1">
      <alignment horizontal="center"/>
    </xf>
    <xf numFmtId="0" fontId="58" fillId="11" borderId="11" xfId="2" applyFont="1" applyFill="1" applyBorder="1" applyAlignment="1">
      <alignment horizontal="left" vertical="center"/>
    </xf>
    <xf numFmtId="166" fontId="18" fillId="11" borderId="1" xfId="5" applyFont="1" applyFill="1" applyBorder="1" applyAlignment="1">
      <alignment horizontal="right" vertical="center"/>
    </xf>
    <xf numFmtId="166" fontId="18" fillId="11" borderId="4" xfId="5" applyFont="1" applyFill="1" applyBorder="1" applyAlignment="1">
      <alignment horizontal="right" vertical="center"/>
    </xf>
    <xf numFmtId="0" fontId="18" fillId="37" borderId="1" xfId="2" applyFont="1" applyFill="1" applyBorder="1" applyAlignment="1">
      <alignment horizontal="right" vertical="center"/>
    </xf>
    <xf numFmtId="166" fontId="18" fillId="10" borderId="1" xfId="5" applyFont="1" applyFill="1" applyBorder="1" applyAlignment="1">
      <alignment horizontal="right" vertical="center"/>
    </xf>
    <xf numFmtId="0" fontId="3" fillId="2" borderId="20" xfId="0" applyFont="1" applyFill="1" applyBorder="1"/>
    <xf numFmtId="0" fontId="17" fillId="8" borderId="1" xfId="2" applyFont="1" applyFill="1" applyBorder="1" applyAlignment="1">
      <alignment horizontal="left" vertical="center"/>
    </xf>
    <xf numFmtId="0" fontId="17" fillId="8" borderId="1" xfId="2" applyFont="1" applyFill="1" applyBorder="1" applyAlignment="1">
      <alignment vertical="top"/>
    </xf>
    <xf numFmtId="0" fontId="21" fillId="8" borderId="1" xfId="2" applyFont="1" applyFill="1" applyBorder="1" applyAlignment="1">
      <alignment horizontal="right" vertical="center"/>
    </xf>
    <xf numFmtId="39" fontId="57" fillId="8" borderId="4" xfId="5" applyNumberFormat="1" applyFont="1" applyFill="1" applyBorder="1" applyAlignment="1">
      <alignment horizontal="right"/>
    </xf>
    <xf numFmtId="166" fontId="91" fillId="2" borderId="4" xfId="5" applyFont="1" applyFill="1" applyBorder="1" applyAlignment="1">
      <alignment horizontal="center"/>
    </xf>
    <xf numFmtId="0" fontId="58" fillId="0" borderId="1" xfId="2" applyFont="1" applyFill="1" applyBorder="1" applyAlignment="1">
      <alignment horizontal="left" vertical="center" wrapText="1"/>
    </xf>
    <xf numFmtId="166" fontId="18" fillId="37" borderId="1" xfId="5" applyFont="1" applyFill="1" applyBorder="1" applyAlignment="1">
      <alignment horizontal="right" vertical="center"/>
    </xf>
    <xf numFmtId="0" fontId="58" fillId="0" borderId="11" xfId="2" applyFont="1" applyFill="1" applyBorder="1" applyAlignment="1">
      <alignment vertical="center"/>
    </xf>
    <xf numFmtId="0" fontId="85" fillId="49" borderId="20" xfId="0" applyFont="1" applyFill="1" applyBorder="1"/>
    <xf numFmtId="0" fontId="17" fillId="8" borderId="4" xfId="2" applyFont="1" applyFill="1" applyBorder="1" applyAlignment="1">
      <alignment vertical="center"/>
    </xf>
    <xf numFmtId="0" fontId="17" fillId="8" borderId="3" xfId="2" applyFont="1" applyFill="1" applyBorder="1" applyAlignment="1">
      <alignment vertical="center"/>
    </xf>
    <xf numFmtId="0" fontId="17" fillId="8" borderId="2" xfId="2" applyFont="1" applyFill="1" applyBorder="1" applyAlignment="1">
      <alignment vertical="center"/>
    </xf>
    <xf numFmtId="166" fontId="17" fillId="8" borderId="4" xfId="5" applyFont="1" applyFill="1" applyBorder="1" applyAlignment="1">
      <alignment horizontal="right" vertical="center"/>
    </xf>
    <xf numFmtId="166" fontId="57" fillId="2" borderId="4" xfId="5" applyFont="1" applyFill="1" applyBorder="1" applyAlignment="1">
      <alignment horizontal="center"/>
    </xf>
    <xf numFmtId="167" fontId="91" fillId="8" borderId="4" xfId="2" applyNumberFormat="1" applyFont="1" applyFill="1" applyBorder="1"/>
    <xf numFmtId="0" fontId="58" fillId="9" borderId="1" xfId="2" applyFont="1" applyFill="1" applyBorder="1" applyAlignment="1">
      <alignment vertical="top"/>
    </xf>
    <xf numFmtId="0" fontId="58" fillId="9" borderId="1" xfId="2" applyFont="1" applyFill="1" applyBorder="1" applyAlignment="1">
      <alignment horizontal="center" vertical="center"/>
    </xf>
    <xf numFmtId="0" fontId="58" fillId="9" borderId="1" xfId="2" applyFont="1" applyFill="1" applyBorder="1" applyAlignment="1">
      <alignment vertical="center"/>
    </xf>
    <xf numFmtId="171" fontId="58" fillId="9" borderId="1" xfId="5" applyNumberFormat="1" applyFont="1" applyFill="1" applyBorder="1" applyAlignment="1">
      <alignment vertical="center"/>
    </xf>
    <xf numFmtId="0" fontId="58" fillId="9" borderId="1" xfId="2" applyFont="1" applyFill="1" applyBorder="1" applyAlignment="1">
      <alignment horizontal="right" vertical="center"/>
    </xf>
    <xf numFmtId="172" fontId="57" fillId="9" borderId="4" xfId="2" applyNumberFormat="1" applyFont="1" applyFill="1" applyBorder="1" applyAlignment="1">
      <alignment horizontal="right" vertical="center"/>
    </xf>
    <xf numFmtId="0" fontId="58" fillId="22" borderId="4" xfId="2" applyFont="1" applyFill="1" applyBorder="1"/>
    <xf numFmtId="9" fontId="57" fillId="2" borderId="1" xfId="6" applyFont="1" applyFill="1" applyBorder="1" applyAlignment="1">
      <alignment horizontal="right"/>
    </xf>
    <xf numFmtId="172" fontId="58" fillId="0" borderId="1" xfId="2" applyNumberFormat="1" applyFont="1" applyFill="1" applyBorder="1"/>
    <xf numFmtId="171" fontId="58" fillId="0" borderId="1" xfId="5" applyNumberFormat="1" applyFont="1" applyFill="1" applyBorder="1" applyAlignment="1">
      <alignment vertical="center"/>
    </xf>
    <xf numFmtId="171" fontId="58" fillId="0" borderId="1" xfId="5" applyNumberFormat="1" applyFont="1" applyFill="1" applyBorder="1" applyAlignment="1">
      <alignment horizontal="right" vertical="center"/>
    </xf>
    <xf numFmtId="171" fontId="58" fillId="0" borderId="4" xfId="5" applyNumberFormat="1" applyFont="1" applyFill="1" applyBorder="1" applyAlignment="1">
      <alignment vertical="center"/>
    </xf>
    <xf numFmtId="166" fontId="58" fillId="0" borderId="4" xfId="15" applyFont="1" applyFill="1" applyBorder="1"/>
    <xf numFmtId="166" fontId="58" fillId="0" borderId="1" xfId="15" applyFont="1" applyFill="1" applyBorder="1"/>
    <xf numFmtId="0" fontId="57" fillId="8" borderId="4" xfId="2" applyFont="1" applyFill="1" applyBorder="1" applyAlignment="1">
      <alignment vertical="center"/>
    </xf>
    <xf numFmtId="0" fontId="57" fillId="8" borderId="3" xfId="2" applyFont="1" applyFill="1" applyBorder="1" applyAlignment="1">
      <alignment vertical="center"/>
    </xf>
    <xf numFmtId="0" fontId="57" fillId="8" borderId="2" xfId="2" applyFont="1" applyFill="1" applyBorder="1" applyAlignment="1">
      <alignment vertical="center"/>
    </xf>
    <xf numFmtId="166" fontId="14" fillId="8" borderId="4" xfId="5" applyFont="1" applyFill="1" applyBorder="1" applyAlignment="1">
      <alignment horizontal="right" vertical="center"/>
    </xf>
    <xf numFmtId="0" fontId="57" fillId="0" borderId="14" xfId="2" applyFont="1" applyFill="1" applyBorder="1" applyAlignment="1">
      <alignment vertical="center" wrapText="1"/>
    </xf>
    <xf numFmtId="0" fontId="57" fillId="0" borderId="15" xfId="2" applyFont="1" applyFill="1" applyBorder="1" applyAlignment="1">
      <alignment vertical="center" wrapText="1"/>
    </xf>
    <xf numFmtId="0" fontId="58" fillId="0" borderId="11" xfId="2" applyFont="1" applyFill="1" applyBorder="1" applyAlignment="1">
      <alignment horizontal="left" vertical="center"/>
    </xf>
    <xf numFmtId="0" fontId="58" fillId="11" borderId="1" xfId="2" applyFont="1" applyFill="1" applyBorder="1" applyAlignment="1">
      <alignment horizontal="right" vertical="center"/>
    </xf>
    <xf numFmtId="0" fontId="58" fillId="11" borderId="1" xfId="2" applyFont="1" applyFill="1" applyBorder="1" applyAlignment="1">
      <alignment vertical="center"/>
    </xf>
    <xf numFmtId="37" fontId="58" fillId="11" borderId="4" xfId="5" applyNumberFormat="1" applyFont="1" applyFill="1" applyBorder="1" applyAlignment="1">
      <alignment vertical="center"/>
    </xf>
    <xf numFmtId="0" fontId="57" fillId="0" borderId="4" xfId="2" applyFont="1" applyFill="1" applyBorder="1" applyAlignment="1">
      <alignment vertical="center" wrapText="1"/>
    </xf>
    <xf numFmtId="0" fontId="58" fillId="0" borderId="3" xfId="2" applyFont="1" applyFill="1" applyBorder="1" applyAlignment="1">
      <alignment vertical="center"/>
    </xf>
    <xf numFmtId="0" fontId="57" fillId="4" borderId="3" xfId="2" applyFont="1" applyFill="1" applyBorder="1" applyAlignment="1">
      <alignment vertical="center"/>
    </xf>
    <xf numFmtId="166" fontId="58" fillId="11" borderId="1" xfId="5" applyFont="1" applyFill="1" applyBorder="1" applyAlignment="1">
      <alignment vertical="center"/>
    </xf>
    <xf numFmtId="0" fontId="57" fillId="0" borderId="7" xfId="2" applyFont="1" applyFill="1" applyBorder="1" applyAlignment="1">
      <alignment vertical="center"/>
    </xf>
    <xf numFmtId="0" fontId="57" fillId="0" borderId="13" xfId="2" applyFont="1" applyFill="1" applyBorder="1" applyAlignment="1">
      <alignment vertical="center"/>
    </xf>
    <xf numFmtId="0" fontId="18" fillId="0" borderId="0" xfId="2" applyFont="1" applyFill="1" applyBorder="1" applyAlignment="1"/>
    <xf numFmtId="0" fontId="18" fillId="0" borderId="4" xfId="2" applyFont="1" applyFill="1" applyBorder="1" applyAlignment="1"/>
    <xf numFmtId="37" fontId="58" fillId="11" borderId="4" xfId="5" applyNumberFormat="1" applyFont="1" applyFill="1" applyBorder="1" applyAlignment="1">
      <alignment horizontal="right"/>
    </xf>
    <xf numFmtId="0" fontId="58" fillId="14" borderId="1" xfId="2" applyFont="1" applyFill="1" applyBorder="1" applyAlignment="1">
      <alignment vertical="top"/>
    </xf>
    <xf numFmtId="0" fontId="58" fillId="11" borderId="1" xfId="2" applyFont="1" applyFill="1" applyBorder="1" applyAlignment="1">
      <alignment vertical="top"/>
    </xf>
    <xf numFmtId="0" fontId="58" fillId="14" borderId="1" xfId="2" applyFont="1" applyFill="1" applyBorder="1" applyAlignment="1">
      <alignment horizontal="right" vertical="top"/>
    </xf>
    <xf numFmtId="37" fontId="58" fillId="10" borderId="4" xfId="5" applyNumberFormat="1" applyFont="1" applyFill="1" applyBorder="1" applyAlignment="1">
      <alignment horizontal="right"/>
    </xf>
    <xf numFmtId="0" fontId="17" fillId="0" borderId="1" xfId="2" applyFont="1" applyFill="1" applyBorder="1"/>
    <xf numFmtId="0" fontId="17" fillId="0" borderId="4" xfId="2" applyFont="1" applyFill="1" applyBorder="1"/>
    <xf numFmtId="166" fontId="17" fillId="0" borderId="4" xfId="5" applyFont="1" applyFill="1" applyBorder="1" applyAlignment="1">
      <alignment horizontal="center"/>
    </xf>
    <xf numFmtId="0" fontId="17" fillId="0" borderId="3" xfId="2" applyFont="1" applyFill="1" applyBorder="1"/>
    <xf numFmtId="0" fontId="57" fillId="0" borderId="1" xfId="2" applyFont="1" applyFill="1" applyBorder="1"/>
    <xf numFmtId="0" fontId="57" fillId="0" borderId="0" xfId="2" applyFont="1" applyFill="1" applyBorder="1"/>
    <xf numFmtId="168" fontId="58" fillId="11" borderId="1" xfId="5" applyNumberFormat="1" applyFont="1" applyFill="1" applyBorder="1" applyAlignment="1">
      <alignment vertical="center"/>
    </xf>
    <xf numFmtId="167" fontId="58" fillId="0" borderId="4" xfId="5" applyNumberFormat="1" applyFont="1" applyFill="1" applyBorder="1" applyAlignment="1">
      <alignment horizontal="right"/>
    </xf>
    <xf numFmtId="0" fontId="59" fillId="8" borderId="1" xfId="2" applyFont="1" applyFill="1" applyBorder="1" applyAlignment="1">
      <alignment horizontal="right" vertical="top"/>
    </xf>
    <xf numFmtId="0" fontId="96" fillId="51" borderId="20" xfId="0" applyFont="1" applyFill="1" applyBorder="1"/>
    <xf numFmtId="0" fontId="58" fillId="0" borderId="1" xfId="2" applyFont="1" applyFill="1" applyBorder="1" applyAlignment="1">
      <alignment vertical="top" wrapText="1"/>
    </xf>
    <xf numFmtId="0" fontId="57" fillId="11" borderId="11" xfId="2" applyFont="1" applyFill="1" applyBorder="1" applyAlignment="1">
      <alignment horizontal="right" vertical="center"/>
    </xf>
    <xf numFmtId="167" fontId="58" fillId="11" borderId="1" xfId="2" applyNumberFormat="1" applyFont="1" applyFill="1" applyBorder="1" applyAlignment="1">
      <alignment vertical="center"/>
    </xf>
    <xf numFmtId="167" fontId="58" fillId="11" borderId="4" xfId="5" applyNumberFormat="1" applyFont="1" applyFill="1" applyBorder="1" applyAlignment="1">
      <alignment vertical="center"/>
    </xf>
    <xf numFmtId="166" fontId="91" fillId="0" borderId="4" xfId="5" applyFont="1" applyFill="1" applyBorder="1" applyAlignment="1">
      <alignment horizontal="center"/>
    </xf>
    <xf numFmtId="0" fontId="58" fillId="4" borderId="1" xfId="2" applyFont="1" applyFill="1" applyBorder="1" applyAlignment="1">
      <alignment horizontal="right" vertical="top"/>
    </xf>
    <xf numFmtId="167" fontId="58" fillId="4" borderId="1" xfId="2" applyNumberFormat="1" applyFont="1" applyFill="1" applyBorder="1" applyAlignment="1">
      <alignment horizontal="right" vertical="top"/>
    </xf>
    <xf numFmtId="167" fontId="58" fillId="10" borderId="4" xfId="5" applyNumberFormat="1" applyFont="1" applyFill="1" applyBorder="1" applyAlignment="1">
      <alignment vertical="center"/>
    </xf>
    <xf numFmtId="0" fontId="57" fillId="0" borderId="10" xfId="2" applyFont="1" applyFill="1" applyBorder="1" applyAlignment="1">
      <alignment vertical="center"/>
    </xf>
    <xf numFmtId="0" fontId="58" fillId="8" borderId="1" xfId="2" applyFont="1" applyFill="1" applyBorder="1" applyAlignment="1">
      <alignment horizontal="left" vertical="top"/>
    </xf>
    <xf numFmtId="0" fontId="58" fillId="0" borderId="11" xfId="7" applyFont="1" applyFill="1" applyBorder="1" applyAlignment="1">
      <alignment vertical="center"/>
    </xf>
    <xf numFmtId="166" fontId="18" fillId="0" borderId="4" xfId="5" applyFont="1" applyFill="1" applyBorder="1" applyAlignment="1">
      <alignment horizontal="right" vertical="top"/>
    </xf>
    <xf numFmtId="166" fontId="18" fillId="0" borderId="4" xfId="5" applyFont="1" applyFill="1" applyBorder="1" applyAlignment="1">
      <alignment horizontal="right"/>
    </xf>
    <xf numFmtId="0" fontId="5" fillId="4" borderId="11" xfId="2" applyFont="1" applyFill="1" applyBorder="1" applyAlignment="1">
      <alignment vertical="top" wrapText="1"/>
    </xf>
    <xf numFmtId="171" fontId="18" fillId="4" borderId="4" xfId="5" applyNumberFormat="1" applyFont="1" applyFill="1" applyBorder="1" applyAlignment="1">
      <alignment horizontal="right"/>
    </xf>
    <xf numFmtId="171" fontId="21" fillId="8" borderId="1" xfId="5" applyNumberFormat="1" applyFont="1" applyFill="1" applyBorder="1" applyAlignment="1">
      <alignment horizontal="right" vertical="top" wrapText="1"/>
    </xf>
    <xf numFmtId="171" fontId="57" fillId="0" borderId="3" xfId="5" applyNumberFormat="1" applyFont="1" applyFill="1" applyBorder="1" applyAlignment="1">
      <alignment horizontal="left" vertical="center"/>
    </xf>
    <xf numFmtId="166" fontId="18" fillId="0" borderId="4" xfId="5" applyFont="1" applyFill="1" applyBorder="1" applyAlignment="1">
      <alignment horizontal="right" vertical="center"/>
    </xf>
    <xf numFmtId="39" fontId="18" fillId="0" borderId="1" xfId="15" applyNumberFormat="1" applyFont="1" applyFill="1" applyBorder="1"/>
    <xf numFmtId="0" fontId="58" fillId="8" borderId="1" xfId="2" applyFont="1" applyFill="1" applyBorder="1" applyAlignment="1">
      <alignment vertical="top" wrapText="1"/>
    </xf>
    <xf numFmtId="0" fontId="21" fillId="8" borderId="1" xfId="2" applyFont="1" applyFill="1" applyBorder="1" applyAlignment="1">
      <alignment vertical="top" wrapText="1"/>
    </xf>
    <xf numFmtId="0" fontId="21" fillId="8" borderId="1" xfId="2" applyFont="1" applyFill="1" applyBorder="1" applyAlignment="1">
      <alignment horizontal="right" vertical="top" wrapText="1"/>
    </xf>
    <xf numFmtId="167" fontId="17" fillId="8" borderId="4" xfId="5" applyNumberFormat="1" applyFont="1" applyFill="1" applyBorder="1" applyAlignment="1">
      <alignment horizontal="right"/>
    </xf>
    <xf numFmtId="171" fontId="57" fillId="0" borderId="3" xfId="5" applyNumberFormat="1" applyFont="1" applyFill="1" applyBorder="1" applyAlignment="1">
      <alignment horizontal="left" vertical="center" wrapText="1"/>
    </xf>
    <xf numFmtId="166" fontId="18" fillId="11" borderId="4" xfId="5" applyFont="1" applyFill="1" applyBorder="1"/>
    <xf numFmtId="171" fontId="17" fillId="8" borderId="4" xfId="5" applyNumberFormat="1" applyFont="1" applyFill="1" applyBorder="1" applyAlignment="1">
      <alignment horizontal="right"/>
    </xf>
    <xf numFmtId="0" fontId="57" fillId="0" borderId="4" xfId="2" applyFont="1" applyFill="1" applyBorder="1" applyAlignment="1">
      <alignment horizontal="left" vertical="center"/>
    </xf>
    <xf numFmtId="0" fontId="57" fillId="0" borderId="3" xfId="2" applyFont="1" applyFill="1" applyBorder="1" applyAlignment="1">
      <alignment horizontal="left" vertical="center" wrapText="1"/>
    </xf>
    <xf numFmtId="0" fontId="58" fillId="0" borderId="11" xfId="2" applyFont="1" applyFill="1" applyBorder="1" applyAlignment="1">
      <alignment vertical="top" wrapText="1"/>
    </xf>
    <xf numFmtId="0" fontId="58" fillId="11" borderId="11" xfId="2" applyFont="1" applyFill="1" applyBorder="1" applyAlignment="1">
      <alignment horizontal="left" vertical="center" wrapText="1"/>
    </xf>
    <xf numFmtId="0" fontId="58" fillId="0" borderId="1" xfId="2" applyFont="1" applyFill="1" applyBorder="1" applyAlignment="1">
      <alignment horizontal="right" vertical="top" wrapText="1"/>
    </xf>
    <xf numFmtId="167" fontId="58" fillId="4" borderId="1" xfId="2" applyNumberFormat="1" applyFont="1" applyFill="1" applyBorder="1" applyAlignment="1">
      <alignment horizontal="right" vertical="top" wrapText="1"/>
    </xf>
    <xf numFmtId="168" fontId="58" fillId="0" borderId="1" xfId="5" applyNumberFormat="1" applyFont="1" applyFill="1" applyBorder="1" applyAlignment="1">
      <alignment horizontal="right" vertical="top" wrapText="1"/>
    </xf>
    <xf numFmtId="166" fontId="58" fillId="0" borderId="4" xfId="5" applyFont="1" applyFill="1" applyBorder="1" applyAlignment="1">
      <alignment horizontal="right" vertical="top"/>
    </xf>
    <xf numFmtId="0" fontId="56" fillId="0" borderId="12" xfId="2" applyFont="1" applyFill="1" applyBorder="1" applyAlignment="1">
      <alignment horizontal="left" vertical="center" wrapText="1"/>
    </xf>
    <xf numFmtId="0" fontId="58" fillId="14" borderId="9" xfId="7" applyFont="1" applyFill="1" applyBorder="1" applyAlignment="1">
      <alignment vertical="top" wrapText="1"/>
    </xf>
    <xf numFmtId="166" fontId="27" fillId="14" borderId="1" xfId="5" applyFont="1" applyFill="1" applyBorder="1" applyAlignment="1">
      <alignment horizontal="right" vertical="top" wrapText="1"/>
    </xf>
    <xf numFmtId="170" fontId="17" fillId="14" borderId="4" xfId="15" applyNumberFormat="1" applyFont="1" applyFill="1" applyBorder="1" applyAlignment="1">
      <alignment horizontal="right"/>
    </xf>
    <xf numFmtId="0" fontId="57" fillId="14" borderId="1" xfId="2" applyFont="1" applyFill="1" applyBorder="1"/>
    <xf numFmtId="167" fontId="57" fillId="14" borderId="4" xfId="2" applyNumberFormat="1" applyFont="1" applyFill="1" applyBorder="1"/>
    <xf numFmtId="0" fontId="57" fillId="14" borderId="3" xfId="2" applyFont="1" applyFill="1" applyBorder="1"/>
    <xf numFmtId="0" fontId="57" fillId="9" borderId="3" xfId="2" applyFont="1" applyFill="1" applyBorder="1" applyAlignment="1">
      <alignment horizontal="left" vertical="center"/>
    </xf>
    <xf numFmtId="0" fontId="59" fillId="9" borderId="1" xfId="2" applyFont="1" applyFill="1" applyBorder="1" applyAlignment="1">
      <alignment horizontal="left" vertical="top" wrapText="1"/>
    </xf>
    <xf numFmtId="43" fontId="59" fillId="9" borderId="1" xfId="2" applyNumberFormat="1" applyFont="1" applyFill="1" applyBorder="1" applyAlignment="1">
      <alignment horizontal="left" vertical="top" wrapText="1"/>
    </xf>
    <xf numFmtId="37" fontId="14" fillId="9" borderId="4" xfId="5" applyNumberFormat="1" applyFont="1" applyFill="1" applyBorder="1" applyAlignment="1">
      <alignment horizontal="right"/>
    </xf>
    <xf numFmtId="9" fontId="59" fillId="9" borderId="1" xfId="6" applyFont="1" applyFill="1" applyBorder="1" applyAlignment="1">
      <alignment horizontal="right" vertical="top" wrapText="1"/>
    </xf>
    <xf numFmtId="0" fontId="59" fillId="9" borderId="1" xfId="2" applyFont="1" applyFill="1" applyBorder="1" applyAlignment="1">
      <alignment horizontal="right" vertical="top" wrapText="1"/>
    </xf>
    <xf numFmtId="0" fontId="59" fillId="9" borderId="3" xfId="2" applyFont="1" applyFill="1" applyBorder="1" applyAlignment="1">
      <alignment horizontal="right" vertical="top" wrapText="1"/>
    </xf>
    <xf numFmtId="0" fontId="17" fillId="11" borderId="0" xfId="2" applyFont="1" applyFill="1" applyBorder="1"/>
    <xf numFmtId="0" fontId="59" fillId="13" borderId="1" xfId="2" applyFont="1" applyFill="1" applyBorder="1" applyAlignment="1">
      <alignment vertical="top" wrapText="1"/>
    </xf>
    <xf numFmtId="9" fontId="59" fillId="13" borderId="1" xfId="6" applyFont="1" applyFill="1" applyBorder="1" applyAlignment="1">
      <alignment horizontal="center" vertical="center" wrapText="1"/>
    </xf>
    <xf numFmtId="168" fontId="14" fillId="13" borderId="4" xfId="5" applyNumberFormat="1" applyFont="1" applyFill="1" applyBorder="1" applyAlignment="1">
      <alignment horizontal="right"/>
    </xf>
    <xf numFmtId="9" fontId="57" fillId="11" borderId="1" xfId="6" applyFont="1" applyFill="1" applyBorder="1"/>
    <xf numFmtId="167" fontId="57" fillId="11" borderId="4" xfId="2" applyNumberFormat="1" applyFont="1" applyFill="1" applyBorder="1"/>
    <xf numFmtId="0" fontId="57" fillId="11" borderId="3" xfId="2" applyFont="1" applyFill="1" applyBorder="1"/>
    <xf numFmtId="0" fontId="57" fillId="11" borderId="1" xfId="2" applyFont="1" applyFill="1" applyBorder="1"/>
    <xf numFmtId="0" fontId="58" fillId="8" borderId="1" xfId="2" applyFont="1" applyFill="1" applyBorder="1" applyAlignment="1">
      <alignment wrapText="1"/>
    </xf>
    <xf numFmtId="0" fontId="57" fillId="11" borderId="0" xfId="2" applyFont="1" applyFill="1" applyBorder="1"/>
    <xf numFmtId="0" fontId="16" fillId="6" borderId="8" xfId="2" applyFont="1" applyFill="1" applyBorder="1" applyAlignment="1">
      <alignment vertical="center" wrapText="1"/>
    </xf>
    <xf numFmtId="0" fontId="57" fillId="6" borderId="0" xfId="2" applyFont="1" applyFill="1" applyBorder="1" applyAlignment="1">
      <alignment vertical="center" wrapText="1"/>
    </xf>
    <xf numFmtId="0" fontId="57" fillId="6" borderId="1" xfId="2" applyFont="1" applyFill="1" applyBorder="1" applyAlignment="1">
      <alignment vertical="center" wrapText="1"/>
    </xf>
    <xf numFmtId="0" fontId="57" fillId="6" borderId="4" xfId="2" applyFont="1" applyFill="1" applyBorder="1" applyAlignment="1">
      <alignment vertical="center" wrapText="1"/>
    </xf>
    <xf numFmtId="0" fontId="57" fillId="6" borderId="3" xfId="2" applyFont="1" applyFill="1" applyBorder="1" applyAlignment="1">
      <alignment vertical="center" wrapText="1"/>
    </xf>
    <xf numFmtId="0" fontId="57" fillId="0" borderId="1" xfId="2" applyFont="1" applyFill="1" applyBorder="1" applyAlignment="1">
      <alignment wrapText="1"/>
    </xf>
    <xf numFmtId="0" fontId="17" fillId="0" borderId="5" xfId="2" applyFont="1" applyFill="1" applyBorder="1" applyAlignment="1">
      <alignment vertical="center" wrapText="1"/>
    </xf>
    <xf numFmtId="0" fontId="57" fillId="10" borderId="4" xfId="2" applyFont="1" applyFill="1" applyBorder="1" applyAlignment="1">
      <alignment vertical="center" wrapText="1"/>
    </xf>
    <xf numFmtId="0" fontId="57" fillId="10" borderId="3" xfId="2" applyFont="1" applyFill="1" applyBorder="1" applyAlignment="1">
      <alignment vertical="center" wrapText="1"/>
    </xf>
    <xf numFmtId="0" fontId="57" fillId="0" borderId="1" xfId="2" applyFont="1" applyFill="1" applyBorder="1" applyAlignment="1">
      <alignment vertical="center" wrapText="1"/>
    </xf>
    <xf numFmtId="39" fontId="57" fillId="0" borderId="4" xfId="2" applyNumberFormat="1" applyFont="1" applyFill="1" applyBorder="1" applyAlignment="1">
      <alignment vertical="center" wrapText="1"/>
    </xf>
    <xf numFmtId="166" fontId="57" fillId="0" borderId="4" xfId="5" applyFont="1" applyFill="1" applyBorder="1" applyAlignment="1">
      <alignment horizontal="center" vertical="center" wrapText="1"/>
    </xf>
    <xf numFmtId="39" fontId="57" fillId="0" borderId="1" xfId="2" applyNumberFormat="1" applyFont="1" applyFill="1" applyBorder="1" applyAlignment="1">
      <alignment vertical="center" wrapText="1"/>
    </xf>
    <xf numFmtId="0" fontId="57" fillId="0" borderId="3" xfId="2" applyFont="1" applyFill="1" applyBorder="1" applyAlignment="1">
      <alignment vertical="center" wrapText="1"/>
    </xf>
    <xf numFmtId="0" fontId="78" fillId="4" borderId="4" xfId="2" applyFont="1" applyFill="1" applyBorder="1" applyAlignment="1">
      <alignment wrapText="1"/>
    </xf>
    <xf numFmtId="0" fontId="78" fillId="4" borderId="1" xfId="2" applyFont="1" applyFill="1" applyBorder="1" applyAlignment="1">
      <alignment wrapText="1"/>
    </xf>
    <xf numFmtId="0" fontId="58" fillId="0" borderId="11" xfId="7" applyFont="1" applyFill="1" applyBorder="1" applyAlignment="1">
      <alignment vertical="top" wrapText="1"/>
    </xf>
    <xf numFmtId="171" fontId="78" fillId="4" borderId="1" xfId="5" applyNumberFormat="1" applyFont="1" applyFill="1" applyBorder="1" applyAlignment="1">
      <alignment horizontal="center"/>
    </xf>
    <xf numFmtId="171" fontId="78" fillId="4" borderId="1" xfId="5" applyNumberFormat="1" applyFont="1" applyFill="1" applyBorder="1" applyAlignment="1">
      <alignment horizontal="right"/>
    </xf>
    <xf numFmtId="38" fontId="78" fillId="4" borderId="1" xfId="5" applyNumberFormat="1" applyFont="1" applyFill="1" applyBorder="1" applyAlignment="1">
      <alignment horizontal="right"/>
    </xf>
    <xf numFmtId="0" fontId="57" fillId="0" borderId="4" xfId="2" applyFont="1" applyFill="1" applyBorder="1"/>
    <xf numFmtId="0" fontId="57" fillId="0" borderId="3" xfId="2" applyFont="1" applyFill="1" applyBorder="1"/>
    <xf numFmtId="0" fontId="57" fillId="8" borderId="3" xfId="2" applyFont="1" applyFill="1" applyBorder="1" applyAlignment="1">
      <alignment horizontal="left" wrapText="1"/>
    </xf>
    <xf numFmtId="0" fontId="57" fillId="8" borderId="1" xfId="2" applyFont="1" applyFill="1" applyBorder="1" applyAlignment="1">
      <alignment horizontal="left" wrapText="1"/>
    </xf>
    <xf numFmtId="168" fontId="57" fillId="8" borderId="1" xfId="5" applyNumberFormat="1" applyFont="1" applyFill="1" applyBorder="1" applyAlignment="1">
      <alignment vertical="center" wrapText="1"/>
    </xf>
    <xf numFmtId="9" fontId="57" fillId="2" borderId="1" xfId="6" applyFont="1" applyFill="1" applyBorder="1"/>
    <xf numFmtId="0" fontId="57" fillId="2" borderId="4" xfId="2" applyFont="1" applyFill="1" applyBorder="1"/>
    <xf numFmtId="166" fontId="57" fillId="2" borderId="4" xfId="5" applyFont="1" applyFill="1" applyBorder="1"/>
    <xf numFmtId="0" fontId="57" fillId="2" borderId="3" xfId="2" applyFont="1" applyFill="1" applyBorder="1"/>
    <xf numFmtId="0" fontId="57" fillId="10" borderId="4" xfId="2" applyFont="1" applyFill="1" applyBorder="1" applyAlignment="1">
      <alignment vertical="center"/>
    </xf>
    <xf numFmtId="0" fontId="57" fillId="10" borderId="3" xfId="2" applyFont="1" applyFill="1" applyBorder="1" applyAlignment="1">
      <alignment vertical="center"/>
    </xf>
    <xf numFmtId="0" fontId="57" fillId="10" borderId="2" xfId="2" applyFont="1" applyFill="1" applyBorder="1" applyAlignment="1">
      <alignment vertical="center"/>
    </xf>
    <xf numFmtId="9" fontId="57" fillId="0" borderId="4" xfId="6" applyFont="1" applyFill="1" applyBorder="1"/>
    <xf numFmtId="9" fontId="57" fillId="0" borderId="1" xfId="6" applyFont="1" applyFill="1" applyBorder="1"/>
    <xf numFmtId="0" fontId="58" fillId="0" borderId="14" xfId="2" applyFont="1" applyFill="1" applyBorder="1" applyAlignment="1">
      <alignment horizontal="left" vertical="center"/>
    </xf>
    <xf numFmtId="0" fontId="58" fillId="11" borderId="1" xfId="2" applyFont="1" applyFill="1" applyBorder="1" applyAlignment="1">
      <alignment horizontal="left" vertical="center" wrapText="1"/>
    </xf>
    <xf numFmtId="1" fontId="58" fillId="11" borderId="11" xfId="5" applyNumberFormat="1" applyFont="1" applyFill="1" applyBorder="1" applyAlignment="1">
      <alignment horizontal="right"/>
    </xf>
    <xf numFmtId="0" fontId="58" fillId="11" borderId="1" xfId="2" applyFont="1" applyFill="1" applyBorder="1" applyAlignment="1">
      <alignment vertical="center" wrapText="1"/>
    </xf>
    <xf numFmtId="0" fontId="58" fillId="11" borderId="4" xfId="2" applyFont="1" applyFill="1" applyBorder="1" applyAlignment="1">
      <alignment vertical="center" wrapText="1"/>
    </xf>
    <xf numFmtId="0" fontId="58" fillId="8" borderId="3" xfId="2" applyFont="1" applyFill="1" applyBorder="1" applyAlignment="1">
      <alignment wrapText="1"/>
    </xf>
    <xf numFmtId="1" fontId="58" fillId="8" borderId="9" xfId="5" applyNumberFormat="1" applyFont="1" applyFill="1" applyBorder="1" applyAlignment="1">
      <alignment horizontal="right"/>
    </xf>
    <xf numFmtId="0" fontId="58" fillId="8" borderId="3" xfId="2" applyFont="1" applyFill="1" applyBorder="1" applyAlignment="1">
      <alignment vertical="center" wrapText="1"/>
    </xf>
    <xf numFmtId="0" fontId="57" fillId="8" borderId="1" xfId="2" applyFont="1" applyFill="1" applyBorder="1" applyAlignment="1">
      <alignment vertical="center" wrapText="1"/>
    </xf>
    <xf numFmtId="166" fontId="58" fillId="11" borderId="4" xfId="5" applyFont="1" applyFill="1" applyBorder="1" applyAlignment="1">
      <alignment vertical="center" wrapText="1"/>
    </xf>
    <xf numFmtId="0" fontId="58" fillId="8" borderId="3" xfId="2" applyFont="1" applyFill="1" applyBorder="1" applyAlignment="1">
      <alignment horizontal="left" wrapText="1"/>
    </xf>
    <xf numFmtId="166" fontId="57" fillId="8" borderId="1" xfId="5" applyFont="1" applyFill="1" applyBorder="1" applyAlignment="1">
      <alignment vertical="center" wrapText="1"/>
    </xf>
    <xf numFmtId="0" fontId="57" fillId="2" borderId="1" xfId="2" applyFont="1" applyFill="1" applyBorder="1"/>
    <xf numFmtId="0" fontId="57" fillId="10" borderId="3" xfId="2" applyFont="1" applyFill="1" applyBorder="1" applyAlignment="1">
      <alignment horizontal="left" vertical="center"/>
    </xf>
    <xf numFmtId="0" fontId="58" fillId="0" borderId="7" xfId="2" applyFont="1" applyFill="1" applyBorder="1" applyAlignment="1">
      <alignment horizontal="left" vertical="center"/>
    </xf>
    <xf numFmtId="0" fontId="58" fillId="0" borderId="7" xfId="2" applyFont="1" applyFill="1" applyBorder="1" applyAlignment="1">
      <alignment horizontal="left" vertical="top" wrapText="1"/>
    </xf>
    <xf numFmtId="168" fontId="58" fillId="0" borderId="4" xfId="5" applyNumberFormat="1" applyFont="1" applyFill="1" applyBorder="1" applyAlignment="1">
      <alignment horizontal="right" vertical="top" wrapText="1"/>
    </xf>
    <xf numFmtId="0" fontId="57" fillId="8" borderId="1" xfId="2" applyFont="1" applyFill="1" applyBorder="1" applyAlignment="1">
      <alignment horizontal="right" vertical="center"/>
    </xf>
    <xf numFmtId="0" fontId="57" fillId="8" borderId="3" xfId="2" applyFont="1" applyFill="1" applyBorder="1" applyAlignment="1">
      <alignment horizontal="right" vertical="center"/>
    </xf>
    <xf numFmtId="0" fontId="59" fillId="8" borderId="3" xfId="2" applyFont="1" applyFill="1" applyBorder="1" applyAlignment="1">
      <alignment horizontal="left" vertical="top" wrapText="1"/>
    </xf>
    <xf numFmtId="0" fontId="59" fillId="8" borderId="3" xfId="2" applyFont="1" applyFill="1" applyBorder="1" applyAlignment="1">
      <alignment vertical="top" wrapText="1"/>
    </xf>
    <xf numFmtId="37" fontId="57" fillId="8" borderId="4" xfId="5" applyNumberFormat="1" applyFont="1" applyFill="1" applyBorder="1" applyAlignment="1"/>
    <xf numFmtId="37" fontId="57" fillId="2" borderId="1" xfId="2" applyNumberFormat="1" applyFont="1" applyFill="1" applyBorder="1"/>
    <xf numFmtId="0" fontId="17" fillId="11" borderId="0" xfId="2" applyFont="1" applyFill="1" applyBorder="1" applyAlignment="1">
      <alignment horizontal="left"/>
    </xf>
    <xf numFmtId="0" fontId="57" fillId="11" borderId="1" xfId="2" applyFont="1" applyFill="1" applyBorder="1" applyAlignment="1">
      <alignment horizontal="left"/>
    </xf>
    <xf numFmtId="0" fontId="57" fillId="11" borderId="4" xfId="2" applyFont="1" applyFill="1" applyBorder="1" applyAlignment="1">
      <alignment horizontal="left"/>
    </xf>
    <xf numFmtId="0" fontId="57" fillId="11" borderId="3" xfId="2" applyFont="1" applyFill="1" applyBorder="1" applyAlignment="1">
      <alignment horizontal="left"/>
    </xf>
    <xf numFmtId="0" fontId="57" fillId="11" borderId="0" xfId="2" applyFont="1" applyFill="1" applyBorder="1" applyAlignment="1">
      <alignment horizontal="left"/>
    </xf>
    <xf numFmtId="0" fontId="58" fillId="4" borderId="1" xfId="2" applyFont="1" applyFill="1" applyBorder="1" applyAlignment="1">
      <alignment horizontal="right" vertical="top" wrapText="1"/>
    </xf>
    <xf numFmtId="37" fontId="58" fillId="0" borderId="4" xfId="5" applyNumberFormat="1" applyFont="1" applyFill="1" applyBorder="1" applyAlignment="1">
      <alignment vertical="center"/>
    </xf>
    <xf numFmtId="0" fontId="58" fillId="0" borderId="1" xfId="2" applyFont="1" applyFill="1" applyBorder="1" applyAlignment="1">
      <alignment vertical="center" wrapText="1"/>
    </xf>
    <xf numFmtId="1" fontId="58" fillId="14" borderId="11" xfId="5" applyNumberFormat="1" applyFont="1" applyFill="1" applyBorder="1" applyAlignment="1">
      <alignment horizontal="right" vertical="center"/>
    </xf>
    <xf numFmtId="168" fontId="58" fillId="11" borderId="4" xfId="5" applyNumberFormat="1" applyFont="1" applyFill="1" applyBorder="1" applyAlignment="1">
      <alignment vertical="center" wrapText="1"/>
    </xf>
    <xf numFmtId="0" fontId="57" fillId="8" borderId="3" xfId="2" applyFont="1" applyFill="1" applyBorder="1" applyAlignment="1">
      <alignment wrapText="1"/>
    </xf>
    <xf numFmtId="0" fontId="57" fillId="8" borderId="1" xfId="2" applyFont="1" applyFill="1" applyBorder="1" applyAlignment="1">
      <alignment wrapText="1"/>
    </xf>
    <xf numFmtId="37" fontId="57" fillId="8" borderId="4" xfId="5" applyNumberFormat="1" applyFont="1" applyFill="1" applyBorder="1"/>
    <xf numFmtId="39" fontId="58" fillId="2" borderId="1" xfId="2" applyNumberFormat="1" applyFont="1" applyFill="1" applyBorder="1"/>
    <xf numFmtId="0" fontId="58" fillId="2" borderId="4" xfId="2" applyFont="1" applyFill="1" applyBorder="1"/>
    <xf numFmtId="166" fontId="58" fillId="2" borderId="4" xfId="5" applyFont="1" applyFill="1" applyBorder="1"/>
    <xf numFmtId="0" fontId="57" fillId="0" borderId="14" xfId="2" applyFont="1" applyFill="1" applyBorder="1" applyAlignment="1">
      <alignment horizontal="right" vertical="center"/>
    </xf>
    <xf numFmtId="0" fontId="57" fillId="0" borderId="7" xfId="2" applyFont="1" applyFill="1" applyBorder="1" applyAlignment="1">
      <alignment horizontal="right" vertical="center"/>
    </xf>
    <xf numFmtId="0" fontId="58" fillId="0" borderId="7" xfId="2" applyFont="1" applyFill="1" applyBorder="1" applyAlignment="1">
      <alignment horizontal="right" vertical="top" wrapText="1"/>
    </xf>
    <xf numFmtId="0" fontId="58" fillId="0" borderId="4" xfId="2" applyFont="1" applyFill="1" applyBorder="1" applyAlignment="1">
      <alignment vertical="top" wrapText="1"/>
    </xf>
    <xf numFmtId="0" fontId="58" fillId="0" borderId="3" xfId="2" applyFont="1" applyFill="1" applyBorder="1" applyAlignment="1">
      <alignment horizontal="left" vertical="center"/>
    </xf>
    <xf numFmtId="1" fontId="58" fillId="4" borderId="1" xfId="2" applyNumberFormat="1" applyFont="1" applyFill="1" applyBorder="1" applyAlignment="1">
      <alignment vertical="top" wrapText="1"/>
    </xf>
    <xf numFmtId="0" fontId="58" fillId="4" borderId="1" xfId="2" applyFont="1" applyFill="1" applyBorder="1" applyAlignment="1">
      <alignment vertical="top" wrapText="1"/>
    </xf>
    <xf numFmtId="9" fontId="58" fillId="0" borderId="1" xfId="6" applyFont="1" applyFill="1" applyBorder="1" applyAlignment="1">
      <alignment horizontal="right"/>
    </xf>
    <xf numFmtId="9" fontId="58" fillId="0" borderId="3" xfId="6" applyFont="1" applyFill="1" applyBorder="1" applyAlignment="1">
      <alignment horizontal="right"/>
    </xf>
    <xf numFmtId="0" fontId="58" fillId="0" borderId="3" xfId="2" applyFont="1" applyFill="1" applyBorder="1" applyAlignment="1">
      <alignment horizontal="left" wrapText="1"/>
    </xf>
    <xf numFmtId="0" fontId="58" fillId="0" borderId="1" xfId="2" applyFont="1" applyFill="1" applyBorder="1" applyAlignment="1">
      <alignment horizontal="left" wrapText="1"/>
    </xf>
    <xf numFmtId="1" fontId="58" fillId="14" borderId="11" xfId="5" applyNumberFormat="1" applyFont="1" applyFill="1" applyBorder="1" applyAlignment="1">
      <alignment horizontal="right"/>
    </xf>
    <xf numFmtId="166" fontId="58" fillId="0" borderId="4" xfId="5" applyFont="1" applyFill="1" applyBorder="1" applyAlignment="1">
      <alignment horizontal="right" vertical="top" wrapText="1"/>
    </xf>
    <xf numFmtId="0" fontId="58" fillId="0" borderId="1" xfId="2" applyFont="1" applyFill="1" applyBorder="1" applyAlignment="1">
      <alignment wrapText="1"/>
    </xf>
    <xf numFmtId="43" fontId="58" fillId="0" borderId="4" xfId="2" applyNumberFormat="1" applyFont="1" applyFill="1" applyBorder="1"/>
    <xf numFmtId="0" fontId="18" fillId="0" borderId="1" xfId="2" applyFont="1" applyFill="1" applyBorder="1" applyAlignment="1">
      <alignment horizontal="left" vertical="center" wrapText="1"/>
    </xf>
    <xf numFmtId="0" fontId="18" fillId="4" borderId="7" xfId="2" applyFont="1" applyFill="1" applyBorder="1" applyAlignment="1">
      <alignment horizontal="left" vertical="center" wrapText="1"/>
    </xf>
    <xf numFmtId="0" fontId="58" fillId="0" borderId="7" xfId="2" applyFont="1" applyFill="1" applyBorder="1" applyAlignment="1">
      <alignment horizontal="left" vertical="center" wrapText="1"/>
    </xf>
    <xf numFmtId="0" fontId="18" fillId="4" borderId="1" xfId="2" applyFont="1" applyFill="1" applyBorder="1" applyAlignment="1">
      <alignment vertical="center" wrapText="1"/>
    </xf>
    <xf numFmtId="168" fontId="58" fillId="0" borderId="4" xfId="5" applyNumberFormat="1" applyFont="1" applyFill="1" applyBorder="1" applyAlignment="1">
      <alignment horizontal="right" vertical="center" wrapText="1"/>
    </xf>
    <xf numFmtId="0" fontId="59" fillId="8" borderId="1" xfId="2" applyFont="1" applyFill="1" applyBorder="1" applyAlignment="1">
      <alignment vertical="top" wrapText="1"/>
    </xf>
    <xf numFmtId="0" fontId="57" fillId="8" borderId="7" xfId="2" applyFont="1" applyFill="1" applyBorder="1" applyAlignment="1">
      <alignment horizontal="right" vertical="center"/>
    </xf>
    <xf numFmtId="0" fontId="57" fillId="8" borderId="14" xfId="2" applyFont="1" applyFill="1" applyBorder="1" applyAlignment="1">
      <alignment horizontal="right" vertical="center"/>
    </xf>
    <xf numFmtId="0" fontId="59" fillId="8" borderId="7" xfId="2" applyFont="1" applyFill="1" applyBorder="1" applyAlignment="1">
      <alignment vertical="top" wrapText="1"/>
    </xf>
    <xf numFmtId="37" fontId="57" fillId="8" borderId="4" xfId="5" applyNumberFormat="1" applyFont="1" applyFill="1" applyBorder="1" applyAlignment="1">
      <alignment horizontal="right"/>
    </xf>
    <xf numFmtId="37" fontId="59" fillId="9" borderId="1" xfId="2" applyNumberFormat="1" applyFont="1" applyFill="1" applyBorder="1" applyAlignment="1">
      <alignment horizontal="left" vertical="top" wrapText="1"/>
    </xf>
    <xf numFmtId="168" fontId="14" fillId="9" borderId="1" xfId="5" applyNumberFormat="1" applyFont="1" applyFill="1" applyBorder="1" applyAlignment="1">
      <alignment horizontal="center" vertical="top" wrapText="1"/>
    </xf>
    <xf numFmtId="9" fontId="14" fillId="0" borderId="1" xfId="6" applyFont="1" applyFill="1" applyBorder="1" applyAlignment="1">
      <alignment horizontal="center"/>
    </xf>
    <xf numFmtId="165" fontId="14" fillId="0" borderId="4" xfId="2" applyNumberFormat="1" applyFont="1" applyFill="1" applyBorder="1" applyAlignment="1">
      <alignment horizontal="center"/>
    </xf>
    <xf numFmtId="37" fontId="14" fillId="9" borderId="1" xfId="2" applyNumberFormat="1" applyFont="1" applyFill="1" applyBorder="1" applyAlignment="1">
      <alignment horizontal="center" vertical="top" wrapText="1"/>
    </xf>
    <xf numFmtId="0" fontId="57" fillId="12" borderId="4" xfId="2" applyFont="1" applyFill="1" applyBorder="1" applyAlignment="1">
      <alignment vertical="center"/>
    </xf>
    <xf numFmtId="0" fontId="57" fillId="12" borderId="3" xfId="2" applyFont="1" applyFill="1" applyBorder="1" applyAlignment="1">
      <alignment vertical="center"/>
    </xf>
    <xf numFmtId="0" fontId="57" fillId="12" borderId="2" xfId="2" applyFont="1" applyFill="1" applyBorder="1" applyAlignment="1">
      <alignment vertical="center"/>
    </xf>
    <xf numFmtId="0" fontId="57" fillId="12" borderId="7" xfId="2" applyFont="1" applyFill="1" applyBorder="1" applyAlignment="1">
      <alignment vertical="center"/>
    </xf>
    <xf numFmtId="0" fontId="57" fillId="12" borderId="14" xfId="2" applyFont="1" applyFill="1" applyBorder="1" applyAlignment="1">
      <alignment vertical="center"/>
    </xf>
    <xf numFmtId="0" fontId="57" fillId="12" borderId="1" xfId="2" applyFont="1" applyFill="1" applyBorder="1" applyAlignment="1">
      <alignment horizontal="left" vertical="center"/>
    </xf>
    <xf numFmtId="173" fontId="57" fillId="12" borderId="4" xfId="2" applyNumberFormat="1" applyFont="1" applyFill="1" applyBorder="1" applyAlignment="1">
      <alignment horizontal="right" vertical="center" wrapText="1"/>
    </xf>
    <xf numFmtId="166" fontId="57" fillId="12" borderId="4" xfId="5" applyFont="1" applyFill="1" applyBorder="1" applyAlignment="1">
      <alignment horizontal="right" vertical="center" wrapText="1"/>
    </xf>
    <xf numFmtId="173" fontId="57" fillId="12" borderId="1" xfId="2" applyNumberFormat="1" applyFont="1" applyFill="1" applyBorder="1" applyAlignment="1">
      <alignment horizontal="right" vertical="center" wrapText="1"/>
    </xf>
    <xf numFmtId="173" fontId="58" fillId="0" borderId="3" xfId="2" applyNumberFormat="1" applyFont="1" applyFill="1" applyBorder="1"/>
    <xf numFmtId="0" fontId="57" fillId="13" borderId="4" xfId="2" applyFont="1" applyFill="1" applyBorder="1" applyAlignment="1"/>
    <xf numFmtId="0" fontId="57" fillId="13" borderId="3" xfId="2" applyFont="1" applyFill="1" applyBorder="1" applyAlignment="1"/>
    <xf numFmtId="0" fontId="57" fillId="13" borderId="2" xfId="2" applyFont="1" applyFill="1" applyBorder="1" applyAlignment="1"/>
    <xf numFmtId="0" fontId="58" fillId="13" borderId="1" xfId="2" applyFont="1" applyFill="1" applyBorder="1" applyAlignment="1">
      <alignment vertical="top" wrapText="1"/>
    </xf>
    <xf numFmtId="37" fontId="57" fillId="13" borderId="4" xfId="2" applyNumberFormat="1" applyFont="1" applyFill="1" applyBorder="1" applyAlignment="1">
      <alignment horizontal="right" vertical="center"/>
    </xf>
    <xf numFmtId="37" fontId="57" fillId="8" borderId="4" xfId="2" applyNumberFormat="1" applyFont="1" applyFill="1" applyBorder="1" applyAlignment="1">
      <alignment horizontal="right" vertical="center"/>
    </xf>
    <xf numFmtId="9" fontId="57" fillId="8" borderId="1" xfId="6" applyFont="1" applyFill="1" applyBorder="1" applyAlignment="1">
      <alignment vertical="center"/>
    </xf>
    <xf numFmtId="167" fontId="57" fillId="8" borderId="4" xfId="2" applyNumberFormat="1" applyFont="1" applyFill="1" applyBorder="1" applyAlignment="1">
      <alignment vertical="center"/>
    </xf>
    <xf numFmtId="169" fontId="18" fillId="0" borderId="0" xfId="2" applyNumberFormat="1" applyFont="1" applyFill="1" applyBorder="1"/>
    <xf numFmtId="166" fontId="25" fillId="0" borderId="1" xfId="15" applyFont="1" applyFill="1" applyBorder="1"/>
    <xf numFmtId="166" fontId="17" fillId="0" borderId="1" xfId="15" applyFont="1" applyFill="1" applyBorder="1"/>
    <xf numFmtId="0" fontId="18" fillId="0" borderId="1" xfId="2" applyFont="1" applyFill="1" applyBorder="1"/>
    <xf numFmtId="43" fontId="25" fillId="0" borderId="1" xfId="2" applyNumberFormat="1" applyFont="1" applyFill="1" applyBorder="1"/>
    <xf numFmtId="166" fontId="17" fillId="0" borderId="1" xfId="5" applyFont="1" applyFill="1" applyBorder="1"/>
    <xf numFmtId="9" fontId="17" fillId="0" borderId="1" xfId="6" applyFont="1" applyFill="1" applyBorder="1"/>
    <xf numFmtId="43" fontId="3" fillId="0" borderId="0" xfId="0" applyNumberFormat="1" applyFont="1" applyAlignment="1">
      <alignment vertical="top"/>
    </xf>
    <xf numFmtId="43" fontId="18" fillId="0" borderId="0" xfId="2" applyNumberFormat="1" applyFont="1" applyFill="1" applyBorder="1"/>
    <xf numFmtId="4" fontId="18" fillId="0" borderId="0" xfId="2" applyNumberFormat="1" applyFont="1" applyFill="1" applyBorder="1"/>
    <xf numFmtId="4" fontId="14" fillId="0" borderId="0" xfId="0" applyNumberFormat="1" applyFont="1" applyAlignment="1">
      <alignment vertical="top"/>
    </xf>
    <xf numFmtId="0" fontId="23" fillId="0" borderId="0" xfId="2" applyFont="1" applyFill="1" applyBorder="1" applyAlignment="1">
      <alignment vertical="top"/>
    </xf>
    <xf numFmtId="0" fontId="39" fillId="0" borderId="0" xfId="2" applyFont="1" applyFill="1" applyBorder="1" applyAlignment="1">
      <alignment vertical="top"/>
    </xf>
    <xf numFmtId="0" fontId="39" fillId="0" borderId="0" xfId="2" applyFont="1" applyFill="1" applyBorder="1" applyAlignment="1">
      <alignment horizontal="center" vertical="top"/>
    </xf>
    <xf numFmtId="167" fontId="39" fillId="0" borderId="0" xfId="2" applyNumberFormat="1" applyFont="1" applyFill="1" applyBorder="1" applyAlignment="1">
      <alignment horizontal="center" vertical="top"/>
    </xf>
    <xf numFmtId="167" fontId="23" fillId="0" borderId="0" xfId="2" applyNumberFormat="1" applyFont="1" applyFill="1" applyBorder="1" applyAlignment="1">
      <alignment horizontal="center" vertical="top"/>
    </xf>
    <xf numFmtId="0" fontId="23" fillId="4" borderId="0" xfId="2" applyFont="1" applyFill="1" applyBorder="1" applyAlignment="1">
      <alignment vertical="top"/>
    </xf>
    <xf numFmtId="0" fontId="24" fillId="4" borderId="0" xfId="2" applyFont="1" applyFill="1" applyBorder="1" applyAlignment="1">
      <alignment vertical="top"/>
    </xf>
    <xf numFmtId="9" fontId="24" fillId="4" borderId="0" xfId="2" applyNumberFormat="1" applyFont="1" applyFill="1" applyBorder="1" applyAlignment="1">
      <alignment vertical="top"/>
    </xf>
    <xf numFmtId="0" fontId="3" fillId="0" borderId="0" xfId="2" applyFont="1" applyFill="1" applyBorder="1"/>
    <xf numFmtId="0" fontId="24" fillId="0" borderId="0" xfId="2" applyFont="1" applyFill="1" applyBorder="1" applyAlignment="1">
      <alignment vertical="top"/>
    </xf>
    <xf numFmtId="0" fontId="23" fillId="0" borderId="0" xfId="2" applyFont="1" applyFill="1" applyBorder="1" applyAlignment="1">
      <alignment horizontal="center" vertical="top"/>
    </xf>
    <xf numFmtId="0" fontId="40" fillId="0" borderId="0" xfId="2" applyFont="1" applyFill="1" applyBorder="1" applyAlignment="1">
      <alignment vertical="top"/>
    </xf>
    <xf numFmtId="0" fontId="40" fillId="0" borderId="0" xfId="2" applyFont="1" applyFill="1" applyBorder="1" applyAlignment="1">
      <alignment horizontal="center" vertical="top"/>
    </xf>
    <xf numFmtId="167" fontId="40" fillId="0" borderId="0" xfId="2" applyNumberFormat="1" applyFont="1" applyFill="1" applyBorder="1" applyAlignment="1">
      <alignment horizontal="center" vertical="top"/>
    </xf>
    <xf numFmtId="0" fontId="40" fillId="4" borderId="0" xfId="2" applyFont="1" applyFill="1" applyBorder="1" applyAlignment="1">
      <alignment vertical="top"/>
    </xf>
    <xf numFmtId="9" fontId="40" fillId="4" borderId="0" xfId="2" applyNumberFormat="1" applyFont="1" applyFill="1" applyBorder="1" applyAlignment="1">
      <alignment vertical="top"/>
    </xf>
    <xf numFmtId="0" fontId="41" fillId="5" borderId="1" xfId="2" applyFont="1" applyFill="1" applyBorder="1" applyAlignment="1">
      <alignment vertical="top" wrapText="1"/>
    </xf>
    <xf numFmtId="0" fontId="41" fillId="5" borderId="11" xfId="2" applyFont="1" applyFill="1" applyBorder="1" applyAlignment="1">
      <alignment horizontal="center" vertical="top" wrapText="1"/>
    </xf>
    <xf numFmtId="167" fontId="41" fillId="5" borderId="11" xfId="16" applyNumberFormat="1" applyFont="1" applyFill="1" applyBorder="1" applyAlignment="1">
      <alignment horizontal="center" vertical="top" wrapText="1"/>
    </xf>
    <xf numFmtId="0" fontId="41" fillId="5" borderId="11" xfId="16" applyNumberFormat="1" applyFont="1" applyFill="1" applyBorder="1" applyAlignment="1">
      <alignment vertical="top" wrapText="1"/>
    </xf>
    <xf numFmtId="0" fontId="16" fillId="52" borderId="11" xfId="16" applyNumberFormat="1" applyFont="1" applyFill="1" applyBorder="1" applyAlignment="1">
      <alignment horizontal="left" vertical="top" wrapText="1"/>
    </xf>
    <xf numFmtId="0" fontId="16" fillId="52" borderId="1" xfId="16" applyNumberFormat="1" applyFont="1" applyFill="1" applyBorder="1" applyAlignment="1">
      <alignment horizontal="left" vertical="top" wrapText="1"/>
    </xf>
    <xf numFmtId="0" fontId="97" fillId="3" borderId="1" xfId="2" applyFont="1" applyFill="1" applyBorder="1" applyAlignment="1">
      <alignment vertical="top" wrapText="1"/>
    </xf>
    <xf numFmtId="9" fontId="97" fillId="3" borderId="1" xfId="2" applyNumberFormat="1" applyFont="1" applyFill="1" applyBorder="1" applyAlignment="1">
      <alignment horizontal="left" vertical="top" wrapText="1"/>
    </xf>
    <xf numFmtId="0" fontId="41" fillId="52" borderId="11" xfId="16" applyNumberFormat="1" applyFont="1" applyFill="1" applyBorder="1" applyAlignment="1">
      <alignment vertical="top" wrapText="1"/>
    </xf>
    <xf numFmtId="0" fontId="24" fillId="6" borderId="4" xfId="2" applyFont="1" applyFill="1" applyBorder="1" applyAlignment="1">
      <alignment vertical="center"/>
    </xf>
    <xf numFmtId="0" fontId="24" fillId="6" borderId="3" xfId="2" applyFont="1" applyFill="1" applyBorder="1" applyAlignment="1">
      <alignment vertical="center"/>
    </xf>
    <xf numFmtId="0" fontId="24" fillId="53" borderId="3" xfId="2" applyFont="1" applyFill="1" applyBorder="1" applyAlignment="1">
      <alignment vertical="center"/>
    </xf>
    <xf numFmtId="9" fontId="24" fillId="53" borderId="3" xfId="2" applyNumberFormat="1" applyFont="1" applyFill="1" applyBorder="1" applyAlignment="1">
      <alignment vertical="center"/>
    </xf>
    <xf numFmtId="0" fontId="24" fillId="6" borderId="2" xfId="2" applyFont="1" applyFill="1" applyBorder="1" applyAlignment="1">
      <alignment vertical="center"/>
    </xf>
    <xf numFmtId="0" fontId="14" fillId="11" borderId="0" xfId="2" applyFont="1" applyFill="1" applyBorder="1" applyAlignment="1">
      <alignment vertical="center" wrapText="1"/>
    </xf>
    <xf numFmtId="0" fontId="14" fillId="11" borderId="9" xfId="2" applyFont="1" applyFill="1" applyBorder="1" applyAlignment="1">
      <alignment vertical="center" wrapText="1"/>
    </xf>
    <xf numFmtId="0" fontId="24" fillId="7" borderId="4" xfId="2" applyFont="1" applyFill="1" applyBorder="1" applyAlignment="1">
      <alignment vertical="center"/>
    </xf>
    <xf numFmtId="0" fontId="24" fillId="7" borderId="3" xfId="2" applyFont="1" applyFill="1" applyBorder="1" applyAlignment="1">
      <alignment vertical="center"/>
    </xf>
    <xf numFmtId="0" fontId="24" fillId="54" borderId="3" xfId="2" applyFont="1" applyFill="1" applyBorder="1" applyAlignment="1">
      <alignment vertical="center"/>
    </xf>
    <xf numFmtId="9" fontId="24" fillId="54" borderId="3" xfId="2" applyNumberFormat="1" applyFont="1" applyFill="1" applyBorder="1" applyAlignment="1">
      <alignment vertical="center"/>
    </xf>
    <xf numFmtId="0" fontId="24" fillId="7" borderId="2" xfId="2" applyFont="1" applyFill="1" applyBorder="1" applyAlignment="1">
      <alignment vertical="center"/>
    </xf>
    <xf numFmtId="0" fontId="24" fillId="19" borderId="3" xfId="2" applyFont="1" applyFill="1" applyBorder="1" applyAlignment="1">
      <alignment vertical="top"/>
    </xf>
    <xf numFmtId="0" fontId="24" fillId="55" borderId="3" xfId="2" applyFont="1" applyFill="1" applyBorder="1" applyAlignment="1">
      <alignment vertical="top"/>
    </xf>
    <xf numFmtId="9" fontId="24" fillId="55" borderId="3" xfId="2" applyNumberFormat="1" applyFont="1" applyFill="1" applyBorder="1" applyAlignment="1">
      <alignment vertical="top"/>
    </xf>
    <xf numFmtId="0" fontId="24" fillId="19" borderId="2" xfId="2" applyFont="1" applyFill="1" applyBorder="1" applyAlignment="1">
      <alignment vertical="top"/>
    </xf>
    <xf numFmtId="0" fontId="24" fillId="21" borderId="1" xfId="2" applyFont="1" applyFill="1" applyBorder="1" applyAlignment="1">
      <alignment vertical="top" wrapText="1"/>
    </xf>
    <xf numFmtId="0" fontId="23" fillId="0" borderId="1" xfId="2" applyFont="1" applyFill="1" applyBorder="1" applyAlignment="1">
      <alignment vertical="top" wrapText="1"/>
    </xf>
    <xf numFmtId="0" fontId="14" fillId="0" borderId="0" xfId="2" applyFont="1" applyFill="1" applyBorder="1" applyAlignment="1">
      <alignment vertical="center"/>
    </xf>
    <xf numFmtId="39" fontId="24" fillId="39" borderId="1" xfId="5" applyNumberFormat="1" applyFont="1" applyFill="1" applyBorder="1" applyAlignment="1">
      <alignment vertical="top"/>
    </xf>
    <xf numFmtId="9" fontId="24" fillId="39" borderId="1" xfId="5" applyNumberFormat="1" applyFont="1" applyFill="1" applyBorder="1" applyAlignment="1">
      <alignment vertical="top"/>
    </xf>
    <xf numFmtId="0" fontId="24" fillId="0" borderId="1" xfId="2" applyFont="1" applyFill="1" applyBorder="1" applyAlignment="1">
      <alignment vertical="top"/>
    </xf>
    <xf numFmtId="0" fontId="42" fillId="0" borderId="1" xfId="2" applyFont="1" applyFill="1" applyBorder="1" applyAlignment="1">
      <alignment vertical="top" wrapText="1"/>
    </xf>
    <xf numFmtId="0" fontId="23" fillId="0" borderId="1" xfId="2" applyFont="1" applyFill="1" applyBorder="1" applyAlignment="1">
      <alignment horizontal="center" vertical="top" wrapText="1"/>
    </xf>
    <xf numFmtId="167" fontId="43" fillId="0" borderId="1" xfId="2" applyNumberFormat="1" applyFont="1" applyFill="1" applyBorder="1" applyAlignment="1">
      <alignment horizontal="center" vertical="top" wrapText="1"/>
    </xf>
    <xf numFmtId="0" fontId="23" fillId="0" borderId="1" xfId="2" applyFont="1" applyFill="1" applyBorder="1" applyAlignment="1">
      <alignment vertical="top"/>
    </xf>
    <xf numFmtId="0" fontId="3" fillId="0" borderId="0" xfId="2" applyFont="1" applyFill="1" applyBorder="1" applyAlignment="1">
      <alignment vertical="center"/>
    </xf>
    <xf numFmtId="0" fontId="43" fillId="0" borderId="1" xfId="2" applyFont="1" applyFill="1" applyBorder="1" applyAlignment="1">
      <alignment horizontal="center" vertical="top" wrapText="1"/>
    </xf>
    <xf numFmtId="0" fontId="42" fillId="8" borderId="1" xfId="2" applyFont="1" applyFill="1" applyBorder="1" applyAlignment="1">
      <alignment vertical="top" wrapText="1"/>
    </xf>
    <xf numFmtId="0" fontId="23" fillId="8" borderId="1" xfId="2" applyFont="1" applyFill="1" applyBorder="1" applyAlignment="1">
      <alignment vertical="top" wrapText="1"/>
    </xf>
    <xf numFmtId="0" fontId="23" fillId="8" borderId="1" xfId="2" applyFont="1" applyFill="1" applyBorder="1" applyAlignment="1">
      <alignment horizontal="center" vertical="top" wrapText="1"/>
    </xf>
    <xf numFmtId="167" fontId="23" fillId="8" borderId="1" xfId="2" applyNumberFormat="1" applyFont="1" applyFill="1" applyBorder="1" applyAlignment="1">
      <alignment horizontal="center" vertical="top" wrapText="1"/>
    </xf>
    <xf numFmtId="9" fontId="23" fillId="8" borderId="1" xfId="17" applyFont="1" applyFill="1" applyBorder="1" applyAlignment="1">
      <alignment vertical="top"/>
    </xf>
    <xf numFmtId="166" fontId="24" fillId="8" borderId="1" xfId="18" applyFont="1" applyFill="1" applyBorder="1" applyAlignment="1">
      <alignment vertical="top"/>
    </xf>
    <xf numFmtId="39" fontId="24" fillId="8" borderId="1" xfId="5" applyNumberFormat="1" applyFont="1" applyFill="1" applyBorder="1" applyAlignment="1">
      <alignment vertical="top"/>
    </xf>
    <xf numFmtId="9" fontId="24" fillId="8" borderId="1" xfId="5" applyNumberFormat="1" applyFont="1" applyFill="1" applyBorder="1" applyAlignment="1">
      <alignment vertical="top"/>
    </xf>
    <xf numFmtId="0" fontId="24" fillId="42" borderId="1" xfId="2" applyFont="1" applyFill="1" applyBorder="1" applyAlignment="1">
      <alignment vertical="top" wrapText="1"/>
    </xf>
    <xf numFmtId="0" fontId="24" fillId="0" borderId="1" xfId="2" applyFont="1" applyFill="1" applyBorder="1" applyAlignment="1">
      <alignment vertical="top" wrapText="1"/>
    </xf>
    <xf numFmtId="0" fontId="24" fillId="0" borderId="1" xfId="2" applyFont="1" applyFill="1" applyBorder="1" applyAlignment="1">
      <alignment horizontal="center" vertical="top" wrapText="1"/>
    </xf>
    <xf numFmtId="167" fontId="24" fillId="0" borderId="1" xfId="2" applyNumberFormat="1" applyFont="1" applyFill="1" applyBorder="1" applyAlignment="1">
      <alignment horizontal="center" vertical="top" wrapText="1"/>
    </xf>
    <xf numFmtId="167" fontId="23" fillId="0" borderId="1" xfId="2" applyNumberFormat="1" applyFont="1" applyFill="1" applyBorder="1" applyAlignment="1">
      <alignment horizontal="center" vertical="top" wrapText="1"/>
    </xf>
    <xf numFmtId="0" fontId="42" fillId="54" borderId="1" xfId="2" applyFont="1" applyFill="1" applyBorder="1" applyAlignment="1">
      <alignment vertical="top" wrapText="1"/>
    </xf>
    <xf numFmtId="0" fontId="23" fillId="54" borderId="1" xfId="2" applyFont="1" applyFill="1" applyBorder="1" applyAlignment="1">
      <alignment vertical="top" wrapText="1"/>
    </xf>
    <xf numFmtId="0" fontId="44" fillId="54" borderId="1" xfId="2" applyFont="1" applyFill="1" applyBorder="1" applyAlignment="1">
      <alignment vertical="top" wrapText="1"/>
    </xf>
    <xf numFmtId="0" fontId="23" fillId="54" borderId="1" xfId="2" applyFont="1" applyFill="1" applyBorder="1" applyAlignment="1">
      <alignment horizontal="center" vertical="top" wrapText="1"/>
    </xf>
    <xf numFmtId="167" fontId="23" fillId="54" borderId="1" xfId="2" applyNumberFormat="1" applyFont="1" applyFill="1" applyBorder="1" applyAlignment="1">
      <alignment horizontal="center" vertical="top" wrapText="1"/>
    </xf>
    <xf numFmtId="167" fontId="24" fillId="54" borderId="1" xfId="5" applyNumberFormat="1" applyFont="1" applyFill="1" applyBorder="1" applyAlignment="1">
      <alignment horizontal="center" vertical="top"/>
    </xf>
    <xf numFmtId="39" fontId="23" fillId="54" borderId="1" xfId="5" applyNumberFormat="1" applyFont="1" applyFill="1" applyBorder="1" applyAlignment="1">
      <alignment vertical="top"/>
    </xf>
    <xf numFmtId="39" fontId="24" fillId="54" borderId="1" xfId="5" applyNumberFormat="1" applyFont="1" applyFill="1" applyBorder="1" applyAlignment="1">
      <alignment vertical="top"/>
    </xf>
    <xf numFmtId="166" fontId="24" fillId="35" borderId="0" xfId="18" applyFont="1" applyFill="1" applyBorder="1" applyAlignment="1">
      <alignment vertical="top"/>
    </xf>
    <xf numFmtId="9" fontId="24" fillId="54" borderId="1" xfId="5" applyNumberFormat="1" applyFont="1" applyFill="1" applyBorder="1" applyAlignment="1">
      <alignment vertical="top"/>
    </xf>
    <xf numFmtId="9" fontId="23" fillId="0" borderId="1" xfId="17" applyFont="1" applyFill="1" applyBorder="1" applyAlignment="1">
      <alignment vertical="top"/>
    </xf>
    <xf numFmtId="9" fontId="24" fillId="39" borderId="1" xfId="17" applyFont="1" applyFill="1" applyBorder="1" applyAlignment="1">
      <alignment vertical="top"/>
    </xf>
    <xf numFmtId="0" fontId="44" fillId="8" borderId="1" xfId="2" applyFont="1" applyFill="1" applyBorder="1" applyAlignment="1">
      <alignment vertical="top" wrapText="1"/>
    </xf>
    <xf numFmtId="0" fontId="24" fillId="0" borderId="14" xfId="2" applyFont="1" applyFill="1" applyBorder="1" applyAlignment="1">
      <alignment vertical="top" wrapText="1"/>
    </xf>
    <xf numFmtId="0" fontId="42" fillId="2" borderId="1" xfId="2" applyFont="1" applyFill="1" applyBorder="1" applyAlignment="1">
      <alignment vertical="top" wrapText="1"/>
    </xf>
    <xf numFmtId="0" fontId="23" fillId="2" borderId="1" xfId="2" applyFont="1" applyFill="1" applyBorder="1" applyAlignment="1">
      <alignment vertical="top" wrapText="1"/>
    </xf>
    <xf numFmtId="0" fontId="43" fillId="2" borderId="1" xfId="2" applyFont="1" applyFill="1" applyBorder="1" applyAlignment="1">
      <alignment horizontal="center" vertical="top" wrapText="1"/>
    </xf>
    <xf numFmtId="167" fontId="43" fillId="2" borderId="1" xfId="2" applyNumberFormat="1" applyFont="1" applyFill="1" applyBorder="1" applyAlignment="1">
      <alignment horizontal="center" vertical="top" wrapText="1"/>
    </xf>
    <xf numFmtId="167" fontId="23" fillId="2" borderId="1" xfId="5" applyNumberFormat="1" applyFont="1" applyFill="1" applyBorder="1" applyAlignment="1">
      <alignment horizontal="center" vertical="top"/>
    </xf>
    <xf numFmtId="39" fontId="23" fillId="2" borderId="1" xfId="5" applyNumberFormat="1" applyFont="1" applyFill="1" applyBorder="1" applyAlignment="1">
      <alignment vertical="top"/>
    </xf>
    <xf numFmtId="39" fontId="24" fillId="2" borderId="1" xfId="5" applyNumberFormat="1" applyFont="1" applyFill="1" applyBorder="1" applyAlignment="1">
      <alignment vertical="top"/>
    </xf>
    <xf numFmtId="9" fontId="24" fillId="2" borderId="1" xfId="5" applyNumberFormat="1" applyFont="1" applyFill="1" applyBorder="1" applyAlignment="1">
      <alignment vertical="top"/>
    </xf>
    <xf numFmtId="0" fontId="3" fillId="2" borderId="1" xfId="2" applyFont="1" applyFill="1" applyBorder="1" applyAlignment="1">
      <alignment vertical="center"/>
    </xf>
    <xf numFmtId="0" fontId="24" fillId="56" borderId="1" xfId="2" applyFont="1" applyFill="1" applyBorder="1" applyAlignment="1">
      <alignment vertical="top" wrapText="1"/>
    </xf>
    <xf numFmtId="0" fontId="24" fillId="11" borderId="1" xfId="2" applyFont="1" applyFill="1" applyBorder="1" applyAlignment="1">
      <alignment vertical="top" wrapText="1"/>
    </xf>
    <xf numFmtId="0" fontId="23" fillId="11" borderId="1" xfId="2" applyFont="1" applyFill="1" applyBorder="1" applyAlignment="1">
      <alignment vertical="top" wrapText="1"/>
    </xf>
    <xf numFmtId="0" fontId="24" fillId="11" borderId="1" xfId="2" applyFont="1" applyFill="1" applyBorder="1" applyAlignment="1">
      <alignment horizontal="center" vertical="top" wrapText="1"/>
    </xf>
    <xf numFmtId="167" fontId="24" fillId="11" borderId="1" xfId="2" applyNumberFormat="1" applyFont="1" applyFill="1" applyBorder="1" applyAlignment="1">
      <alignment horizontal="center" vertical="top" wrapText="1"/>
    </xf>
    <xf numFmtId="0" fontId="45" fillId="0" borderId="14" xfId="2" applyFont="1" applyFill="1" applyBorder="1" applyAlignment="1">
      <alignment vertical="top" wrapText="1"/>
    </xf>
    <xf numFmtId="0" fontId="45" fillId="2" borderId="14" xfId="2" applyFont="1" applyFill="1" applyBorder="1" applyAlignment="1">
      <alignment vertical="top" wrapText="1"/>
    </xf>
    <xf numFmtId="0" fontId="44" fillId="54" borderId="1" xfId="2" applyFont="1" applyFill="1" applyBorder="1" applyAlignment="1">
      <alignment horizontal="center" vertical="top" wrapText="1"/>
    </xf>
    <xf numFmtId="167" fontId="44" fillId="54" borderId="1" xfId="2" applyNumberFormat="1" applyFont="1" applyFill="1" applyBorder="1" applyAlignment="1">
      <alignment horizontal="center" vertical="top" wrapText="1"/>
    </xf>
    <xf numFmtId="167" fontId="46" fillId="54" borderId="1" xfId="5" applyNumberFormat="1" applyFont="1" applyFill="1" applyBorder="1" applyAlignment="1">
      <alignment horizontal="center" vertical="top"/>
    </xf>
    <xf numFmtId="0" fontId="23" fillId="35" borderId="1" xfId="2" applyFont="1" applyFill="1" applyBorder="1" applyAlignment="1">
      <alignment vertical="top" wrapText="1"/>
    </xf>
    <xf numFmtId="0" fontId="47" fillId="21" borderId="14" xfId="2" applyFont="1" applyFill="1" applyBorder="1" applyAlignment="1">
      <alignment vertical="top" wrapText="1"/>
    </xf>
    <xf numFmtId="0" fontId="47" fillId="0" borderId="1" xfId="2" applyFont="1" applyFill="1" applyBorder="1" applyAlignment="1">
      <alignment horizontal="center" vertical="top" wrapText="1"/>
    </xf>
    <xf numFmtId="167" fontId="47" fillId="0" borderId="1" xfId="2" applyNumberFormat="1" applyFont="1" applyFill="1" applyBorder="1" applyAlignment="1">
      <alignment horizontal="center" vertical="top" wrapText="1"/>
    </xf>
    <xf numFmtId="0" fontId="42" fillId="0" borderId="14" xfId="2" applyFont="1" applyFill="1" applyBorder="1" applyAlignment="1">
      <alignment vertical="top" wrapText="1"/>
    </xf>
    <xf numFmtId="0" fontId="23" fillId="0" borderId="14" xfId="2" applyFont="1" applyFill="1" applyBorder="1" applyAlignment="1">
      <alignment vertical="top" wrapText="1"/>
    </xf>
    <xf numFmtId="0" fontId="43" fillId="0" borderId="14" xfId="2" applyFont="1" applyFill="1" applyBorder="1" applyAlignment="1">
      <alignment horizontal="center" vertical="top" wrapText="1"/>
    </xf>
    <xf numFmtId="167" fontId="43" fillId="0" borderId="14" xfId="2" applyNumberFormat="1" applyFont="1" applyFill="1" applyBorder="1" applyAlignment="1">
      <alignment horizontal="center" vertical="top" wrapText="1"/>
    </xf>
    <xf numFmtId="0" fontId="43" fillId="8" borderId="1" xfId="2" applyFont="1" applyFill="1" applyBorder="1" applyAlignment="1">
      <alignment horizontal="center" vertical="top" wrapText="1"/>
    </xf>
    <xf numFmtId="167" fontId="43" fillId="8" borderId="1" xfId="2" applyNumberFormat="1" applyFont="1" applyFill="1" applyBorder="1" applyAlignment="1">
      <alignment horizontal="center" vertical="top" wrapText="1"/>
    </xf>
    <xf numFmtId="0" fontId="24" fillId="21" borderId="11" xfId="2" applyFont="1" applyFill="1" applyBorder="1" applyAlignment="1">
      <alignment vertical="top" wrapText="1"/>
    </xf>
    <xf numFmtId="0" fontId="23" fillId="0" borderId="11" xfId="2" applyFont="1" applyFill="1" applyBorder="1" applyAlignment="1">
      <alignment vertical="top" wrapText="1"/>
    </xf>
    <xf numFmtId="0" fontId="43" fillId="0" borderId="11" xfId="2" applyFont="1" applyFill="1" applyBorder="1" applyAlignment="1">
      <alignment horizontal="center" vertical="top" wrapText="1"/>
    </xf>
    <xf numFmtId="167" fontId="43" fillId="0" borderId="11" xfId="2" applyNumberFormat="1" applyFont="1" applyFill="1" applyBorder="1" applyAlignment="1">
      <alignment horizontal="center" vertical="top" wrapText="1"/>
    </xf>
    <xf numFmtId="39" fontId="24" fillId="39" borderId="11" xfId="5" applyNumberFormat="1" applyFont="1" applyFill="1" applyBorder="1" applyAlignment="1">
      <alignment vertical="top"/>
    </xf>
    <xf numFmtId="9" fontId="24" fillId="39" borderId="11" xfId="5" applyNumberFormat="1" applyFont="1" applyFill="1" applyBorder="1" applyAlignment="1">
      <alignment vertical="top"/>
    </xf>
    <xf numFmtId="0" fontId="23" fillId="0" borderId="11" xfId="2" applyFont="1" applyFill="1" applyBorder="1" applyAlignment="1">
      <alignment vertical="top"/>
    </xf>
    <xf numFmtId="0" fontId="24" fillId="0" borderId="1" xfId="2" applyFont="1" applyFill="1" applyBorder="1" applyAlignment="1">
      <alignment horizontal="center" vertical="top"/>
    </xf>
    <xf numFmtId="167" fontId="24" fillId="0" borderId="1" xfId="2" applyNumberFormat="1" applyFont="1" applyFill="1" applyBorder="1" applyAlignment="1">
      <alignment horizontal="center" vertical="top"/>
    </xf>
    <xf numFmtId="9" fontId="46" fillId="54" borderId="1" xfId="17" applyFont="1" applyFill="1" applyBorder="1" applyAlignment="1">
      <alignment vertical="top"/>
    </xf>
    <xf numFmtId="166" fontId="46" fillId="54" borderId="1" xfId="18" applyFont="1" applyFill="1" applyBorder="1" applyAlignment="1">
      <alignment vertical="top"/>
    </xf>
    <xf numFmtId="166" fontId="24" fillId="54" borderId="1" xfId="18" applyFont="1" applyFill="1" applyBorder="1" applyAlignment="1">
      <alignment vertical="top"/>
    </xf>
    <xf numFmtId="39" fontId="23" fillId="54" borderId="1" xfId="5" applyNumberFormat="1" applyFont="1" applyFill="1" applyBorder="1" applyAlignment="1">
      <alignment vertical="top" wrapText="1"/>
    </xf>
    <xf numFmtId="0" fontId="46" fillId="2" borderId="1" xfId="2" applyFont="1" applyFill="1" applyBorder="1" applyAlignment="1">
      <alignment vertical="top" wrapText="1"/>
    </xf>
    <xf numFmtId="0" fontId="24" fillId="2" borderId="1" xfId="2" applyFont="1" applyFill="1" applyBorder="1" applyAlignment="1">
      <alignment vertical="top" wrapText="1"/>
    </xf>
    <xf numFmtId="0" fontId="47" fillId="2" borderId="1" xfId="2" applyFont="1" applyFill="1" applyBorder="1" applyAlignment="1">
      <alignment horizontal="center" vertical="top" wrapText="1"/>
    </xf>
    <xf numFmtId="167" fontId="47" fillId="2" borderId="1" xfId="2" applyNumberFormat="1" applyFont="1" applyFill="1" applyBorder="1" applyAlignment="1">
      <alignment horizontal="center" vertical="top" wrapText="1"/>
    </xf>
    <xf numFmtId="167" fontId="24" fillId="2" borderId="1" xfId="5" applyNumberFormat="1" applyFont="1" applyFill="1" applyBorder="1" applyAlignment="1">
      <alignment horizontal="center" vertical="top"/>
    </xf>
    <xf numFmtId="0" fontId="43" fillId="54" borderId="1" xfId="2" applyFont="1" applyFill="1" applyBorder="1" applyAlignment="1">
      <alignment horizontal="center" vertical="top" wrapText="1"/>
    </xf>
    <xf numFmtId="167" fontId="43" fillId="54" borderId="1" xfId="2" applyNumberFormat="1" applyFont="1" applyFill="1" applyBorder="1" applyAlignment="1">
      <alignment horizontal="center" vertical="top" wrapText="1"/>
    </xf>
    <xf numFmtId="0" fontId="47" fillId="42" borderId="1" xfId="2" applyFont="1" applyFill="1" applyBorder="1" applyAlignment="1">
      <alignment vertical="top" wrapText="1"/>
    </xf>
    <xf numFmtId="166" fontId="24" fillId="2" borderId="0" xfId="18" applyFont="1" applyFill="1" applyBorder="1" applyAlignment="1">
      <alignment vertical="top"/>
    </xf>
    <xf numFmtId="0" fontId="45" fillId="0" borderId="1" xfId="2" applyFont="1" applyFill="1" applyBorder="1" applyAlignment="1">
      <alignment horizontal="center" vertical="top" wrapText="1"/>
    </xf>
    <xf numFmtId="167" fontId="45" fillId="0" borderId="1" xfId="2" applyNumberFormat="1" applyFont="1" applyFill="1" applyBorder="1" applyAlignment="1">
      <alignment horizontal="center" vertical="top" wrapText="1"/>
    </xf>
    <xf numFmtId="0" fontId="45" fillId="54" borderId="1" xfId="2" applyFont="1" applyFill="1" applyBorder="1" applyAlignment="1">
      <alignment horizontal="center" vertical="top" wrapText="1"/>
    </xf>
    <xf numFmtId="167" fontId="45" fillId="54" borderId="1" xfId="2" applyNumberFormat="1" applyFont="1" applyFill="1" applyBorder="1" applyAlignment="1">
      <alignment horizontal="center" vertical="top" wrapText="1"/>
    </xf>
    <xf numFmtId="9" fontId="23" fillId="54" borderId="1" xfId="17" applyFont="1" applyFill="1" applyBorder="1" applyAlignment="1">
      <alignment vertical="top"/>
    </xf>
    <xf numFmtId="0" fontId="47" fillId="21" borderId="1" xfId="2" applyFont="1" applyFill="1" applyBorder="1" applyAlignment="1">
      <alignment vertical="top" wrapText="1"/>
    </xf>
    <xf numFmtId="0" fontId="24" fillId="19" borderId="3" xfId="2" applyFont="1" applyFill="1" applyBorder="1" applyAlignment="1">
      <alignment horizontal="center" vertical="top"/>
    </xf>
    <xf numFmtId="167" fontId="24" fillId="19" borderId="3" xfId="2" applyNumberFormat="1" applyFont="1" applyFill="1" applyBorder="1" applyAlignment="1">
      <alignment horizontal="center" vertical="top"/>
    </xf>
    <xf numFmtId="0" fontId="45" fillId="0" borderId="1" xfId="2" applyFont="1" applyFill="1" applyBorder="1" applyAlignment="1">
      <alignment vertical="top" wrapText="1"/>
    </xf>
    <xf numFmtId="0" fontId="46" fillId="0" borderId="1" xfId="2" applyFont="1" applyFill="1" applyBorder="1" applyAlignment="1">
      <alignment horizontal="center" vertical="top" wrapText="1"/>
    </xf>
    <xf numFmtId="167" fontId="46" fillId="0" borderId="1" xfId="2" applyNumberFormat="1" applyFont="1" applyFill="1" applyBorder="1" applyAlignment="1">
      <alignment horizontal="center" vertical="top" wrapText="1"/>
    </xf>
    <xf numFmtId="39" fontId="46" fillId="54" borderId="1" xfId="5" applyNumberFormat="1" applyFont="1" applyFill="1" applyBorder="1" applyAlignment="1">
      <alignment vertical="top"/>
    </xf>
    <xf numFmtId="49" fontId="23" fillId="0" borderId="1" xfId="2" applyNumberFormat="1" applyFont="1" applyFill="1" applyBorder="1" applyAlignment="1">
      <alignment vertical="top" wrapText="1"/>
    </xf>
    <xf numFmtId="0" fontId="23" fillId="0" borderId="14" xfId="2" applyFont="1" applyFill="1" applyBorder="1" applyAlignment="1">
      <alignment horizontal="center" vertical="top" wrapText="1"/>
    </xf>
    <xf numFmtId="167" fontId="23" fillId="0" borderId="14" xfId="2" applyNumberFormat="1" applyFont="1" applyFill="1" applyBorder="1" applyAlignment="1">
      <alignment horizontal="center" vertical="top" wrapText="1"/>
    </xf>
    <xf numFmtId="166" fontId="24" fillId="8" borderId="1" xfId="18" applyFont="1" applyFill="1" applyBorder="1" applyAlignment="1">
      <alignment horizontal="center" vertical="top"/>
    </xf>
    <xf numFmtId="9" fontId="46" fillId="8" borderId="1" xfId="17" applyFont="1" applyFill="1" applyBorder="1" applyAlignment="1">
      <alignment vertical="top"/>
    </xf>
    <xf numFmtId="166" fontId="46" fillId="8" borderId="1" xfId="18" applyFont="1" applyFill="1" applyBorder="1" applyAlignment="1">
      <alignment vertical="top"/>
    </xf>
    <xf numFmtId="166" fontId="14" fillId="2" borderId="1" xfId="18" applyFont="1" applyFill="1" applyBorder="1" applyAlignment="1">
      <alignment vertical="top"/>
    </xf>
    <xf numFmtId="0" fontId="47" fillId="0" borderId="11" xfId="2" applyFont="1" applyFill="1" applyBorder="1" applyAlignment="1">
      <alignment vertical="top" wrapText="1"/>
    </xf>
    <xf numFmtId="0" fontId="24" fillId="0" borderId="11" xfId="2" applyFont="1" applyFill="1" applyBorder="1" applyAlignment="1">
      <alignment vertical="top" wrapText="1"/>
    </xf>
    <xf numFmtId="0" fontId="24" fillId="0" borderId="11" xfId="2" applyFont="1" applyFill="1" applyBorder="1" applyAlignment="1">
      <alignment horizontal="center" vertical="top" wrapText="1"/>
    </xf>
    <xf numFmtId="167" fontId="24" fillId="0" borderId="0" xfId="2" applyNumberFormat="1" applyFont="1" applyFill="1" applyBorder="1" applyAlignment="1">
      <alignment horizontal="center" vertical="top"/>
    </xf>
    <xf numFmtId="0" fontId="24" fillId="0" borderId="11" xfId="2" applyFont="1" applyFill="1" applyBorder="1" applyAlignment="1">
      <alignment vertical="top"/>
    </xf>
    <xf numFmtId="0" fontId="3" fillId="0" borderId="0" xfId="2" applyFont="1" applyFill="1" applyBorder="1" applyAlignment="1">
      <alignment horizontal="center" vertical="center"/>
    </xf>
    <xf numFmtId="0" fontId="24" fillId="7" borderId="3" xfId="2" applyFont="1" applyFill="1" applyBorder="1" applyAlignment="1">
      <alignment vertical="top"/>
    </xf>
    <xf numFmtId="0" fontId="46" fillId="7" borderId="1" xfId="2" applyFont="1" applyFill="1" applyBorder="1" applyAlignment="1">
      <alignment vertical="top" wrapText="1"/>
    </xf>
    <xf numFmtId="0" fontId="46" fillId="7" borderId="1" xfId="2" applyFont="1" applyFill="1" applyBorder="1" applyAlignment="1">
      <alignment horizontal="center" vertical="top" wrapText="1"/>
    </xf>
    <xf numFmtId="167" fontId="46" fillId="7" borderId="1" xfId="2" applyNumberFormat="1" applyFont="1" applyFill="1" applyBorder="1" applyAlignment="1">
      <alignment horizontal="center" vertical="top" wrapText="1"/>
    </xf>
    <xf numFmtId="169" fontId="46" fillId="7" borderId="1" xfId="2" applyNumberFormat="1" applyFont="1" applyFill="1" applyBorder="1" applyAlignment="1">
      <alignment horizontal="center" vertical="top" wrapText="1"/>
    </xf>
    <xf numFmtId="9" fontId="46" fillId="7" borderId="1" xfId="17" applyFont="1" applyFill="1" applyBorder="1" applyAlignment="1">
      <alignment vertical="top"/>
    </xf>
    <xf numFmtId="166" fontId="46" fillId="7" borderId="1" xfId="18" applyFont="1" applyFill="1" applyBorder="1" applyAlignment="1">
      <alignment vertical="top"/>
    </xf>
    <xf numFmtId="0" fontId="14" fillId="0" borderId="0" xfId="2" applyFont="1" applyFill="1" applyBorder="1"/>
    <xf numFmtId="0" fontId="24" fillId="9" borderId="4" xfId="2" applyFont="1" applyFill="1" applyBorder="1" applyAlignment="1">
      <alignment vertical="top"/>
    </xf>
    <xf numFmtId="0" fontId="24" fillId="9" borderId="3" xfId="2" applyFont="1" applyFill="1" applyBorder="1" applyAlignment="1">
      <alignment vertical="top"/>
    </xf>
    <xf numFmtId="0" fontId="24" fillId="9" borderId="2" xfId="2" applyFont="1" applyFill="1" applyBorder="1" applyAlignment="1">
      <alignment vertical="top"/>
    </xf>
    <xf numFmtId="0" fontId="46" fillId="9" borderId="1" xfId="2" applyFont="1" applyFill="1" applyBorder="1" applyAlignment="1">
      <alignment vertical="top" wrapText="1"/>
    </xf>
    <xf numFmtId="0" fontId="46" fillId="9" borderId="1" xfId="2" applyFont="1" applyFill="1" applyBorder="1" applyAlignment="1">
      <alignment horizontal="center" vertical="top" wrapText="1"/>
    </xf>
    <xf numFmtId="167" fontId="46" fillId="9" borderId="1" xfId="2" applyNumberFormat="1" applyFont="1" applyFill="1" applyBorder="1" applyAlignment="1">
      <alignment horizontal="center" vertical="top" wrapText="1"/>
    </xf>
    <xf numFmtId="169" fontId="46" fillId="9" borderId="1" xfId="2" applyNumberFormat="1" applyFont="1" applyFill="1" applyBorder="1" applyAlignment="1">
      <alignment horizontal="center" vertical="top" wrapText="1"/>
    </xf>
    <xf numFmtId="9" fontId="46" fillId="9" borderId="1" xfId="17" applyFont="1" applyFill="1" applyBorder="1" applyAlignment="1">
      <alignment horizontal="left" vertical="top"/>
    </xf>
    <xf numFmtId="166" fontId="46" fillId="9" borderId="1" xfId="17" applyNumberFormat="1" applyFont="1" applyFill="1" applyBorder="1" applyAlignment="1">
      <alignment vertical="top"/>
    </xf>
    <xf numFmtId="166" fontId="46" fillId="9" borderId="1" xfId="18" applyFont="1" applyFill="1" applyBorder="1" applyAlignment="1">
      <alignment vertical="top"/>
    </xf>
    <xf numFmtId="9" fontId="46" fillId="9" borderId="1" xfId="17" applyFont="1" applyFill="1" applyBorder="1" applyAlignment="1">
      <alignment vertical="top"/>
    </xf>
    <xf numFmtId="0" fontId="14" fillId="11" borderId="0" xfId="2" applyFont="1" applyFill="1" applyBorder="1"/>
    <xf numFmtId="0" fontId="41" fillId="6" borderId="0" xfId="2" applyFont="1" applyFill="1" applyBorder="1" applyAlignment="1">
      <alignment vertical="top" wrapText="1"/>
    </xf>
    <xf numFmtId="0" fontId="41" fillId="6" borderId="0" xfId="2" applyFont="1" applyFill="1" applyBorder="1" applyAlignment="1">
      <alignment horizontal="center" vertical="top" wrapText="1"/>
    </xf>
    <xf numFmtId="167" fontId="41" fillId="6" borderId="0" xfId="2" applyNumberFormat="1" applyFont="1" applyFill="1" applyBorder="1" applyAlignment="1">
      <alignment horizontal="center" vertical="top" wrapText="1"/>
    </xf>
    <xf numFmtId="0" fontId="41" fillId="6" borderId="13" xfId="2" applyFont="1" applyFill="1" applyBorder="1" applyAlignment="1">
      <alignment vertical="top" wrapText="1"/>
    </xf>
    <xf numFmtId="0" fontId="16" fillId="11" borderId="0" xfId="2" applyFont="1" applyFill="1" applyBorder="1" applyAlignment="1">
      <alignment vertical="center" wrapText="1"/>
    </xf>
    <xf numFmtId="0" fontId="16" fillId="6" borderId="9" xfId="2" applyFont="1" applyFill="1" applyBorder="1" applyAlignment="1">
      <alignment vertical="center" wrapText="1"/>
    </xf>
    <xf numFmtId="0" fontId="24" fillId="10" borderId="4" xfId="2" applyFont="1" applyFill="1" applyBorder="1" applyAlignment="1">
      <alignment vertical="top"/>
    </xf>
    <xf numFmtId="0" fontId="24" fillId="10" borderId="3" xfId="2" applyFont="1" applyFill="1" applyBorder="1" applyAlignment="1">
      <alignment vertical="top"/>
    </xf>
    <xf numFmtId="0" fontId="24" fillId="10" borderId="3" xfId="2" applyFont="1" applyFill="1" applyBorder="1" applyAlignment="1">
      <alignment vertical="top" wrapText="1"/>
    </xf>
    <xf numFmtId="0" fontId="24" fillId="10" borderId="3" xfId="2" applyFont="1" applyFill="1" applyBorder="1" applyAlignment="1">
      <alignment horizontal="center" vertical="top" wrapText="1"/>
    </xf>
    <xf numFmtId="167" fontId="24" fillId="10" borderId="3" xfId="2" applyNumberFormat="1" applyFont="1" applyFill="1" applyBorder="1" applyAlignment="1">
      <alignment horizontal="center" vertical="top" wrapText="1"/>
    </xf>
    <xf numFmtId="43" fontId="24" fillId="10" borderId="3" xfId="2" applyNumberFormat="1" applyFont="1" applyFill="1" applyBorder="1" applyAlignment="1">
      <alignment vertical="top" wrapText="1"/>
    </xf>
    <xf numFmtId="9" fontId="24" fillId="10" borderId="3" xfId="2" applyNumberFormat="1" applyFont="1" applyFill="1" applyBorder="1" applyAlignment="1">
      <alignment vertical="top" wrapText="1"/>
    </xf>
    <xf numFmtId="0" fontId="24" fillId="10" borderId="2" xfId="2" applyFont="1" applyFill="1" applyBorder="1" applyAlignment="1">
      <alignment vertical="top" wrapText="1"/>
    </xf>
    <xf numFmtId="0" fontId="14" fillId="0" borderId="0" xfId="2" applyFont="1" applyFill="1" applyBorder="1" applyAlignment="1">
      <alignment vertical="center" wrapText="1"/>
    </xf>
    <xf numFmtId="0" fontId="14" fillId="0" borderId="6" xfId="2" applyFont="1" applyFill="1" applyBorder="1" applyAlignment="1">
      <alignment vertical="center" wrapText="1"/>
    </xf>
    <xf numFmtId="0" fontId="14" fillId="0" borderId="5" xfId="2" applyFont="1" applyFill="1" applyBorder="1" applyAlignment="1">
      <alignment vertical="center" wrapText="1"/>
    </xf>
    <xf numFmtId="0" fontId="48" fillId="0" borderId="1" xfId="2" applyFont="1" applyFill="1" applyBorder="1" applyAlignment="1">
      <alignment vertical="top" wrapText="1"/>
    </xf>
    <xf numFmtId="0" fontId="3" fillId="0" borderId="1" xfId="2" applyFont="1" applyFill="1" applyBorder="1" applyAlignment="1">
      <alignment horizontal="left"/>
    </xf>
    <xf numFmtId="0" fontId="23" fillId="0" borderId="14" xfId="2" applyFont="1" applyFill="1" applyBorder="1" applyAlignment="1">
      <alignment vertical="top"/>
    </xf>
    <xf numFmtId="0" fontId="23" fillId="0" borderId="7" xfId="2" applyFont="1" applyFill="1" applyBorder="1" applyAlignment="1">
      <alignment vertical="top" wrapText="1"/>
    </xf>
    <xf numFmtId="0" fontId="23" fillId="0" borderId="7" xfId="2" applyFont="1" applyFill="1" applyBorder="1" applyAlignment="1">
      <alignment vertical="top"/>
    </xf>
    <xf numFmtId="0" fontId="47" fillId="8" borderId="1" xfId="2" applyFont="1" applyFill="1" applyBorder="1" applyAlignment="1">
      <alignment vertical="top" wrapText="1"/>
    </xf>
    <xf numFmtId="9" fontId="40" fillId="8" borderId="1" xfId="17" applyFont="1" applyFill="1" applyBorder="1" applyAlignment="1">
      <alignment vertical="top"/>
    </xf>
    <xf numFmtId="166" fontId="40" fillId="2" borderId="0" xfId="5" applyFont="1" applyFill="1"/>
    <xf numFmtId="166" fontId="14" fillId="2" borderId="0" xfId="18" applyFont="1" applyFill="1" applyBorder="1" applyAlignment="1">
      <alignment vertical="top"/>
    </xf>
    <xf numFmtId="10" fontId="24" fillId="8" borderId="1" xfId="17" applyNumberFormat="1" applyFont="1" applyFill="1" applyBorder="1" applyAlignment="1">
      <alignment vertical="top"/>
    </xf>
    <xf numFmtId="0" fontId="40" fillId="10" borderId="3" xfId="2" applyFont="1" applyFill="1" applyBorder="1" applyAlignment="1">
      <alignment vertical="top"/>
    </xf>
    <xf numFmtId="9" fontId="24" fillId="10" borderId="3" xfId="2" applyNumberFormat="1" applyFont="1" applyFill="1" applyBorder="1" applyAlignment="1">
      <alignment vertical="top"/>
    </xf>
    <xf numFmtId="0" fontId="24" fillId="10" borderId="2" xfId="2" applyFont="1" applyFill="1" applyBorder="1" applyAlignment="1">
      <alignment vertical="top"/>
    </xf>
    <xf numFmtId="0" fontId="3" fillId="0" borderId="0" xfId="2" applyFont="1" applyFill="1" applyBorder="1" applyAlignment="1">
      <alignment horizontal="right"/>
    </xf>
    <xf numFmtId="167" fontId="23" fillId="11" borderId="1" xfId="2" applyNumberFormat="1" applyFont="1" applyFill="1" applyBorder="1" applyAlignment="1">
      <alignment horizontal="center" vertical="top" wrapText="1"/>
    </xf>
    <xf numFmtId="39" fontId="40" fillId="39" borderId="1" xfId="5" applyNumberFormat="1" applyFont="1" applyFill="1" applyBorder="1" applyAlignment="1">
      <alignment vertical="top"/>
    </xf>
    <xf numFmtId="0" fontId="24" fillId="0" borderId="1" xfId="2" applyFont="1" applyFill="1" applyBorder="1" applyAlignment="1">
      <alignment horizontal="left" vertical="top"/>
    </xf>
    <xf numFmtId="0" fontId="24" fillId="0" borderId="14" xfId="2" applyFont="1" applyFill="1" applyBorder="1" applyAlignment="1">
      <alignment vertical="top"/>
    </xf>
    <xf numFmtId="0" fontId="44" fillId="8" borderId="1" xfId="2" applyFont="1" applyFill="1" applyBorder="1" applyAlignment="1">
      <alignment horizontal="center" vertical="top" wrapText="1"/>
    </xf>
    <xf numFmtId="167" fontId="44" fillId="8" borderId="1" xfId="2" applyNumberFormat="1" applyFont="1" applyFill="1" applyBorder="1" applyAlignment="1">
      <alignment horizontal="center" vertical="top" wrapText="1"/>
    </xf>
    <xf numFmtId="39" fontId="40" fillId="8" borderId="1" xfId="5" applyNumberFormat="1" applyFont="1" applyFill="1" applyBorder="1" applyAlignment="1">
      <alignment vertical="top"/>
    </xf>
    <xf numFmtId="10" fontId="24" fillId="8" borderId="1" xfId="5" applyNumberFormat="1" applyFont="1" applyFill="1" applyBorder="1" applyAlignment="1">
      <alignment vertical="top"/>
    </xf>
    <xf numFmtId="0" fontId="23" fillId="0" borderId="2" xfId="2" applyFont="1" applyFill="1" applyBorder="1" applyAlignment="1">
      <alignment vertical="top"/>
    </xf>
    <xf numFmtId="0" fontId="3" fillId="0" borderId="1" xfId="2" applyFont="1" applyFill="1" applyBorder="1" applyAlignment="1">
      <alignment vertical="center"/>
    </xf>
    <xf numFmtId="0" fontId="23" fillId="0" borderId="0" xfId="2" applyFont="1" applyFill="1" applyBorder="1"/>
    <xf numFmtId="0" fontId="3" fillId="0" borderId="7" xfId="2" applyFont="1" applyFill="1" applyBorder="1" applyAlignment="1">
      <alignment horizontal="center" vertical="top" wrapText="1"/>
    </xf>
    <xf numFmtId="0" fontId="3" fillId="0" borderId="0" xfId="2" applyFont="1" applyFill="1" applyBorder="1" applyAlignment="1">
      <alignment horizontal="center"/>
    </xf>
    <xf numFmtId="167"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39" fontId="52" fillId="39" borderId="1" xfId="5" applyNumberFormat="1" applyFont="1" applyFill="1" applyBorder="1" applyAlignment="1">
      <alignment vertical="top"/>
    </xf>
    <xf numFmtId="39" fontId="14" fillId="39" borderId="1" xfId="5" applyNumberFormat="1" applyFont="1" applyFill="1" applyBorder="1" applyAlignment="1">
      <alignment vertical="top"/>
    </xf>
    <xf numFmtId="9" fontId="14" fillId="39" borderId="1" xfId="5" applyNumberFormat="1" applyFont="1" applyFill="1" applyBorder="1" applyAlignment="1">
      <alignment vertical="top"/>
    </xf>
    <xf numFmtId="0" fontId="14" fillId="0" borderId="1" xfId="2" applyFont="1" applyFill="1" applyBorder="1" applyAlignment="1">
      <alignment vertical="center"/>
    </xf>
    <xf numFmtId="0" fontId="14" fillId="0" borderId="2" xfId="2" applyFont="1" applyFill="1" applyBorder="1" applyAlignment="1">
      <alignment vertical="center"/>
    </xf>
    <xf numFmtId="0" fontId="24" fillId="0" borderId="1" xfId="2" applyFont="1" applyFill="1" applyBorder="1" applyAlignment="1">
      <alignment vertical="center"/>
    </xf>
    <xf numFmtId="0" fontId="49" fillId="8" borderId="1" xfId="2" applyFont="1" applyFill="1" applyBorder="1" applyAlignment="1">
      <alignment horizontal="center" vertical="top" wrapText="1"/>
    </xf>
    <xf numFmtId="0" fontId="49" fillId="8" borderId="1" xfId="2" applyFont="1" applyFill="1" applyBorder="1" applyAlignment="1">
      <alignment horizontal="center" wrapText="1"/>
    </xf>
    <xf numFmtId="167" fontId="49" fillId="8" borderId="1" xfId="2" applyNumberFormat="1" applyFont="1" applyFill="1" applyBorder="1" applyAlignment="1">
      <alignment horizontal="center" vertical="center" wrapText="1"/>
    </xf>
    <xf numFmtId="0" fontId="49" fillId="8" borderId="1" xfId="2" applyFont="1" applyFill="1" applyBorder="1" applyAlignment="1">
      <alignment horizontal="center" vertical="center" wrapText="1"/>
    </xf>
    <xf numFmtId="39" fontId="40" fillId="8" borderId="1" xfId="5" applyNumberFormat="1" applyFont="1" applyFill="1" applyBorder="1"/>
    <xf numFmtId="10" fontId="52" fillId="8" borderId="1" xfId="5" applyNumberFormat="1" applyFont="1" applyFill="1" applyBorder="1" applyAlignment="1">
      <alignment vertical="top"/>
    </xf>
    <xf numFmtId="0" fontId="14" fillId="10" borderId="4" xfId="2" applyFont="1" applyFill="1" applyBorder="1" applyAlignment="1">
      <alignment vertical="center"/>
    </xf>
    <xf numFmtId="0" fontId="14" fillId="10" borderId="3" xfId="2" applyFont="1" applyFill="1" applyBorder="1" applyAlignment="1">
      <alignment vertical="center"/>
    </xf>
    <xf numFmtId="0" fontId="14" fillId="10" borderId="3" xfId="2" applyFont="1" applyFill="1" applyBorder="1" applyAlignment="1"/>
    <xf numFmtId="0" fontId="52" fillId="10" borderId="3" xfId="2" applyFont="1" applyFill="1" applyBorder="1" applyAlignment="1">
      <alignment vertical="top"/>
    </xf>
    <xf numFmtId="0" fontId="14" fillId="10" borderId="3" xfId="2" applyFont="1" applyFill="1" applyBorder="1" applyAlignment="1">
      <alignment vertical="top"/>
    </xf>
    <xf numFmtId="9" fontId="14" fillId="10" borderId="3" xfId="2" applyNumberFormat="1" applyFont="1" applyFill="1" applyBorder="1" applyAlignment="1">
      <alignment vertical="top"/>
    </xf>
    <xf numFmtId="0" fontId="14" fillId="10" borderId="2" xfId="2" applyFont="1" applyFill="1" applyBorder="1" applyAlignment="1">
      <alignment vertical="center"/>
    </xf>
    <xf numFmtId="0" fontId="3" fillId="0" borderId="7" xfId="2" applyFont="1" applyFill="1" applyBorder="1" applyAlignment="1">
      <alignment vertical="center"/>
    </xf>
    <xf numFmtId="0" fontId="3" fillId="0" borderId="1" xfId="2" applyFont="1" applyFill="1" applyBorder="1"/>
    <xf numFmtId="0" fontId="23" fillId="0" borderId="14" xfId="2" applyFont="1" applyFill="1" applyBorder="1" applyAlignment="1">
      <alignment vertical="center"/>
    </xf>
    <xf numFmtId="0" fontId="3" fillId="0" borderId="7" xfId="2" applyFont="1" applyFill="1" applyBorder="1" applyAlignment="1">
      <alignment horizontal="left" vertical="top" wrapText="1"/>
    </xf>
    <xf numFmtId="0" fontId="3" fillId="0" borderId="1" xfId="2" applyFont="1" applyFill="1" applyBorder="1" applyAlignment="1">
      <alignment horizontal="center" wrapText="1"/>
    </xf>
    <xf numFmtId="167" fontId="3" fillId="11" borderId="1" xfId="2" applyNumberFormat="1" applyFont="1" applyFill="1" applyBorder="1" applyAlignment="1">
      <alignment horizontal="center" vertical="center" wrapText="1"/>
    </xf>
    <xf numFmtId="0" fontId="3" fillId="11" borderId="1" xfId="2" applyFont="1" applyFill="1" applyBorder="1" applyAlignment="1">
      <alignment horizontal="center" vertical="center" wrapText="1"/>
    </xf>
    <xf numFmtId="170" fontId="23" fillId="11" borderId="1" xfId="2" applyNumberFormat="1" applyFont="1" applyFill="1" applyBorder="1" applyAlignment="1">
      <alignment horizontal="center" vertical="top" wrapText="1"/>
    </xf>
    <xf numFmtId="0" fontId="3" fillId="0" borderId="2" xfId="2" applyFont="1" applyFill="1" applyBorder="1" applyAlignment="1">
      <alignment vertical="center"/>
    </xf>
    <xf numFmtId="0" fontId="23" fillId="0" borderId="1" xfId="2" applyFont="1" applyFill="1" applyBorder="1" applyAlignment="1">
      <alignment vertical="center"/>
    </xf>
    <xf numFmtId="0" fontId="51" fillId="8" borderId="1" xfId="2" applyFont="1" applyFill="1" applyBorder="1" applyAlignment="1">
      <alignment horizontal="center" vertical="top" wrapText="1"/>
    </xf>
    <xf numFmtId="0" fontId="51" fillId="8" borderId="1" xfId="2" applyFont="1" applyFill="1" applyBorder="1" applyAlignment="1">
      <alignment horizontal="center" wrapText="1"/>
    </xf>
    <xf numFmtId="167" fontId="51" fillId="8" borderId="1" xfId="2" applyNumberFormat="1" applyFont="1" applyFill="1" applyBorder="1" applyAlignment="1">
      <alignment horizontal="center" vertical="center" wrapText="1"/>
    </xf>
    <xf numFmtId="0" fontId="51" fillId="8" borderId="1" xfId="2" applyFont="1" applyFill="1" applyBorder="1" applyAlignment="1">
      <alignment horizontal="center" vertical="center" wrapText="1"/>
    </xf>
    <xf numFmtId="10" fontId="14" fillId="8" borderId="1" xfId="5" applyNumberFormat="1" applyFont="1" applyFill="1" applyBorder="1" applyAlignment="1">
      <alignment vertical="top"/>
    </xf>
    <xf numFmtId="0" fontId="14" fillId="0" borderId="7" xfId="2" applyFont="1" applyFill="1" applyBorder="1" applyAlignment="1">
      <alignment vertical="center"/>
    </xf>
    <xf numFmtId="0" fontId="24" fillId="0" borderId="14" xfId="2" applyFont="1" applyFill="1" applyBorder="1" applyAlignment="1">
      <alignment vertical="center"/>
    </xf>
    <xf numFmtId="0" fontId="50" fillId="0" borderId="7" xfId="2" applyFont="1" applyFill="1" applyBorder="1" applyAlignment="1">
      <alignment horizontal="center" vertical="top" wrapText="1"/>
    </xf>
    <xf numFmtId="0" fontId="50" fillId="0" borderId="1" xfId="2" applyFont="1" applyFill="1" applyBorder="1" applyAlignment="1">
      <alignment horizontal="center" wrapText="1"/>
    </xf>
    <xf numFmtId="167" fontId="50" fillId="0" borderId="1" xfId="2" applyNumberFormat="1" applyFont="1" applyFill="1" applyBorder="1" applyAlignment="1">
      <alignment horizontal="center" vertical="center" wrapText="1"/>
    </xf>
    <xf numFmtId="0" fontId="50" fillId="0" borderId="1" xfId="2" applyFont="1" applyFill="1" applyBorder="1" applyAlignment="1">
      <alignment horizontal="center" vertical="center" wrapText="1"/>
    </xf>
    <xf numFmtId="0" fontId="24" fillId="0" borderId="2" xfId="2" applyFont="1" applyFill="1" applyBorder="1" applyAlignment="1">
      <alignment vertical="center"/>
    </xf>
    <xf numFmtId="0" fontId="44" fillId="8" borderId="1" xfId="2" applyFont="1" applyFill="1" applyBorder="1" applyAlignment="1">
      <alignment horizontal="center" wrapText="1"/>
    </xf>
    <xf numFmtId="167" fontId="44" fillId="8" borderId="1" xfId="2" applyNumberFormat="1" applyFont="1" applyFill="1" applyBorder="1" applyAlignment="1">
      <alignment horizontal="center" vertical="center" wrapText="1"/>
    </xf>
    <xf numFmtId="0" fontId="44" fillId="8" borderId="1" xfId="2" applyFont="1" applyFill="1" applyBorder="1" applyAlignment="1">
      <alignment horizontal="center" vertical="center" wrapText="1"/>
    </xf>
    <xf numFmtId="10" fontId="40" fillId="8" borderId="1" xfId="5" applyNumberFormat="1" applyFont="1" applyFill="1" applyBorder="1" applyAlignment="1">
      <alignment vertical="top"/>
    </xf>
    <xf numFmtId="0" fontId="24" fillId="10" borderId="4" xfId="2" applyFont="1" applyFill="1" applyBorder="1" applyAlignment="1">
      <alignment vertical="center"/>
    </xf>
    <xf numFmtId="0" fontId="24" fillId="10" borderId="3" xfId="2" applyFont="1" applyFill="1" applyBorder="1" applyAlignment="1">
      <alignment vertical="center"/>
    </xf>
    <xf numFmtId="0" fontId="24" fillId="10" borderId="3" xfId="2" applyFont="1" applyFill="1" applyBorder="1" applyAlignment="1"/>
    <xf numFmtId="0" fontId="24" fillId="10" borderId="2" xfId="2" applyFont="1" applyFill="1" applyBorder="1" applyAlignment="1">
      <alignment vertical="center"/>
    </xf>
    <xf numFmtId="0" fontId="23" fillId="0" borderId="7" xfId="2" applyFont="1" applyFill="1" applyBorder="1" applyAlignment="1">
      <alignment vertical="center"/>
    </xf>
    <xf numFmtId="0" fontId="23" fillId="0" borderId="1" xfId="2" applyFont="1" applyFill="1" applyBorder="1" applyAlignment="1">
      <alignment horizontal="center" wrapText="1"/>
    </xf>
    <xf numFmtId="167" fontId="23" fillId="11" borderId="1" xfId="2" applyNumberFormat="1" applyFont="1" applyFill="1" applyBorder="1" applyAlignment="1">
      <alignment horizontal="center" vertical="center" wrapText="1"/>
    </xf>
    <xf numFmtId="0" fontId="23" fillId="0" borderId="1" xfId="2" applyFont="1" applyFill="1" applyBorder="1" applyAlignment="1">
      <alignment horizontal="center" vertical="center" wrapText="1"/>
    </xf>
    <xf numFmtId="0" fontId="24" fillId="0" borderId="7" xfId="2" applyFont="1" applyFill="1" applyBorder="1" applyAlignment="1">
      <alignment vertical="center"/>
    </xf>
    <xf numFmtId="0" fontId="24" fillId="9" borderId="4" xfId="2" applyFont="1" applyFill="1" applyBorder="1" applyAlignment="1">
      <alignment vertical="center"/>
    </xf>
    <xf numFmtId="0" fontId="24" fillId="9" borderId="3" xfId="2" applyFont="1" applyFill="1" applyBorder="1" applyAlignment="1">
      <alignment vertical="center"/>
    </xf>
    <xf numFmtId="0" fontId="24" fillId="9" borderId="2" xfId="2" applyFont="1" applyFill="1" applyBorder="1" applyAlignment="1">
      <alignment vertical="center"/>
    </xf>
    <xf numFmtId="0" fontId="46" fillId="9" borderId="1" xfId="2" applyFont="1" applyFill="1" applyBorder="1" applyAlignment="1">
      <alignment horizontal="center" wrapText="1"/>
    </xf>
    <xf numFmtId="167" fontId="46" fillId="9" borderId="1" xfId="2" applyNumberFormat="1" applyFont="1" applyFill="1" applyBorder="1" applyAlignment="1">
      <alignment horizontal="center" vertical="center" wrapText="1"/>
    </xf>
    <xf numFmtId="0" fontId="46" fillId="9" borderId="1" xfId="2" applyFont="1" applyFill="1" applyBorder="1" applyAlignment="1">
      <alignment horizontal="center" vertical="center" wrapText="1"/>
    </xf>
    <xf numFmtId="9" fontId="46" fillId="9" borderId="1" xfId="17" applyFont="1" applyFill="1" applyBorder="1" applyAlignment="1">
      <alignment horizontal="left"/>
    </xf>
    <xf numFmtId="166" fontId="46" fillId="9" borderId="1" xfId="18" applyFont="1" applyFill="1" applyBorder="1" applyAlignment="1">
      <alignment horizontal="left"/>
    </xf>
    <xf numFmtId="0" fontId="14" fillId="11" borderId="0" xfId="2" applyFont="1" applyFill="1" applyBorder="1" applyAlignment="1">
      <alignment horizontal="left"/>
    </xf>
    <xf numFmtId="0" fontId="24" fillId="12" borderId="5" xfId="2" applyFont="1" applyFill="1" applyBorder="1" applyAlignment="1">
      <alignment vertical="center"/>
    </xf>
    <xf numFmtId="0" fontId="24" fillId="12" borderId="6" xfId="2" applyFont="1" applyFill="1" applyBorder="1" applyAlignment="1">
      <alignment vertical="center"/>
    </xf>
    <xf numFmtId="0" fontId="24" fillId="12" borderId="7" xfId="2" applyFont="1" applyFill="1" applyBorder="1" applyAlignment="1">
      <alignment vertical="center"/>
    </xf>
    <xf numFmtId="0" fontId="24" fillId="12" borderId="1" xfId="2" applyFont="1" applyFill="1" applyBorder="1" applyAlignment="1">
      <alignment horizontal="center"/>
    </xf>
    <xf numFmtId="167" fontId="24" fillId="12" borderId="1" xfId="2" applyNumberFormat="1" applyFont="1" applyFill="1" applyBorder="1" applyAlignment="1">
      <alignment horizontal="center" vertical="center"/>
    </xf>
    <xf numFmtId="0" fontId="24" fillId="12" borderId="1" xfId="2" applyFont="1" applyFill="1" applyBorder="1" applyAlignment="1">
      <alignment horizontal="center" vertical="center"/>
    </xf>
    <xf numFmtId="167" fontId="24" fillId="12" borderId="1" xfId="2" applyNumberFormat="1" applyFont="1" applyFill="1" applyBorder="1" applyAlignment="1">
      <alignment horizontal="center" vertical="center" wrapText="1"/>
    </xf>
    <xf numFmtId="0" fontId="24" fillId="12" borderId="1" xfId="2" applyFont="1" applyFill="1" applyBorder="1" applyAlignment="1">
      <alignment vertical="center" wrapText="1"/>
    </xf>
    <xf numFmtId="0" fontId="24" fillId="38" borderId="1" xfId="2" applyFont="1" applyFill="1" applyBorder="1" applyAlignment="1">
      <alignment vertical="top" wrapText="1"/>
    </xf>
    <xf numFmtId="9" fontId="24" fillId="38" borderId="1" xfId="2" applyNumberFormat="1" applyFont="1" applyFill="1" applyBorder="1" applyAlignment="1">
      <alignment vertical="top" wrapText="1"/>
    </xf>
    <xf numFmtId="0" fontId="24" fillId="12" borderId="1" xfId="2" applyFont="1" applyFill="1" applyBorder="1" applyAlignment="1">
      <alignment horizontal="center" vertical="center" wrapText="1"/>
    </xf>
    <xf numFmtId="0" fontId="24" fillId="12" borderId="8" xfId="2" applyFont="1" applyFill="1" applyBorder="1" applyAlignment="1">
      <alignment vertical="center"/>
    </xf>
    <xf numFmtId="0" fontId="24" fillId="12" borderId="9" xfId="2" applyFont="1" applyFill="1" applyBorder="1" applyAlignment="1">
      <alignment vertical="center"/>
    </xf>
    <xf numFmtId="0" fontId="24" fillId="12" borderId="10" xfId="2" applyFont="1" applyFill="1" applyBorder="1" applyAlignment="1">
      <alignment vertical="center"/>
    </xf>
    <xf numFmtId="170" fontId="24" fillId="12" borderId="1" xfId="2" applyNumberFormat="1" applyFont="1" applyFill="1" applyBorder="1" applyAlignment="1">
      <alignment horizontal="center" vertical="center" wrapText="1"/>
    </xf>
    <xf numFmtId="166" fontId="24" fillId="12" borderId="1" xfId="2" applyNumberFormat="1" applyFont="1" applyFill="1" applyBorder="1" applyAlignment="1">
      <alignment vertical="center" wrapText="1"/>
    </xf>
    <xf numFmtId="166" fontId="40" fillId="38" borderId="1" xfId="2" applyNumberFormat="1" applyFont="1" applyFill="1" applyBorder="1" applyAlignment="1">
      <alignment vertical="top" wrapText="1"/>
    </xf>
    <xf numFmtId="39" fontId="40" fillId="38" borderId="1" xfId="2" applyNumberFormat="1" applyFont="1" applyFill="1" applyBorder="1" applyAlignment="1">
      <alignment vertical="top" wrapText="1"/>
    </xf>
    <xf numFmtId="10" fontId="40" fillId="38" borderId="1" xfId="2" applyNumberFormat="1" applyFont="1" applyFill="1" applyBorder="1" applyAlignment="1">
      <alignment vertical="top" wrapText="1"/>
    </xf>
    <xf numFmtId="0" fontId="24" fillId="13" borderId="4" xfId="2" applyFont="1" applyFill="1" applyBorder="1" applyAlignment="1"/>
    <xf numFmtId="0" fontId="24" fillId="13" borderId="3" xfId="2" applyFont="1" applyFill="1" applyBorder="1" applyAlignment="1"/>
    <xf numFmtId="0" fontId="24" fillId="13" borderId="2" xfId="2" applyFont="1" applyFill="1" applyBorder="1" applyAlignment="1"/>
    <xf numFmtId="0" fontId="24" fillId="13" borderId="1" xfId="2" applyFont="1" applyFill="1" applyBorder="1" applyAlignment="1">
      <alignment horizontal="center" vertical="top" wrapText="1"/>
    </xf>
    <xf numFmtId="0" fontId="23" fillId="13" borderId="1" xfId="2" applyFont="1" applyFill="1" applyBorder="1" applyAlignment="1">
      <alignment horizontal="center" wrapText="1"/>
    </xf>
    <xf numFmtId="167" fontId="23" fillId="13" borderId="1" xfId="2" applyNumberFormat="1" applyFont="1" applyFill="1" applyBorder="1" applyAlignment="1">
      <alignment horizontal="center" vertical="center" wrapText="1"/>
    </xf>
    <xf numFmtId="0" fontId="23" fillId="13" borderId="1" xfId="2" applyFont="1" applyFill="1" applyBorder="1" applyAlignment="1">
      <alignment horizontal="center" vertical="center" wrapText="1"/>
    </xf>
    <xf numFmtId="170" fontId="24" fillId="13" borderId="1" xfId="2" applyNumberFormat="1" applyFont="1" applyFill="1" applyBorder="1" applyAlignment="1">
      <alignment horizontal="center" vertical="center"/>
    </xf>
    <xf numFmtId="9" fontId="24" fillId="13" borderId="1" xfId="17" applyFont="1" applyFill="1" applyBorder="1" applyAlignment="1">
      <alignment horizontal="left"/>
    </xf>
    <xf numFmtId="43" fontId="40" fillId="39" borderId="0" xfId="2" applyNumberFormat="1" applyFont="1" applyFill="1" applyAlignment="1">
      <alignment vertical="top"/>
    </xf>
    <xf numFmtId="9" fontId="40" fillId="38" borderId="1" xfId="2" applyNumberFormat="1" applyFont="1" applyFill="1" applyBorder="1" applyAlignment="1">
      <alignment vertical="top"/>
    </xf>
    <xf numFmtId="39" fontId="24" fillId="13" borderId="1" xfId="2" applyNumberFormat="1" applyFont="1" applyFill="1" applyBorder="1"/>
    <xf numFmtId="0" fontId="24" fillId="13" borderId="4" xfId="2" applyFont="1" applyFill="1" applyBorder="1" applyAlignment="1">
      <alignment vertical="center"/>
    </xf>
    <xf numFmtId="0" fontId="24" fillId="13" borderId="3" xfId="2" applyFont="1" applyFill="1" applyBorder="1" applyAlignment="1">
      <alignment vertical="center"/>
    </xf>
    <xf numFmtId="0" fontId="24" fillId="13" borderId="2" xfId="2" applyFont="1" applyFill="1" applyBorder="1" applyAlignment="1">
      <alignment horizontal="center" vertical="center"/>
    </xf>
    <xf numFmtId="0" fontId="24" fillId="13" borderId="1" xfId="2" applyFont="1" applyFill="1" applyBorder="1" applyAlignment="1">
      <alignment horizontal="center"/>
    </xf>
    <xf numFmtId="167" fontId="24" fillId="13" borderId="1" xfId="2" applyNumberFormat="1" applyFont="1" applyFill="1" applyBorder="1" applyAlignment="1">
      <alignment horizontal="center" vertical="center"/>
    </xf>
    <xf numFmtId="0" fontId="24" fillId="13" borderId="1" xfId="2" applyFont="1" applyFill="1" applyBorder="1" applyAlignment="1">
      <alignment horizontal="center" vertical="center"/>
    </xf>
    <xf numFmtId="39" fontId="40" fillId="38" borderId="1" xfId="2" applyNumberFormat="1" applyFont="1" applyFill="1" applyBorder="1" applyAlignment="1">
      <alignment vertical="top"/>
    </xf>
    <xf numFmtId="0" fontId="3" fillId="0" borderId="0" xfId="2" applyFont="1" applyFill="1" applyBorder="1" applyAlignment="1"/>
    <xf numFmtId="167" fontId="3" fillId="0" borderId="0" xfId="2" applyNumberFormat="1" applyFont="1" applyFill="1" applyBorder="1" applyAlignment="1">
      <alignment horizontal="center" vertical="center"/>
    </xf>
    <xf numFmtId="169" fontId="3" fillId="0" borderId="0" xfId="2" applyNumberFormat="1" applyFont="1" applyFill="1" applyBorder="1"/>
    <xf numFmtId="166" fontId="14" fillId="0" borderId="0" xfId="2" applyNumberFormat="1" applyFont="1" applyFill="1" applyBorder="1" applyAlignment="1">
      <alignment vertical="top"/>
    </xf>
    <xf numFmtId="166" fontId="3" fillId="0" borderId="0" xfId="18" applyFont="1" applyFill="1" applyBorder="1"/>
    <xf numFmtId="166" fontId="17" fillId="0" borderId="1" xfId="18" applyFont="1" applyFill="1" applyBorder="1"/>
    <xf numFmtId="0" fontId="17" fillId="0" borderId="1" xfId="2" applyFont="1" applyFill="1" applyBorder="1" applyAlignment="1">
      <alignment vertical="top"/>
    </xf>
    <xf numFmtId="39" fontId="6" fillId="0" borderId="1" xfId="2" applyNumberFormat="1" applyFont="1" applyFill="1" applyBorder="1" applyAlignment="1">
      <alignment vertical="top"/>
    </xf>
    <xf numFmtId="9" fontId="17" fillId="0" borderId="1" xfId="17" applyFont="1" applyFill="1" applyBorder="1" applyAlignment="1">
      <alignment vertical="top"/>
    </xf>
    <xf numFmtId="9" fontId="3" fillId="0" borderId="0" xfId="17" applyNumberFormat="1" applyFont="1" applyFill="1" applyBorder="1"/>
    <xf numFmtId="9" fontId="3" fillId="0" borderId="0" xfId="17" applyFont="1" applyFill="1" applyBorder="1"/>
    <xf numFmtId="166" fontId="3" fillId="0" borderId="0" xfId="2" applyNumberFormat="1" applyFont="1" applyFill="1" applyBorder="1"/>
    <xf numFmtId="43" fontId="3" fillId="0" borderId="0" xfId="2" applyNumberFormat="1" applyFont="1" applyFill="1" applyBorder="1"/>
    <xf numFmtId="0" fontId="14" fillId="2" borderId="0" xfId="2" applyFont="1" applyFill="1" applyBorder="1"/>
    <xf numFmtId="9" fontId="14" fillId="2" borderId="0" xfId="2" applyNumberFormat="1" applyFont="1" applyFill="1" applyBorder="1"/>
    <xf numFmtId="0" fontId="24" fillId="12" borderId="14" xfId="2" applyFont="1" applyFill="1" applyBorder="1" applyAlignment="1">
      <alignment horizontal="center" vertical="center"/>
    </xf>
    <xf numFmtId="0" fontId="24" fillId="12" borderId="11" xfId="2" applyFont="1" applyFill="1" applyBorder="1" applyAlignment="1">
      <alignment horizontal="center" vertical="center"/>
    </xf>
    <xf numFmtId="0" fontId="24" fillId="0" borderId="6" xfId="2" applyFont="1" applyFill="1" applyBorder="1" applyAlignment="1">
      <alignment horizontal="left" vertical="top" wrapText="1"/>
    </xf>
    <xf numFmtId="0" fontId="24" fillId="0" borderId="0" xfId="2" applyFont="1" applyFill="1" applyBorder="1" applyAlignment="1">
      <alignment horizontal="left" vertical="top" wrapText="1"/>
    </xf>
    <xf numFmtId="0" fontId="24" fillId="0" borderId="9" xfId="2"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13" xfId="2" applyFont="1" applyFill="1" applyBorder="1" applyAlignment="1">
      <alignment horizontal="left" vertical="top" wrapText="1"/>
    </xf>
    <xf numFmtId="0" fontId="24" fillId="0" borderId="10" xfId="2" applyFont="1" applyFill="1" applyBorder="1" applyAlignment="1">
      <alignment horizontal="left" vertical="top" wrapText="1"/>
    </xf>
    <xf numFmtId="0" fontId="24" fillId="0" borderId="14" xfId="2" applyFont="1" applyFill="1" applyBorder="1" applyAlignment="1">
      <alignment vertical="top" wrapText="1"/>
    </xf>
    <xf numFmtId="0" fontId="24" fillId="0" borderId="15" xfId="2" applyFont="1" applyFill="1" applyBorder="1" applyAlignment="1">
      <alignment vertical="top" wrapText="1"/>
    </xf>
    <xf numFmtId="0" fontId="24" fillId="7" borderId="4" xfId="2" applyFont="1" applyFill="1" applyBorder="1" applyAlignment="1">
      <alignment vertical="top"/>
    </xf>
    <xf numFmtId="0" fontId="24" fillId="7" borderId="3" xfId="2" applyFont="1" applyFill="1" applyBorder="1" applyAlignment="1">
      <alignment vertical="top"/>
    </xf>
    <xf numFmtId="0" fontId="41" fillId="6" borderId="4" xfId="2" applyFont="1" applyFill="1" applyBorder="1" applyAlignment="1">
      <alignment vertical="top" wrapText="1"/>
    </xf>
    <xf numFmtId="0" fontId="41" fillId="6" borderId="3" xfId="2" applyFont="1" applyFill="1" applyBorder="1" applyAlignment="1">
      <alignment vertical="top" wrapText="1"/>
    </xf>
    <xf numFmtId="0" fontId="57" fillId="25" borderId="4" xfId="2" applyFont="1" applyFill="1" applyBorder="1" applyAlignment="1">
      <alignment horizontal="center" vertical="center"/>
    </xf>
    <xf numFmtId="0" fontId="57" fillId="25" borderId="3" xfId="2" applyFont="1" applyFill="1" applyBorder="1" applyAlignment="1">
      <alignment horizontal="center" vertical="center"/>
    </xf>
    <xf numFmtId="0" fontId="57" fillId="0" borderId="14" xfId="2" applyFont="1" applyFill="1" applyBorder="1" applyAlignment="1">
      <alignment horizontal="center" vertical="center" wrapText="1"/>
    </xf>
    <xf numFmtId="0" fontId="57" fillId="0" borderId="15" xfId="2" applyFont="1" applyFill="1" applyBorder="1" applyAlignment="1">
      <alignment horizontal="center" vertical="center" wrapText="1"/>
    </xf>
    <xf numFmtId="0" fontId="57" fillId="0" borderId="11" xfId="2" applyFont="1" applyFill="1" applyBorder="1" applyAlignment="1">
      <alignment horizontal="center" vertical="center" wrapText="1"/>
    </xf>
    <xf numFmtId="0" fontId="58" fillId="0" borderId="6" xfId="2" applyFont="1" applyFill="1" applyBorder="1" applyAlignment="1">
      <alignment horizontal="justify" vertical="center" wrapText="1"/>
    </xf>
    <xf numFmtId="0" fontId="58" fillId="0" borderId="0" xfId="2" applyFont="1" applyFill="1" applyBorder="1" applyAlignment="1">
      <alignment horizontal="justify" vertical="center"/>
    </xf>
    <xf numFmtId="0" fontId="58" fillId="0" borderId="9" xfId="2" applyFont="1" applyFill="1" applyBorder="1" applyAlignment="1">
      <alignment horizontal="justify" vertical="center"/>
    </xf>
    <xf numFmtId="0" fontId="58" fillId="0" borderId="6" xfId="2" applyFont="1" applyFill="1" applyBorder="1" applyAlignment="1">
      <alignment horizontal="justify" wrapText="1"/>
    </xf>
    <xf numFmtId="0" fontId="58" fillId="0" borderId="0" xfId="2" applyFont="1" applyFill="1" applyBorder="1" applyAlignment="1">
      <alignment horizontal="justify" wrapText="1"/>
    </xf>
    <xf numFmtId="0" fontId="58" fillId="0" borderId="9" xfId="2" applyFont="1" applyFill="1" applyBorder="1" applyAlignment="1">
      <alignment horizontal="justify" wrapText="1"/>
    </xf>
    <xf numFmtId="0" fontId="58" fillId="0" borderId="0" xfId="2" applyFont="1" applyFill="1" applyBorder="1" applyAlignment="1">
      <alignment horizontal="justify" vertical="center" wrapText="1"/>
    </xf>
    <xf numFmtId="0" fontId="58" fillId="0" borderId="9" xfId="2" applyFont="1" applyFill="1" applyBorder="1" applyAlignment="1">
      <alignment horizontal="justify" vertical="center" wrapText="1"/>
    </xf>
    <xf numFmtId="0" fontId="58" fillId="0" borderId="6" xfId="2" applyFont="1" applyFill="1" applyBorder="1" applyAlignment="1">
      <alignment horizontal="left" wrapText="1"/>
    </xf>
    <xf numFmtId="0" fontId="58" fillId="0" borderId="0" xfId="2" applyFont="1" applyFill="1" applyBorder="1" applyAlignment="1">
      <alignment horizontal="left" wrapText="1"/>
    </xf>
    <xf numFmtId="0" fontId="58" fillId="0" borderId="9" xfId="2" applyFont="1" applyFill="1" applyBorder="1" applyAlignment="1">
      <alignment horizontal="left" wrapText="1"/>
    </xf>
    <xf numFmtId="0" fontId="58" fillId="0" borderId="6" xfId="2" applyFont="1" applyFill="1" applyBorder="1" applyAlignment="1">
      <alignment horizontal="left" vertical="center" wrapText="1"/>
    </xf>
    <xf numFmtId="0" fontId="58" fillId="0" borderId="9" xfId="2" applyFont="1" applyFill="1" applyBorder="1" applyAlignment="1">
      <alignment horizontal="left" vertical="center" wrapText="1"/>
    </xf>
    <xf numFmtId="0" fontId="57" fillId="11" borderId="14" xfId="2" applyFont="1" applyFill="1" applyBorder="1" applyAlignment="1">
      <alignment horizontal="center" vertical="center" wrapText="1"/>
    </xf>
    <xf numFmtId="0" fontId="57" fillId="11" borderId="15" xfId="2" applyFont="1" applyFill="1" applyBorder="1" applyAlignment="1">
      <alignment horizontal="center" vertical="center" wrapText="1"/>
    </xf>
    <xf numFmtId="0" fontId="57" fillId="0" borderId="7" xfId="2" applyFont="1" applyFill="1" applyBorder="1" applyAlignment="1">
      <alignment horizontal="center" vertical="center" wrapText="1"/>
    </xf>
    <xf numFmtId="0" fontId="57" fillId="0" borderId="13" xfId="2" applyFont="1" applyFill="1" applyBorder="1" applyAlignment="1">
      <alignment horizontal="center" vertical="center" wrapText="1"/>
    </xf>
    <xf numFmtId="0" fontId="57" fillId="0" borderId="10" xfId="2" applyFont="1" applyFill="1" applyBorder="1" applyAlignment="1">
      <alignment horizontal="center" vertical="center" wrapText="1"/>
    </xf>
    <xf numFmtId="0" fontId="56" fillId="0" borderId="14" xfId="2" applyFont="1" applyFill="1" applyBorder="1" applyAlignment="1">
      <alignment horizontal="left" vertical="center" wrapText="1"/>
    </xf>
    <xf numFmtId="0" fontId="56" fillId="0" borderId="15" xfId="2" applyFont="1" applyFill="1" applyBorder="1" applyAlignment="1">
      <alignment horizontal="left" vertical="center" wrapText="1"/>
    </xf>
    <xf numFmtId="0" fontId="57" fillId="9" borderId="4" xfId="2" applyFont="1" applyFill="1" applyBorder="1" applyAlignment="1">
      <alignment horizontal="left" vertical="center"/>
    </xf>
    <xf numFmtId="0" fontId="57" fillId="9" borderId="3" xfId="2" applyFont="1" applyFill="1" applyBorder="1" applyAlignment="1">
      <alignment horizontal="left" vertical="center"/>
    </xf>
    <xf numFmtId="0" fontId="58" fillId="0" borderId="4" xfId="2" applyFont="1" applyFill="1" applyBorder="1" applyAlignment="1">
      <alignment horizontal="left" vertical="center"/>
    </xf>
    <xf numFmtId="0" fontId="58" fillId="0" borderId="2" xfId="2" applyFont="1" applyFill="1" applyBorder="1" applyAlignment="1">
      <alignment horizontal="left" vertical="center"/>
    </xf>
    <xf numFmtId="0" fontId="58" fillId="0" borderId="3" xfId="2" applyFont="1" applyFill="1" applyBorder="1" applyAlignment="1">
      <alignment horizontal="left" vertical="center" wrapText="1"/>
    </xf>
    <xf numFmtId="0" fontId="58" fillId="0" borderId="2" xfId="2" applyFont="1" applyFill="1" applyBorder="1" applyAlignment="1">
      <alignment horizontal="left" vertical="center" wrapText="1"/>
    </xf>
    <xf numFmtId="0" fontId="57" fillId="0" borderId="4" xfId="2" applyFont="1" applyFill="1" applyBorder="1" applyAlignment="1">
      <alignment horizontal="center" vertical="center"/>
    </xf>
    <xf numFmtId="0" fontId="57" fillId="0" borderId="2" xfId="2" applyFont="1" applyFill="1" applyBorder="1" applyAlignment="1">
      <alignment horizontal="center" vertical="center"/>
    </xf>
    <xf numFmtId="0" fontId="57" fillId="6" borderId="4" xfId="2" applyFont="1" applyFill="1" applyBorder="1" applyAlignment="1">
      <alignment horizontal="left" vertical="center" wrapText="1"/>
    </xf>
    <xf numFmtId="0" fontId="57" fillId="6" borderId="3" xfId="2" applyFont="1" applyFill="1" applyBorder="1" applyAlignment="1">
      <alignment horizontal="left" vertical="center" wrapText="1"/>
    </xf>
    <xf numFmtId="0" fontId="58" fillId="0" borderId="3" xfId="2" applyFont="1" applyFill="1" applyBorder="1" applyAlignment="1">
      <alignment horizontal="left" wrapText="1"/>
    </xf>
    <xf numFmtId="0" fontId="58" fillId="0" borderId="2" xfId="2" applyFont="1" applyFill="1" applyBorder="1" applyAlignment="1">
      <alignment horizontal="left" wrapText="1"/>
    </xf>
    <xf numFmtId="0" fontId="14" fillId="7" borderId="4"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10" borderId="4" xfId="0" applyFont="1" applyFill="1" applyBorder="1" applyAlignment="1">
      <alignment horizontal="left" vertical="center" wrapText="1"/>
    </xf>
    <xf numFmtId="0" fontId="17" fillId="10" borderId="3" xfId="0" applyFont="1" applyFill="1" applyBorder="1" applyAlignment="1">
      <alignment horizontal="left" vertical="center" wrapText="1"/>
    </xf>
    <xf numFmtId="0" fontId="17" fillId="9" borderId="4" xfId="0" applyFont="1" applyFill="1" applyBorder="1" applyAlignment="1">
      <alignment horizontal="left" vertical="center"/>
    </xf>
    <xf numFmtId="0" fontId="17" fillId="9" borderId="3" xfId="0" applyFont="1" applyFill="1" applyBorder="1" applyAlignment="1">
      <alignment horizontal="left" vertical="center"/>
    </xf>
    <xf numFmtId="0" fontId="30" fillId="0" borderId="4"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1" xfId="0" applyFont="1" applyFill="1" applyBorder="1" applyAlignment="1">
      <alignment horizontal="left" vertical="top" wrapText="1"/>
    </xf>
    <xf numFmtId="0" fontId="17" fillId="0" borderId="14" xfId="0" applyFont="1" applyFill="1" applyBorder="1" applyAlignment="1">
      <alignment vertical="top" wrapText="1"/>
    </xf>
    <xf numFmtId="0" fontId="17" fillId="0" borderId="15" xfId="0" applyFont="1" applyFill="1" applyBorder="1" applyAlignment="1">
      <alignment vertical="top" wrapText="1"/>
    </xf>
    <xf numFmtId="0" fontId="17" fillId="0" borderId="11" xfId="0" applyFont="1" applyFill="1" applyBorder="1" applyAlignment="1">
      <alignment vertical="top" wrapText="1"/>
    </xf>
    <xf numFmtId="0" fontId="81" fillId="0" borderId="14" xfId="0" applyFont="1" applyBorder="1" applyAlignment="1">
      <alignment horizontal="center" vertical="center"/>
    </xf>
    <xf numFmtId="0" fontId="81" fillId="0" borderId="15" xfId="0" applyFont="1" applyBorder="1" applyAlignment="1">
      <alignment horizontal="center" vertical="center"/>
    </xf>
    <xf numFmtId="0" fontId="81" fillId="0" borderId="14" xfId="0" applyFont="1" applyBorder="1" applyAlignment="1">
      <alignment horizontal="center" vertical="center" wrapText="1"/>
    </xf>
    <xf numFmtId="0" fontId="81" fillId="0" borderId="11" xfId="0" applyFont="1" applyBorder="1" applyAlignment="1">
      <alignment horizontal="center" vertical="center"/>
    </xf>
    <xf numFmtId="0" fontId="17" fillId="0" borderId="14"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13" borderId="4" xfId="0" applyFont="1" applyFill="1" applyBorder="1" applyAlignment="1">
      <alignment horizontal="right"/>
    </xf>
    <xf numFmtId="0" fontId="17" fillId="13" borderId="3" xfId="0" applyFont="1" applyFill="1" applyBorder="1" applyAlignment="1">
      <alignment horizontal="right"/>
    </xf>
    <xf numFmtId="0" fontId="17" fillId="13" borderId="2" xfId="0" applyFont="1" applyFill="1" applyBorder="1" applyAlignment="1">
      <alignment horizontal="right"/>
    </xf>
    <xf numFmtId="0" fontId="17" fillId="13" borderId="4" xfId="0" applyFont="1" applyFill="1" applyBorder="1" applyAlignment="1">
      <alignment horizontal="right" vertical="center"/>
    </xf>
    <xf numFmtId="0" fontId="17" fillId="13" borderId="3" xfId="0" applyFont="1" applyFill="1" applyBorder="1" applyAlignment="1">
      <alignment horizontal="right" vertical="center"/>
    </xf>
    <xf numFmtId="0" fontId="18" fillId="0" borderId="12" xfId="0" applyFont="1" applyFill="1" applyBorder="1" applyAlignment="1">
      <alignment horizontal="left" wrapText="1"/>
    </xf>
    <xf numFmtId="0" fontId="18" fillId="0" borderId="0" xfId="0" applyFont="1" applyFill="1" applyBorder="1" applyAlignment="1">
      <alignment horizontal="left" wrapText="1"/>
    </xf>
    <xf numFmtId="0" fontId="18" fillId="0" borderId="13" xfId="0" applyFont="1" applyFill="1" applyBorder="1" applyAlignment="1">
      <alignment horizontal="left" wrapText="1"/>
    </xf>
    <xf numFmtId="0" fontId="18" fillId="0" borderId="8" xfId="0" applyFont="1" applyFill="1" applyBorder="1" applyAlignment="1">
      <alignment horizontal="left" wrapText="1"/>
    </xf>
    <xf numFmtId="0" fontId="18" fillId="0" borderId="9" xfId="0" applyFont="1" applyFill="1" applyBorder="1" applyAlignment="1">
      <alignment horizontal="left" wrapText="1"/>
    </xf>
    <xf numFmtId="0" fontId="18" fillId="0" borderId="10" xfId="0" applyFont="1" applyFill="1" applyBorder="1" applyAlignment="1">
      <alignment horizontal="left" wrapText="1"/>
    </xf>
    <xf numFmtId="0" fontId="17" fillId="9" borderId="2" xfId="0" applyFont="1" applyFill="1" applyBorder="1" applyAlignment="1">
      <alignment horizontal="left" vertical="center"/>
    </xf>
    <xf numFmtId="0" fontId="17" fillId="12" borderId="5" xfId="0" applyFont="1" applyFill="1" applyBorder="1" applyAlignment="1">
      <alignment horizontal="right" vertical="center"/>
    </xf>
    <xf numFmtId="0" fontId="17" fillId="12" borderId="6" xfId="0" applyFont="1" applyFill="1" applyBorder="1" applyAlignment="1">
      <alignment horizontal="right" vertical="center"/>
    </xf>
    <xf numFmtId="0" fontId="17" fillId="12" borderId="7" xfId="0" applyFont="1" applyFill="1" applyBorder="1" applyAlignment="1">
      <alignment horizontal="right" vertical="center"/>
    </xf>
    <xf numFmtId="0" fontId="17" fillId="12" borderId="8" xfId="0" applyFont="1" applyFill="1" applyBorder="1" applyAlignment="1">
      <alignment horizontal="right" vertical="center"/>
    </xf>
    <xf numFmtId="0" fontId="17" fillId="12" borderId="9" xfId="0" applyFont="1" applyFill="1" applyBorder="1" applyAlignment="1">
      <alignment horizontal="right" vertical="center"/>
    </xf>
    <xf numFmtId="0" fontId="17" fillId="12" borderId="10" xfId="0" applyFont="1" applyFill="1" applyBorder="1" applyAlignment="1">
      <alignment horizontal="right" vertical="center"/>
    </xf>
    <xf numFmtId="0" fontId="17" fillId="12" borderId="14" xfId="0" applyFont="1" applyFill="1" applyBorder="1" applyAlignment="1">
      <alignment horizontal="left" vertical="center"/>
    </xf>
    <xf numFmtId="0" fontId="17" fillId="12" borderId="11" xfId="0" applyFont="1" applyFill="1" applyBorder="1" applyAlignment="1">
      <alignment horizontal="left" vertical="center"/>
    </xf>
    <xf numFmtId="0" fontId="68" fillId="0" borderId="19" xfId="9" applyFont="1" applyFill="1" applyBorder="1" applyAlignment="1">
      <alignment horizontal="left"/>
    </xf>
    <xf numFmtId="0" fontId="16" fillId="6" borderId="4" xfId="13" applyFont="1" applyFill="1" applyBorder="1" applyAlignment="1">
      <alignment horizontal="left" vertical="center" wrapText="1"/>
    </xf>
    <xf numFmtId="0" fontId="16" fillId="6" borderId="3" xfId="13" applyFont="1" applyFill="1" applyBorder="1" applyAlignment="1">
      <alignment horizontal="left" vertical="center" wrapText="1"/>
    </xf>
    <xf numFmtId="0" fontId="17" fillId="29" borderId="14" xfId="13" applyFont="1" applyFill="1" applyBorder="1" applyAlignment="1">
      <alignment horizontal="left" vertical="center"/>
    </xf>
    <xf numFmtId="0" fontId="17" fillId="29" borderId="11" xfId="13" applyFont="1" applyFill="1" applyBorder="1" applyAlignment="1">
      <alignment horizontal="left" vertical="center"/>
    </xf>
    <xf numFmtId="0" fontId="18" fillId="0" borderId="12" xfId="13" applyFont="1" applyFill="1" applyBorder="1" applyAlignment="1">
      <alignment horizontal="left" wrapText="1"/>
    </xf>
    <xf numFmtId="0" fontId="18" fillId="0" borderId="0" xfId="13" applyFont="1" applyFill="1" applyBorder="1" applyAlignment="1">
      <alignment horizontal="left" wrapText="1"/>
    </xf>
    <xf numFmtId="0" fontId="18" fillId="0" borderId="13" xfId="13" applyFont="1" applyFill="1" applyBorder="1" applyAlignment="1">
      <alignment horizontal="left" wrapText="1"/>
    </xf>
    <xf numFmtId="0" fontId="18" fillId="0" borderId="8" xfId="13" applyFont="1" applyFill="1" applyBorder="1" applyAlignment="1">
      <alignment horizontal="left" wrapText="1"/>
    </xf>
    <xf numFmtId="0" fontId="18" fillId="0" borderId="9" xfId="13" applyFont="1" applyFill="1" applyBorder="1" applyAlignment="1">
      <alignment horizontal="left" wrapText="1"/>
    </xf>
    <xf numFmtId="0" fontId="18" fillId="0" borderId="10" xfId="13" applyFont="1" applyFill="1" applyBorder="1" applyAlignment="1">
      <alignment horizontal="left" wrapText="1"/>
    </xf>
    <xf numFmtId="0" fontId="65" fillId="32" borderId="18" xfId="10" applyFont="1" applyFill="1" applyBorder="1" applyAlignment="1">
      <alignment horizontal="center"/>
    </xf>
    <xf numFmtId="0" fontId="20" fillId="8" borderId="4" xfId="13" applyFont="1" applyFill="1" applyBorder="1" applyAlignment="1">
      <alignment horizontal="center" vertical="top" wrapText="1"/>
    </xf>
    <xf numFmtId="0" fontId="20" fillId="8" borderId="3" xfId="13" applyFont="1" applyFill="1" applyBorder="1" applyAlignment="1">
      <alignment horizontal="center" vertical="top" wrapText="1"/>
    </xf>
    <xf numFmtId="0" fontId="20" fillId="8" borderId="2" xfId="13" applyFont="1" applyFill="1" applyBorder="1" applyAlignment="1">
      <alignment horizontal="center" vertical="top" wrapText="1"/>
    </xf>
    <xf numFmtId="0" fontId="17" fillId="0" borderId="14" xfId="13" applyFont="1" applyFill="1" applyBorder="1" applyAlignment="1">
      <alignment horizontal="left" vertical="center" wrapText="1"/>
    </xf>
    <xf numFmtId="0" fontId="17" fillId="0" borderId="15" xfId="13" applyFont="1" applyFill="1" applyBorder="1" applyAlignment="1">
      <alignment horizontal="left" vertical="center" wrapText="1"/>
    </xf>
    <xf numFmtId="0" fontId="17" fillId="0" borderId="11" xfId="13" applyFont="1" applyFill="1" applyBorder="1" applyAlignment="1">
      <alignment horizontal="left" vertical="center" wrapText="1"/>
    </xf>
    <xf numFmtId="0" fontId="20" fillId="8" borderId="4" xfId="13" applyFont="1" applyFill="1" applyBorder="1" applyAlignment="1">
      <alignment horizontal="left" vertical="top" wrapText="1"/>
    </xf>
    <xf numFmtId="0" fontId="20" fillId="8" borderId="3" xfId="13" applyFont="1" applyFill="1" applyBorder="1" applyAlignment="1">
      <alignment horizontal="left" vertical="top" wrapText="1"/>
    </xf>
    <xf numFmtId="0" fontId="20" fillId="8" borderId="2" xfId="13" applyFont="1" applyFill="1" applyBorder="1" applyAlignment="1">
      <alignment horizontal="left" vertical="top" wrapText="1"/>
    </xf>
    <xf numFmtId="0" fontId="17" fillId="28" borderId="4" xfId="13" applyFont="1" applyFill="1" applyBorder="1" applyAlignment="1">
      <alignment horizontal="left" vertical="center" wrapText="1"/>
    </xf>
    <xf numFmtId="0" fontId="17" fillId="28" borderId="2" xfId="13" applyFont="1" applyFill="1" applyBorder="1" applyAlignment="1">
      <alignment horizontal="left" vertical="center" wrapText="1"/>
    </xf>
    <xf numFmtId="0" fontId="17" fillId="0" borderId="7" xfId="13" applyFont="1" applyFill="1" applyBorder="1" applyAlignment="1">
      <alignment horizontal="left" vertical="center" wrapText="1"/>
    </xf>
    <xf numFmtId="0" fontId="17" fillId="0" borderId="13" xfId="13" applyFont="1" applyFill="1" applyBorder="1" applyAlignment="1">
      <alignment horizontal="left" vertical="center" wrapText="1"/>
    </xf>
    <xf numFmtId="0" fontId="17" fillId="0" borderId="10" xfId="13" applyFont="1" applyFill="1" applyBorder="1" applyAlignment="1">
      <alignment horizontal="left" vertical="center" wrapText="1"/>
    </xf>
    <xf numFmtId="0" fontId="17" fillId="0" borderId="14" xfId="13" applyFont="1" applyFill="1" applyBorder="1" applyAlignment="1">
      <alignment horizontal="left" vertical="top" wrapText="1"/>
    </xf>
    <xf numFmtId="0" fontId="17" fillId="0" borderId="11" xfId="13" applyFont="1" applyFill="1" applyBorder="1" applyAlignment="1">
      <alignment horizontal="left" vertical="top" wrapText="1"/>
    </xf>
    <xf numFmtId="0" fontId="70" fillId="4" borderId="14" xfId="0" applyFont="1" applyFill="1" applyBorder="1" applyAlignment="1">
      <alignment horizontal="left" vertical="top" wrapText="1"/>
    </xf>
    <xf numFmtId="0" fontId="70" fillId="4" borderId="15" xfId="0" applyFont="1" applyFill="1" applyBorder="1" applyAlignment="1">
      <alignment horizontal="left" vertical="top" wrapText="1"/>
    </xf>
    <xf numFmtId="0" fontId="70" fillId="4" borderId="11" xfId="0" applyFont="1" applyFill="1" applyBorder="1" applyAlignment="1">
      <alignment horizontal="left" vertical="top" wrapText="1"/>
    </xf>
    <xf numFmtId="0" fontId="71" fillId="4" borderId="14" xfId="0" applyFont="1" applyFill="1" applyBorder="1" applyAlignment="1">
      <alignment horizontal="left" vertical="top" wrapText="1"/>
    </xf>
    <xf numFmtId="0" fontId="71" fillId="4" borderId="15" xfId="0" applyFont="1" applyFill="1" applyBorder="1" applyAlignment="1">
      <alignment horizontal="left" vertical="top" wrapText="1"/>
    </xf>
    <xf numFmtId="0" fontId="71" fillId="4" borderId="11" xfId="0" applyFont="1" applyFill="1" applyBorder="1" applyAlignment="1">
      <alignment horizontal="left" vertical="top" wrapText="1"/>
    </xf>
    <xf numFmtId="0" fontId="6" fillId="22" borderId="4" xfId="0" applyFont="1" applyFill="1" applyBorder="1" applyAlignment="1">
      <alignment horizontal="left" vertical="center"/>
    </xf>
    <xf numFmtId="0" fontId="6" fillId="22" borderId="3" xfId="0" applyFont="1" applyFill="1" applyBorder="1" applyAlignment="1">
      <alignment horizontal="left" vertical="center"/>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13" fillId="20" borderId="4" xfId="0" applyFont="1" applyFill="1" applyBorder="1" applyAlignment="1">
      <alignment horizontal="left" vertical="center" wrapText="1"/>
    </xf>
    <xf numFmtId="0" fontId="13" fillId="20" borderId="3" xfId="0" applyFont="1" applyFill="1" applyBorder="1" applyAlignment="1">
      <alignment horizontal="left" vertical="center" wrapText="1"/>
    </xf>
    <xf numFmtId="0" fontId="6" fillId="24" borderId="14" xfId="0" applyFont="1" applyFill="1" applyBorder="1" applyAlignment="1">
      <alignment horizontal="left" vertical="center"/>
    </xf>
    <xf numFmtId="0" fontId="6" fillId="24" borderId="11" xfId="0" applyFont="1" applyFill="1" applyBorder="1" applyAlignment="1">
      <alignment horizontal="left" vertical="center"/>
    </xf>
    <xf numFmtId="0" fontId="5" fillId="0" borderId="12" xfId="0" applyFont="1" applyBorder="1" applyAlignment="1">
      <alignment horizontal="left" wrapText="1"/>
    </xf>
    <xf numFmtId="0" fontId="5" fillId="0" borderId="0" xfId="0" applyFont="1" applyBorder="1" applyAlignment="1">
      <alignment horizontal="left" wrapText="1"/>
    </xf>
    <xf numFmtId="0" fontId="5" fillId="0" borderId="13" xfId="0" applyFont="1" applyBorder="1" applyAlignment="1">
      <alignment horizontal="left" wrapText="1"/>
    </xf>
    <xf numFmtId="0" fontId="12" fillId="0" borderId="0" xfId="0" applyFont="1" applyAlignment="1">
      <alignment wrapText="1"/>
    </xf>
    <xf numFmtId="0" fontId="6" fillId="0" borderId="0" xfId="0" applyFont="1" applyAlignment="1">
      <alignment wrapText="1"/>
    </xf>
    <xf numFmtId="0" fontId="5" fillId="0" borderId="0" xfId="0" applyFont="1" applyAlignment="1">
      <alignment horizontal="left" vertical="center" wrapText="1"/>
    </xf>
  </cellXfs>
  <cellStyles count="19">
    <cellStyle name="Accent1" xfId="11" builtinId="29"/>
    <cellStyle name="Comma" xfId="1" builtinId="3"/>
    <cellStyle name="Comma 2" xfId="5" xr:uid="{00000000-0005-0000-0000-000002000000}"/>
    <cellStyle name="Comma 2 2" xfId="15" xr:uid="{00000000-0005-0000-0000-000003000000}"/>
    <cellStyle name="Comma 3" xfId="4" xr:uid="{00000000-0005-0000-0000-000004000000}"/>
    <cellStyle name="Currency" xfId="12" builtinId="4"/>
    <cellStyle name="Currency 2" xfId="14" xr:uid="{00000000-0005-0000-0000-000006000000}"/>
    <cellStyle name="Heading 1" xfId="9" builtinId="16"/>
    <cellStyle name="Heading 2" xfId="10" builtinId="17"/>
    <cellStyle name="Milliers 2" xfId="18" xr:uid="{00000000-0005-0000-0000-000009000000}"/>
    <cellStyle name="Normal" xfId="0" builtinId="0"/>
    <cellStyle name="Normal 2" xfId="2" xr:uid="{00000000-0005-0000-0000-00000B000000}"/>
    <cellStyle name="Normal 2 2" xfId="16" xr:uid="{00000000-0005-0000-0000-00000C000000}"/>
    <cellStyle name="Normal 2 3" xfId="8" xr:uid="{00000000-0005-0000-0000-00000D000000}"/>
    <cellStyle name="Normal 3" xfId="7" xr:uid="{00000000-0005-0000-0000-00000E000000}"/>
    <cellStyle name="Normal 4" xfId="13" xr:uid="{00000000-0005-0000-0000-00000F000000}"/>
    <cellStyle name="Percent" xfId="3" builtinId="5"/>
    <cellStyle name="Percent 2" xfId="6" xr:uid="{00000000-0005-0000-0000-000011000000}"/>
    <cellStyle name="Pourcentage 2" xfId="17"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99"/>
      <color rgb="FFFFCC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kasongo\Documents\GJS\2016\GMS%20Rate%20Calculator%20-%20Revision%20January%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S Calculator"/>
      <sheetName val="dataRates"/>
    </sheetNames>
    <sheetDataSet>
      <sheetData sheetId="0"/>
      <sheetData sheetId="1">
        <row r="6">
          <cell r="B6" t="str">
            <v>Choose from dropdown list</v>
          </cell>
        </row>
        <row r="7">
          <cell r="B7" t="str">
            <v>Country (including TTF country)</v>
          </cell>
        </row>
        <row r="8">
          <cell r="B8" t="str">
            <v>Regional (including TTF Regional)</v>
          </cell>
        </row>
        <row r="9">
          <cell r="B9" t="str">
            <v>Global (including TTF, GEF, MP, Cap21)</v>
          </cell>
        </row>
        <row r="10">
          <cell r="B10" t="str">
            <v>GFATM</v>
          </cell>
        </row>
        <row r="11">
          <cell r="B11" t="str">
            <v>Hybrid Projects (including, BCPR TF)</v>
          </cell>
        </row>
        <row r="12">
          <cell r="B12" t="str">
            <v>Government Cost Sharing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1091"/>
  <sheetViews>
    <sheetView topLeftCell="B133" zoomScale="113" zoomScaleNormal="113" workbookViewId="0">
      <selection activeCell="H171" sqref="H171"/>
    </sheetView>
  </sheetViews>
  <sheetFormatPr defaultColWidth="11.42578125" defaultRowHeight="12.75" x14ac:dyDescent="0.2"/>
  <cols>
    <col min="1" max="1" width="33.140625" style="1639" customWidth="1"/>
    <col min="2" max="2" width="52.28515625" style="1522" bestFit="1" customWidth="1"/>
    <col min="3" max="3" width="46" style="1639" bestFit="1" customWidth="1"/>
    <col min="4" max="4" width="23.28515625" style="1535" customWidth="1"/>
    <col min="5" max="5" width="9.28515625" style="1535" customWidth="1"/>
    <col min="6" max="6" width="13.42578125" style="1640" customWidth="1"/>
    <col min="7" max="7" width="12.140625" style="1471" customWidth="1"/>
    <col min="8" max="8" width="15.5703125" style="1640" customWidth="1"/>
    <col min="9" max="9" width="13.140625" style="1324" customWidth="1"/>
    <col min="10" max="10" width="11.28515625" style="1324" customWidth="1"/>
    <col min="11" max="11" width="13.5703125" style="1324" customWidth="1"/>
    <col min="12" max="12" width="12" style="1652" bestFit="1" customWidth="1"/>
    <col min="13" max="13" width="10.7109375" style="1653" customWidth="1"/>
    <col min="14" max="14" width="51.7109375" style="1324" customWidth="1"/>
    <col min="15" max="16384" width="11.42578125" style="1324"/>
  </cols>
  <sheetData>
    <row r="1" spans="1:19" ht="18" customHeight="1" x14ac:dyDescent="0.2">
      <c r="A1" s="1316"/>
      <c r="B1" s="1316"/>
      <c r="C1" s="1316"/>
      <c r="D1" s="1317" t="s">
        <v>121</v>
      </c>
      <c r="E1" s="1318"/>
      <c r="F1" s="1319"/>
      <c r="G1" s="1318"/>
      <c r="H1" s="1320"/>
      <c r="I1" s="1316"/>
      <c r="J1" s="1321"/>
      <c r="K1" s="1321"/>
      <c r="L1" s="1322"/>
      <c r="M1" s="1323"/>
      <c r="N1" s="1316"/>
    </row>
    <row r="2" spans="1:19" x14ac:dyDescent="0.2">
      <c r="A2" s="1325" t="s">
        <v>122</v>
      </c>
      <c r="B2" s="1316"/>
      <c r="C2" s="1316"/>
      <c r="D2" s="1316"/>
      <c r="E2" s="1326"/>
      <c r="F2" s="1320"/>
      <c r="G2" s="1326"/>
      <c r="H2" s="1320"/>
      <c r="I2" s="1316"/>
      <c r="J2" s="1321"/>
      <c r="K2" s="1321"/>
      <c r="L2" s="1322"/>
      <c r="M2" s="1323"/>
      <c r="N2" s="1316"/>
    </row>
    <row r="3" spans="1:19" x14ac:dyDescent="0.2">
      <c r="A3" s="1325" t="s">
        <v>123</v>
      </c>
      <c r="B3" s="1316"/>
      <c r="C3" s="1316"/>
      <c r="D3" s="1316"/>
      <c r="E3" s="1326"/>
      <c r="F3" s="1320"/>
      <c r="G3" s="1326"/>
      <c r="H3" s="1320"/>
      <c r="I3" s="1316"/>
      <c r="J3" s="1321"/>
      <c r="K3" s="1321"/>
      <c r="L3" s="1322"/>
      <c r="M3" s="1323"/>
      <c r="N3" s="1316"/>
    </row>
    <row r="4" spans="1:19" ht="12.75" customHeight="1" x14ac:dyDescent="0.2">
      <c r="A4" s="1325" t="s">
        <v>124</v>
      </c>
      <c r="B4" s="1327"/>
      <c r="C4" s="1316"/>
      <c r="D4" s="1327"/>
      <c r="E4" s="1328"/>
      <c r="F4" s="1329"/>
      <c r="G4" s="1328"/>
      <c r="H4" s="1329"/>
      <c r="J4" s="1321"/>
      <c r="K4" s="1321"/>
      <c r="L4" s="1330"/>
      <c r="M4" s="1331"/>
      <c r="N4" s="1316"/>
    </row>
    <row r="5" spans="1:19" ht="12.75" customHeight="1" x14ac:dyDescent="0.2">
      <c r="A5" s="1325" t="s">
        <v>125</v>
      </c>
      <c r="B5" s="1327"/>
      <c r="C5" s="1316"/>
      <c r="D5" s="1327"/>
      <c r="E5" s="1328"/>
      <c r="F5" s="1329"/>
      <c r="G5" s="1328"/>
      <c r="H5" s="1329"/>
      <c r="I5" s="1327"/>
      <c r="J5" s="1330"/>
      <c r="K5" s="1330"/>
      <c r="L5" s="1330"/>
      <c r="M5" s="1331"/>
      <c r="N5" s="1316"/>
    </row>
    <row r="6" spans="1:19" ht="12.75" customHeight="1" x14ac:dyDescent="0.2">
      <c r="A6" s="1325" t="s">
        <v>28</v>
      </c>
      <c r="B6" s="1327"/>
      <c r="C6" s="1327"/>
      <c r="D6" s="1327"/>
      <c r="E6" s="1328"/>
      <c r="F6" s="1329"/>
      <c r="G6" s="1328"/>
      <c r="H6" s="1329"/>
      <c r="I6" s="1327"/>
      <c r="J6" s="1330"/>
      <c r="K6" s="1330"/>
      <c r="L6" s="1330"/>
      <c r="M6" s="1331"/>
      <c r="N6" s="1316"/>
    </row>
    <row r="7" spans="1:19" ht="12.75" customHeight="1" x14ac:dyDescent="0.2">
      <c r="A7" s="1325" t="s">
        <v>126</v>
      </c>
      <c r="B7" s="1327"/>
      <c r="C7" s="1327"/>
      <c r="D7" s="1327"/>
      <c r="E7" s="1328"/>
      <c r="F7" s="1329"/>
      <c r="G7" s="1328"/>
      <c r="H7" s="1329"/>
      <c r="I7" s="1327"/>
      <c r="J7" s="1330"/>
      <c r="K7" s="1330"/>
      <c r="L7" s="1330"/>
      <c r="M7" s="1331"/>
      <c r="N7" s="1316"/>
    </row>
    <row r="8" spans="1:19" ht="51" x14ac:dyDescent="0.2">
      <c r="A8" s="1332" t="s">
        <v>6</v>
      </c>
      <c r="B8" s="1332" t="s">
        <v>7</v>
      </c>
      <c r="C8" s="1332" t="s">
        <v>31</v>
      </c>
      <c r="D8" s="832" t="s">
        <v>26</v>
      </c>
      <c r="E8" s="1333" t="s">
        <v>3</v>
      </c>
      <c r="F8" s="197" t="s">
        <v>4</v>
      </c>
      <c r="G8" s="1333" t="s">
        <v>5</v>
      </c>
      <c r="H8" s="1334" t="s">
        <v>8</v>
      </c>
      <c r="I8" s="1335" t="s">
        <v>19</v>
      </c>
      <c r="J8" s="1336" t="s">
        <v>113</v>
      </c>
      <c r="K8" s="1337" t="s">
        <v>750</v>
      </c>
      <c r="L8" s="1338" t="s">
        <v>751</v>
      </c>
      <c r="M8" s="1339" t="s">
        <v>642</v>
      </c>
      <c r="N8" s="1340" t="s">
        <v>30</v>
      </c>
    </row>
    <row r="9" spans="1:19" s="834" customFormat="1" ht="22.5" customHeight="1" x14ac:dyDescent="0.2">
      <c r="A9" s="1341" t="s">
        <v>39</v>
      </c>
      <c r="B9" s="1342"/>
      <c r="C9" s="1342"/>
      <c r="D9" s="1342"/>
      <c r="E9" s="1342"/>
      <c r="F9" s="1342"/>
      <c r="G9" s="1342"/>
      <c r="H9" s="1342"/>
      <c r="I9" s="1342"/>
      <c r="J9" s="1342"/>
      <c r="K9" s="1343"/>
      <c r="L9" s="1343"/>
      <c r="M9" s="1344"/>
      <c r="N9" s="1345"/>
      <c r="O9" s="1346"/>
      <c r="P9" s="1346"/>
      <c r="Q9" s="1346"/>
      <c r="R9" s="1346"/>
      <c r="S9" s="1347"/>
    </row>
    <row r="10" spans="1:19" ht="22.9" customHeight="1" x14ac:dyDescent="0.2">
      <c r="A10" s="1348" t="s">
        <v>127</v>
      </c>
      <c r="B10" s="1349"/>
      <c r="C10" s="1349"/>
      <c r="D10" s="1349"/>
      <c r="E10" s="1349"/>
      <c r="F10" s="1349"/>
      <c r="G10" s="1349"/>
      <c r="H10" s="1349"/>
      <c r="I10" s="1349"/>
      <c r="J10" s="1349"/>
      <c r="K10" s="1350"/>
      <c r="L10" s="1350"/>
      <c r="M10" s="1351"/>
      <c r="N10" s="1352"/>
    </row>
    <row r="11" spans="1:19" x14ac:dyDescent="0.2">
      <c r="A11" s="1353" t="s">
        <v>128</v>
      </c>
      <c r="B11" s="1353"/>
      <c r="C11" s="1353"/>
      <c r="D11" s="1353"/>
      <c r="E11" s="1353"/>
      <c r="F11" s="1353"/>
      <c r="G11" s="1353"/>
      <c r="H11" s="1353"/>
      <c r="I11" s="1353"/>
      <c r="J11" s="1353"/>
      <c r="K11" s="1354"/>
      <c r="L11" s="1354"/>
      <c r="M11" s="1355"/>
      <c r="N11" s="1356"/>
    </row>
    <row r="12" spans="1:19" s="1359" customFormat="1" ht="46.5" customHeight="1" x14ac:dyDescent="0.2">
      <c r="A12" s="1656" t="s">
        <v>129</v>
      </c>
      <c r="B12" s="1357" t="s">
        <v>130</v>
      </c>
      <c r="C12" s="1358"/>
      <c r="D12" s="1358" t="s">
        <v>131</v>
      </c>
      <c r="I12" s="199"/>
      <c r="J12" s="199"/>
      <c r="K12" s="1360"/>
      <c r="L12" s="1360"/>
      <c r="M12" s="1361"/>
      <c r="N12" s="1362"/>
    </row>
    <row r="13" spans="1:19" s="1359" customFormat="1" x14ac:dyDescent="0.2">
      <c r="A13" s="1657"/>
      <c r="B13" s="1363" t="s">
        <v>132</v>
      </c>
      <c r="C13" s="1358" t="s">
        <v>11</v>
      </c>
      <c r="D13" s="1358" t="s">
        <v>131</v>
      </c>
      <c r="E13" s="1364">
        <v>4</v>
      </c>
      <c r="F13" s="1365">
        <v>350</v>
      </c>
      <c r="G13" s="1364">
        <v>1</v>
      </c>
      <c r="H13" s="200">
        <f t="shared" ref="H13:H15" si="0">G13*F13*E13</f>
        <v>1400</v>
      </c>
      <c r="I13" s="199"/>
      <c r="J13" s="199"/>
      <c r="K13" s="1360"/>
      <c r="L13" s="1360"/>
      <c r="M13" s="1361"/>
      <c r="N13" s="1362"/>
    </row>
    <row r="14" spans="1:19" s="1367" customFormat="1" ht="17.45" customHeight="1" x14ac:dyDescent="0.2">
      <c r="A14" s="1657"/>
      <c r="B14" s="1363" t="s">
        <v>133</v>
      </c>
      <c r="C14" s="1358" t="s">
        <v>14</v>
      </c>
      <c r="D14" s="1358" t="s">
        <v>131</v>
      </c>
      <c r="E14" s="1364">
        <v>4</v>
      </c>
      <c r="F14" s="1365">
        <v>30</v>
      </c>
      <c r="G14" s="1364">
        <v>10</v>
      </c>
      <c r="H14" s="200">
        <f t="shared" si="0"/>
        <v>1200</v>
      </c>
      <c r="I14" s="201"/>
      <c r="J14" s="201"/>
      <c r="K14" s="1360"/>
      <c r="L14" s="1360"/>
      <c r="M14" s="1361"/>
      <c r="N14" s="1366"/>
    </row>
    <row r="15" spans="1:19" s="1367" customFormat="1" ht="16.149999999999999" customHeight="1" x14ac:dyDescent="0.2">
      <c r="A15" s="1657"/>
      <c r="B15" s="1363" t="s">
        <v>134</v>
      </c>
      <c r="C15" s="1358" t="s">
        <v>13</v>
      </c>
      <c r="D15" s="1358" t="s">
        <v>131</v>
      </c>
      <c r="E15" s="1368">
        <v>4</v>
      </c>
      <c r="F15" s="1365">
        <v>125</v>
      </c>
      <c r="G15" s="1368">
        <v>2</v>
      </c>
      <c r="H15" s="200">
        <f t="shared" si="0"/>
        <v>1000</v>
      </c>
      <c r="I15" s="201"/>
      <c r="J15" s="201"/>
      <c r="K15" s="1360"/>
      <c r="L15" s="1360"/>
      <c r="M15" s="1361"/>
      <c r="N15" s="1366"/>
    </row>
    <row r="16" spans="1:19" s="1367" customFormat="1" x14ac:dyDescent="0.2">
      <c r="A16" s="1657"/>
      <c r="B16" s="1369"/>
      <c r="C16" s="1370"/>
      <c r="D16" s="1370"/>
      <c r="E16" s="1371"/>
      <c r="F16" s="1372"/>
      <c r="G16" s="1371"/>
      <c r="H16" s="211">
        <f>SUM(H13:H15)</f>
        <v>3600</v>
      </c>
      <c r="I16" s="1373">
        <v>0.3</v>
      </c>
      <c r="J16" s="1374">
        <f>H16*I16</f>
        <v>1080</v>
      </c>
      <c r="K16" s="1374">
        <v>3600</v>
      </c>
      <c r="L16" s="1375">
        <v>3600</v>
      </c>
      <c r="M16" s="1376">
        <v>1</v>
      </c>
      <c r="N16" s="1370" t="s">
        <v>752</v>
      </c>
    </row>
    <row r="17" spans="1:14" s="1367" customFormat="1" ht="44.25" customHeight="1" x14ac:dyDescent="0.2">
      <c r="A17" s="1657"/>
      <c r="B17" s="1377" t="s">
        <v>135</v>
      </c>
      <c r="C17" s="1378"/>
      <c r="D17" s="1358" t="s">
        <v>131</v>
      </c>
      <c r="E17" s="1379"/>
      <c r="F17" s="1380"/>
      <c r="G17" s="1379"/>
      <c r="H17" s="202"/>
      <c r="I17" s="201"/>
      <c r="J17" s="201"/>
      <c r="K17" s="1360"/>
      <c r="L17" s="1360"/>
      <c r="M17" s="1361"/>
      <c r="N17" s="1366"/>
    </row>
    <row r="18" spans="1:14" s="1367" customFormat="1" ht="17.45" customHeight="1" x14ac:dyDescent="0.2">
      <c r="A18" s="1657"/>
      <c r="B18" s="1363" t="s">
        <v>136</v>
      </c>
      <c r="C18" s="1358" t="s">
        <v>13</v>
      </c>
      <c r="D18" s="1358" t="s">
        <v>131</v>
      </c>
      <c r="E18" s="1364">
        <v>38</v>
      </c>
      <c r="F18" s="1381">
        <v>15</v>
      </c>
      <c r="G18" s="1364">
        <v>3</v>
      </c>
      <c r="H18" s="200">
        <f t="shared" ref="H18:H24" si="1">E18*F18*G18</f>
        <v>1710</v>
      </c>
      <c r="I18" s="201"/>
      <c r="J18" s="201"/>
      <c r="K18" s="1360"/>
      <c r="L18" s="1360"/>
      <c r="M18" s="1361"/>
      <c r="N18" s="1366"/>
    </row>
    <row r="19" spans="1:14" s="1367" customFormat="1" x14ac:dyDescent="0.2">
      <c r="A19" s="1657"/>
      <c r="B19" s="1363" t="s">
        <v>137</v>
      </c>
      <c r="C19" s="1358" t="s">
        <v>13</v>
      </c>
      <c r="D19" s="1358" t="s">
        <v>131</v>
      </c>
      <c r="E19" s="1364">
        <v>32</v>
      </c>
      <c r="F19" s="1381">
        <v>25</v>
      </c>
      <c r="G19" s="1364">
        <v>4</v>
      </c>
      <c r="H19" s="200">
        <f t="shared" si="1"/>
        <v>3200</v>
      </c>
      <c r="I19" s="201"/>
      <c r="J19" s="201"/>
      <c r="K19" s="1360"/>
      <c r="L19" s="1360"/>
      <c r="M19" s="1361"/>
      <c r="N19" s="1366"/>
    </row>
    <row r="20" spans="1:14" s="1367" customFormat="1" ht="15.6" customHeight="1" x14ac:dyDescent="0.2">
      <c r="A20" s="1657"/>
      <c r="B20" s="1363" t="s">
        <v>138</v>
      </c>
      <c r="C20" s="1358" t="s">
        <v>13</v>
      </c>
      <c r="D20" s="1358" t="s">
        <v>131</v>
      </c>
      <c r="E20" s="1364">
        <v>38</v>
      </c>
      <c r="F20" s="1381">
        <v>15</v>
      </c>
      <c r="G20" s="1364">
        <v>4</v>
      </c>
      <c r="H20" s="200">
        <f t="shared" si="1"/>
        <v>2280</v>
      </c>
      <c r="I20" s="201"/>
      <c r="J20" s="201"/>
      <c r="K20" s="1360"/>
      <c r="L20" s="1360"/>
      <c r="M20" s="1361"/>
      <c r="N20" s="1366"/>
    </row>
    <row r="21" spans="1:14" s="1367" customFormat="1" x14ac:dyDescent="0.2">
      <c r="A21" s="1657"/>
      <c r="B21" s="1363" t="s">
        <v>139</v>
      </c>
      <c r="C21" s="1358" t="s">
        <v>13</v>
      </c>
      <c r="D21" s="1358" t="s">
        <v>131</v>
      </c>
      <c r="E21" s="1364">
        <v>32</v>
      </c>
      <c r="F21" s="1381">
        <v>45</v>
      </c>
      <c r="G21" s="1364">
        <v>3</v>
      </c>
      <c r="H21" s="200">
        <f t="shared" si="1"/>
        <v>4320</v>
      </c>
      <c r="I21" s="201"/>
      <c r="J21" s="201"/>
      <c r="K21" s="1360"/>
      <c r="L21" s="1360"/>
      <c r="M21" s="1361"/>
      <c r="N21" s="1366"/>
    </row>
    <row r="22" spans="1:14" s="1367" customFormat="1" ht="25.5" x14ac:dyDescent="0.2">
      <c r="A22" s="1657"/>
      <c r="B22" s="1363" t="s">
        <v>140</v>
      </c>
      <c r="C22" s="1358" t="s">
        <v>14</v>
      </c>
      <c r="D22" s="1358" t="s">
        <v>131</v>
      </c>
      <c r="E22" s="1364">
        <v>38</v>
      </c>
      <c r="F22" s="1381">
        <v>10</v>
      </c>
      <c r="G22" s="1364">
        <v>3</v>
      </c>
      <c r="H22" s="200">
        <f t="shared" si="1"/>
        <v>1140</v>
      </c>
      <c r="I22" s="201"/>
      <c r="J22" s="201"/>
      <c r="K22" s="1360"/>
      <c r="L22" s="1360"/>
      <c r="M22" s="1361"/>
      <c r="N22" s="1366"/>
    </row>
    <row r="23" spans="1:14" s="1367" customFormat="1" x14ac:dyDescent="0.2">
      <c r="A23" s="1657"/>
      <c r="B23" s="1363" t="s">
        <v>141</v>
      </c>
      <c r="C23" s="1358" t="s">
        <v>14</v>
      </c>
      <c r="D23" s="1358" t="s">
        <v>131</v>
      </c>
      <c r="E23" s="1364">
        <f>1*2</f>
        <v>2</v>
      </c>
      <c r="F23" s="1381">
        <v>100</v>
      </c>
      <c r="G23" s="1364">
        <v>3</v>
      </c>
      <c r="H23" s="200">
        <f t="shared" si="1"/>
        <v>600</v>
      </c>
      <c r="I23" s="201"/>
      <c r="J23" s="201"/>
      <c r="K23" s="1360"/>
      <c r="L23" s="1360"/>
      <c r="M23" s="1361"/>
      <c r="N23" s="1366"/>
    </row>
    <row r="24" spans="1:14" s="1367" customFormat="1" x14ac:dyDescent="0.2">
      <c r="A24" s="1657"/>
      <c r="B24" s="1363" t="s">
        <v>142</v>
      </c>
      <c r="C24" s="1358" t="s">
        <v>13</v>
      </c>
      <c r="D24" s="1358" t="s">
        <v>131</v>
      </c>
      <c r="E24" s="1364">
        <v>1</v>
      </c>
      <c r="F24" s="1381">
        <v>100</v>
      </c>
      <c r="G24" s="1364">
        <v>3</v>
      </c>
      <c r="H24" s="200">
        <f t="shared" si="1"/>
        <v>300</v>
      </c>
      <c r="I24" s="201"/>
      <c r="J24" s="201"/>
      <c r="K24" s="1360"/>
      <c r="L24" s="1360"/>
      <c r="M24" s="1361"/>
      <c r="N24" s="1366"/>
    </row>
    <row r="25" spans="1:14" s="1367" customFormat="1" ht="15" customHeight="1" x14ac:dyDescent="0.2">
      <c r="A25" s="1657"/>
      <c r="B25" s="1369"/>
      <c r="C25" s="1370"/>
      <c r="D25" s="1370"/>
      <c r="E25" s="1371"/>
      <c r="F25" s="1372"/>
      <c r="G25" s="1371"/>
      <c r="H25" s="211">
        <f>SUM(H18:H24)</f>
        <v>13550</v>
      </c>
      <c r="I25" s="1373">
        <v>0.3</v>
      </c>
      <c r="J25" s="1374">
        <f>H25*I25</f>
        <v>4065</v>
      </c>
      <c r="K25" s="1374">
        <v>13550</v>
      </c>
      <c r="L25" s="1375">
        <v>13550</v>
      </c>
      <c r="M25" s="1376">
        <v>1</v>
      </c>
      <c r="N25" s="1370" t="s">
        <v>752</v>
      </c>
    </row>
    <row r="26" spans="1:14" s="1367" customFormat="1" ht="38.25" x14ac:dyDescent="0.2">
      <c r="A26" s="1657"/>
      <c r="B26" s="1377" t="s">
        <v>143</v>
      </c>
      <c r="C26" s="1378"/>
      <c r="D26" s="1378" t="s">
        <v>131</v>
      </c>
      <c r="E26" s="1379"/>
      <c r="F26" s="1380"/>
      <c r="G26" s="1379"/>
      <c r="H26" s="202"/>
      <c r="I26" s="201"/>
      <c r="J26" s="201"/>
      <c r="K26" s="1360"/>
      <c r="L26" s="1360"/>
      <c r="M26" s="1361"/>
      <c r="N26" s="1366"/>
    </row>
    <row r="27" spans="1:14" s="1367" customFormat="1" ht="38.25" x14ac:dyDescent="0.2">
      <c r="A27" s="1657"/>
      <c r="B27" s="1363" t="s">
        <v>144</v>
      </c>
      <c r="C27" s="1358" t="s">
        <v>11</v>
      </c>
      <c r="D27" s="1358" t="s">
        <v>131</v>
      </c>
      <c r="E27" s="1364">
        <v>1</v>
      </c>
      <c r="F27" s="1381">
        <v>2025.5</v>
      </c>
      <c r="G27" s="1364">
        <v>1</v>
      </c>
      <c r="H27" s="200">
        <f>E27*F27*G27</f>
        <v>2025.5</v>
      </c>
      <c r="I27" s="201"/>
      <c r="J27" s="201"/>
      <c r="K27" s="1360"/>
      <c r="L27" s="1360"/>
      <c r="M27" s="1361"/>
      <c r="N27" s="1366"/>
    </row>
    <row r="28" spans="1:14" s="1367" customFormat="1" ht="25.5" x14ac:dyDescent="0.2">
      <c r="A28" s="1657"/>
      <c r="B28" s="1363" t="s">
        <v>145</v>
      </c>
      <c r="C28" s="1358" t="s">
        <v>14</v>
      </c>
      <c r="D28" s="1358" t="s">
        <v>131</v>
      </c>
      <c r="E28" s="1364">
        <v>200</v>
      </c>
      <c r="F28" s="1381">
        <v>9.25</v>
      </c>
      <c r="G28" s="1364">
        <v>1</v>
      </c>
      <c r="H28" s="200">
        <f>E28*F28*G28</f>
        <v>1850</v>
      </c>
      <c r="I28" s="201"/>
      <c r="J28" s="201"/>
      <c r="K28" s="1360"/>
      <c r="L28" s="1360"/>
      <c r="M28" s="1361"/>
      <c r="N28" s="1366"/>
    </row>
    <row r="29" spans="1:14" s="1367" customFormat="1" ht="13.5" x14ac:dyDescent="0.2">
      <c r="A29" s="1657"/>
      <c r="B29" s="1382"/>
      <c r="C29" s="1383"/>
      <c r="D29" s="1384" t="s">
        <v>0</v>
      </c>
      <c r="E29" s="1385"/>
      <c r="F29" s="1386"/>
      <c r="G29" s="1385"/>
      <c r="H29" s="1387">
        <f>SUM(H27:H28)</f>
        <v>3875.5</v>
      </c>
      <c r="I29" s="1388"/>
      <c r="J29" s="1388"/>
      <c r="K29" s="1389">
        <v>3875</v>
      </c>
      <c r="L29" s="1390">
        <v>3875.5</v>
      </c>
      <c r="M29" s="1391">
        <v>1</v>
      </c>
      <c r="N29" s="1383" t="s">
        <v>753</v>
      </c>
    </row>
    <row r="30" spans="1:14" s="1367" customFormat="1" ht="25.5" x14ac:dyDescent="0.2">
      <c r="A30" s="1657"/>
      <c r="B30" s="1357" t="s">
        <v>754</v>
      </c>
      <c r="C30" s="1378"/>
      <c r="D30" s="1358" t="s">
        <v>131</v>
      </c>
      <c r="E30" s="1379"/>
      <c r="F30" s="1380"/>
      <c r="G30" s="1379"/>
      <c r="H30" s="202"/>
      <c r="I30" s="201"/>
      <c r="J30" s="201"/>
      <c r="K30" s="1360"/>
      <c r="L30" s="1360"/>
      <c r="M30" s="1361"/>
      <c r="N30" s="1366"/>
    </row>
    <row r="31" spans="1:14" s="1367" customFormat="1" x14ac:dyDescent="0.2">
      <c r="A31" s="1657"/>
      <c r="B31" s="1363" t="s">
        <v>146</v>
      </c>
      <c r="C31" s="1358" t="s">
        <v>13</v>
      </c>
      <c r="D31" s="1358" t="s">
        <v>131</v>
      </c>
      <c r="E31" s="1364">
        <v>36</v>
      </c>
      <c r="F31" s="1381">
        <v>15</v>
      </c>
      <c r="G31" s="1364">
        <v>1</v>
      </c>
      <c r="H31" s="200">
        <f>G31*F31*E31</f>
        <v>540</v>
      </c>
      <c r="I31" s="201"/>
      <c r="J31" s="201"/>
      <c r="K31" s="1360"/>
      <c r="L31" s="1360"/>
      <c r="M31" s="1361"/>
      <c r="N31" s="1366"/>
    </row>
    <row r="32" spans="1:14" s="1367" customFormat="1" x14ac:dyDescent="0.2">
      <c r="A32" s="1657"/>
      <c r="B32" s="1363" t="s">
        <v>137</v>
      </c>
      <c r="C32" s="1358" t="s">
        <v>13</v>
      </c>
      <c r="D32" s="1358" t="s">
        <v>131</v>
      </c>
      <c r="E32" s="1364">
        <v>30</v>
      </c>
      <c r="F32" s="1381">
        <v>25</v>
      </c>
      <c r="G32" s="1364">
        <v>1</v>
      </c>
      <c r="H32" s="200">
        <f t="shared" ref="H32:H37" si="2">G32*F32*E32</f>
        <v>750</v>
      </c>
      <c r="I32" s="201"/>
      <c r="J32" s="201"/>
      <c r="K32" s="1360"/>
      <c r="L32" s="1360"/>
      <c r="M32" s="1361"/>
      <c r="N32" s="1366"/>
    </row>
    <row r="33" spans="1:14" s="1367" customFormat="1" ht="15" customHeight="1" x14ac:dyDescent="0.2">
      <c r="A33" s="1657"/>
      <c r="B33" s="1363" t="s">
        <v>147</v>
      </c>
      <c r="C33" s="1358" t="s">
        <v>13</v>
      </c>
      <c r="D33" s="1358" t="s">
        <v>131</v>
      </c>
      <c r="E33" s="1364">
        <v>36</v>
      </c>
      <c r="F33" s="1381">
        <v>10</v>
      </c>
      <c r="G33" s="1364">
        <v>1</v>
      </c>
      <c r="H33" s="200">
        <f t="shared" si="2"/>
        <v>360</v>
      </c>
      <c r="I33" s="201"/>
      <c r="J33" s="201"/>
      <c r="K33" s="1360"/>
      <c r="L33" s="1360"/>
      <c r="M33" s="1361"/>
      <c r="N33" s="1366"/>
    </row>
    <row r="34" spans="1:14" s="1367" customFormat="1" ht="12.6" customHeight="1" x14ac:dyDescent="0.2">
      <c r="A34" s="1657"/>
      <c r="B34" s="1363" t="s">
        <v>139</v>
      </c>
      <c r="C34" s="1358" t="s">
        <v>13</v>
      </c>
      <c r="D34" s="1358" t="s">
        <v>131</v>
      </c>
      <c r="E34" s="1364">
        <v>30</v>
      </c>
      <c r="F34" s="1381">
        <v>45</v>
      </c>
      <c r="G34" s="1364">
        <v>1</v>
      </c>
      <c r="H34" s="200">
        <f t="shared" si="2"/>
        <v>1350</v>
      </c>
      <c r="I34" s="201"/>
      <c r="J34" s="201"/>
      <c r="K34" s="1360"/>
      <c r="L34" s="1360"/>
      <c r="M34" s="1361"/>
      <c r="N34" s="1366"/>
    </row>
    <row r="35" spans="1:14" s="1367" customFormat="1" ht="25.5" x14ac:dyDescent="0.2">
      <c r="A35" s="1657"/>
      <c r="B35" s="1363" t="s">
        <v>148</v>
      </c>
      <c r="C35" s="1358" t="s">
        <v>14</v>
      </c>
      <c r="D35" s="1358" t="s">
        <v>131</v>
      </c>
      <c r="E35" s="1364">
        <v>36</v>
      </c>
      <c r="F35" s="1381">
        <v>10</v>
      </c>
      <c r="G35" s="1364">
        <v>1</v>
      </c>
      <c r="H35" s="200">
        <f t="shared" si="2"/>
        <v>360</v>
      </c>
      <c r="I35" s="201"/>
      <c r="J35" s="201"/>
      <c r="K35" s="1360"/>
      <c r="L35" s="1360"/>
      <c r="M35" s="1361"/>
      <c r="N35" s="1366"/>
    </row>
    <row r="36" spans="1:14" s="1367" customFormat="1" x14ac:dyDescent="0.2">
      <c r="A36" s="1657"/>
      <c r="B36" s="1363" t="s">
        <v>61</v>
      </c>
      <c r="C36" s="1358" t="s">
        <v>14</v>
      </c>
      <c r="D36" s="1358" t="s">
        <v>131</v>
      </c>
      <c r="E36" s="1364">
        <v>1</v>
      </c>
      <c r="F36" s="1381">
        <v>100</v>
      </c>
      <c r="G36" s="1364">
        <v>1</v>
      </c>
      <c r="H36" s="200">
        <f t="shared" si="2"/>
        <v>100</v>
      </c>
      <c r="I36" s="201"/>
      <c r="J36" s="201"/>
      <c r="K36" s="1360"/>
      <c r="L36" s="1360"/>
      <c r="M36" s="1361"/>
      <c r="N36" s="1366"/>
    </row>
    <row r="37" spans="1:14" s="1367" customFormat="1" x14ac:dyDescent="0.2">
      <c r="A37" s="1657"/>
      <c r="B37" s="1363" t="s">
        <v>142</v>
      </c>
      <c r="C37" s="1358" t="s">
        <v>13</v>
      </c>
      <c r="D37" s="1358" t="s">
        <v>131</v>
      </c>
      <c r="E37" s="1364">
        <v>1</v>
      </c>
      <c r="F37" s="1381">
        <v>100</v>
      </c>
      <c r="G37" s="1364">
        <v>1</v>
      </c>
      <c r="H37" s="200">
        <f t="shared" si="2"/>
        <v>100</v>
      </c>
      <c r="I37" s="1392"/>
      <c r="J37" s="1392"/>
      <c r="K37" s="1393"/>
      <c r="L37" s="1360"/>
      <c r="M37" s="1361"/>
      <c r="N37" s="1366"/>
    </row>
    <row r="38" spans="1:14" s="1367" customFormat="1" ht="13.5" x14ac:dyDescent="0.2">
      <c r="A38" s="1657"/>
      <c r="B38" s="1369"/>
      <c r="C38" s="1370"/>
      <c r="D38" s="1394" t="s">
        <v>0</v>
      </c>
      <c r="E38" s="1371"/>
      <c r="F38" s="1372"/>
      <c r="G38" s="1371"/>
      <c r="H38" s="211">
        <f>SUM(H31:H37)</f>
        <v>3560</v>
      </c>
      <c r="I38" s="1373">
        <v>0.3</v>
      </c>
      <c r="J38" s="1374">
        <f>H38*I38</f>
        <v>1068</v>
      </c>
      <c r="K38" s="1374">
        <v>3650</v>
      </c>
      <c r="L38" s="1375">
        <v>3560</v>
      </c>
      <c r="M38" s="1376">
        <v>1</v>
      </c>
      <c r="N38" s="1370" t="s">
        <v>752</v>
      </c>
    </row>
    <row r="39" spans="1:14" s="1367" customFormat="1" ht="54.75" customHeight="1" x14ac:dyDescent="0.2">
      <c r="A39" s="1657"/>
      <c r="B39" s="1395" t="s">
        <v>149</v>
      </c>
      <c r="C39" s="1378"/>
      <c r="D39" s="1358" t="s">
        <v>131</v>
      </c>
      <c r="E39" s="1379"/>
      <c r="F39" s="1380"/>
      <c r="G39" s="1379"/>
      <c r="H39" s="200"/>
      <c r="I39" s="201"/>
      <c r="J39" s="201"/>
      <c r="K39" s="1360"/>
      <c r="L39" s="1360"/>
      <c r="M39" s="1361"/>
      <c r="N39" s="1366"/>
    </row>
    <row r="40" spans="1:14" s="1367" customFormat="1" ht="28.5" customHeight="1" x14ac:dyDescent="0.2">
      <c r="A40" s="1657"/>
      <c r="B40" s="1396" t="s">
        <v>150</v>
      </c>
      <c r="C40" s="1397" t="s">
        <v>27</v>
      </c>
      <c r="D40" s="1397" t="s">
        <v>131</v>
      </c>
      <c r="E40" s="1398">
        <v>10</v>
      </c>
      <c r="F40" s="1399">
        <v>100</v>
      </c>
      <c r="G40" s="1398">
        <v>1</v>
      </c>
      <c r="H40" s="1400">
        <f>E40*F40*G40</f>
        <v>1000</v>
      </c>
      <c r="I40" s="1401"/>
      <c r="J40" s="1402"/>
      <c r="K40" s="1402">
        <v>1000</v>
      </c>
      <c r="L40" s="1402">
        <v>1000</v>
      </c>
      <c r="M40" s="1403">
        <v>1</v>
      </c>
      <c r="N40" s="1404" t="s">
        <v>752</v>
      </c>
    </row>
    <row r="41" spans="1:14" s="1367" customFormat="1" ht="25.5" x14ac:dyDescent="0.2">
      <c r="A41" s="1657"/>
      <c r="B41" s="1405" t="s">
        <v>755</v>
      </c>
      <c r="C41" s="1406"/>
      <c r="D41" s="1407" t="s">
        <v>131</v>
      </c>
      <c r="E41" s="1408"/>
      <c r="F41" s="1409"/>
      <c r="G41" s="1408"/>
      <c r="H41" s="231"/>
      <c r="I41" s="201"/>
      <c r="J41" s="201"/>
      <c r="K41" s="1360"/>
      <c r="L41" s="1360"/>
      <c r="M41" s="1361"/>
      <c r="N41" s="1366"/>
    </row>
    <row r="42" spans="1:14" s="1367" customFormat="1" ht="38.25" x14ac:dyDescent="0.2">
      <c r="A42" s="1657"/>
      <c r="B42" s="1410" t="s">
        <v>756</v>
      </c>
      <c r="C42" s="1358" t="s">
        <v>13</v>
      </c>
      <c r="D42" s="1358" t="s">
        <v>131</v>
      </c>
      <c r="E42" s="1368">
        <v>1</v>
      </c>
      <c r="F42" s="1365">
        <v>300</v>
      </c>
      <c r="G42" s="1368">
        <v>11</v>
      </c>
      <c r="H42" s="200">
        <f>G42*F42*E42</f>
        <v>3300</v>
      </c>
      <c r="I42" s="201"/>
      <c r="J42" s="201"/>
      <c r="K42" s="1360">
        <v>3300</v>
      </c>
      <c r="L42" s="1360">
        <v>3300</v>
      </c>
      <c r="M42" s="1361">
        <v>1</v>
      </c>
      <c r="N42" s="1358" t="s">
        <v>757</v>
      </c>
    </row>
    <row r="43" spans="1:14" s="1367" customFormat="1" ht="38.25" x14ac:dyDescent="0.2">
      <c r="A43" s="1657"/>
      <c r="B43" s="1411" t="s">
        <v>151</v>
      </c>
      <c r="C43" s="1397" t="s">
        <v>27</v>
      </c>
      <c r="D43" s="1397" t="s">
        <v>131</v>
      </c>
      <c r="E43" s="1398">
        <v>1</v>
      </c>
      <c r="F43" s="1399">
        <f>850+225+350</f>
        <v>1425</v>
      </c>
      <c r="G43" s="1398">
        <v>1</v>
      </c>
      <c r="H43" s="1400">
        <f>G43*F43*E43</f>
        <v>1425</v>
      </c>
      <c r="I43" s="1401"/>
      <c r="J43" s="1401"/>
      <c r="K43" s="1402">
        <v>1425</v>
      </c>
      <c r="L43" s="1402">
        <v>1425</v>
      </c>
      <c r="M43" s="1403">
        <v>1</v>
      </c>
      <c r="N43" s="1397" t="s">
        <v>752</v>
      </c>
    </row>
    <row r="44" spans="1:14" s="1367" customFormat="1" ht="82.5" customHeight="1" x14ac:dyDescent="0.2">
      <c r="A44" s="1657"/>
      <c r="B44" s="1383"/>
      <c r="C44" s="1383"/>
      <c r="D44" s="1384" t="s">
        <v>0</v>
      </c>
      <c r="E44" s="1412"/>
      <c r="F44" s="1413"/>
      <c r="G44" s="1412"/>
      <c r="H44" s="1414">
        <f>SUM(H40:H43)</f>
        <v>5725</v>
      </c>
      <c r="I44" s="1388"/>
      <c r="J44" s="1388"/>
      <c r="K44" s="1389">
        <v>5725</v>
      </c>
      <c r="L44" s="1389">
        <f>SUM(L40:L43)</f>
        <v>5725</v>
      </c>
      <c r="M44" s="1391">
        <f>L44/H44</f>
        <v>1</v>
      </c>
      <c r="N44" s="1415" t="s">
        <v>758</v>
      </c>
    </row>
    <row r="45" spans="1:14" s="1367" customFormat="1" ht="38.25" x14ac:dyDescent="0.2">
      <c r="A45" s="1657"/>
      <c r="B45" s="1416" t="s">
        <v>152</v>
      </c>
      <c r="C45" s="1378"/>
      <c r="D45" s="1358" t="s">
        <v>131</v>
      </c>
      <c r="E45" s="1417"/>
      <c r="F45" s="1418"/>
      <c r="G45" s="1417"/>
      <c r="H45" s="202"/>
      <c r="I45" s="201"/>
      <c r="J45" s="201"/>
      <c r="K45" s="1360"/>
      <c r="L45" s="1360"/>
      <c r="M45" s="1361"/>
      <c r="N45" s="1366"/>
    </row>
    <row r="46" spans="1:14" s="1367" customFormat="1" x14ac:dyDescent="0.2">
      <c r="A46" s="1657"/>
      <c r="B46" s="1363" t="s">
        <v>153</v>
      </c>
      <c r="C46" s="1358" t="s">
        <v>33</v>
      </c>
      <c r="D46" s="1358" t="s">
        <v>131</v>
      </c>
      <c r="E46" s="1368">
        <v>2</v>
      </c>
      <c r="F46" s="1365">
        <v>4025</v>
      </c>
      <c r="G46" s="1368">
        <v>1</v>
      </c>
      <c r="H46" s="200">
        <f>E46*F46*G46</f>
        <v>8050</v>
      </c>
      <c r="I46" s="201"/>
      <c r="J46" s="201"/>
      <c r="K46" s="1360"/>
      <c r="L46" s="1360"/>
      <c r="M46" s="1361"/>
      <c r="N46" s="1366"/>
    </row>
    <row r="47" spans="1:14" s="1367" customFormat="1" ht="25.5" x14ac:dyDescent="0.2">
      <c r="A47" s="1657"/>
      <c r="B47" s="1419" t="s">
        <v>154</v>
      </c>
      <c r="C47" s="1420" t="s">
        <v>33</v>
      </c>
      <c r="D47" s="1420" t="s">
        <v>131</v>
      </c>
      <c r="E47" s="1421">
        <v>2</v>
      </c>
      <c r="F47" s="1422">
        <v>1275</v>
      </c>
      <c r="G47" s="1421">
        <v>1</v>
      </c>
      <c r="H47" s="200">
        <f>E47*F47*G47</f>
        <v>2550</v>
      </c>
      <c r="I47" s="201"/>
      <c r="J47" s="201"/>
      <c r="K47" s="1360"/>
      <c r="L47" s="1360"/>
      <c r="M47" s="1361"/>
      <c r="N47" s="1366"/>
    </row>
    <row r="48" spans="1:14" s="1367" customFormat="1" ht="13.5" x14ac:dyDescent="0.2">
      <c r="A48" s="1657"/>
      <c r="B48" s="1369"/>
      <c r="C48" s="1370"/>
      <c r="D48" s="1394" t="s">
        <v>0</v>
      </c>
      <c r="E48" s="1423"/>
      <c r="F48" s="1424"/>
      <c r="G48" s="1423"/>
      <c r="H48" s="211">
        <f>SUM(H46:H47)</f>
        <v>10600</v>
      </c>
      <c r="I48" s="215"/>
      <c r="J48" s="215"/>
      <c r="K48" s="1375">
        <v>10600</v>
      </c>
      <c r="L48" s="1375">
        <v>10600</v>
      </c>
      <c r="M48" s="1376">
        <v>1</v>
      </c>
      <c r="N48" s="1370" t="s">
        <v>752</v>
      </c>
    </row>
    <row r="49" spans="1:14" s="1367" customFormat="1" ht="41.25" customHeight="1" x14ac:dyDescent="0.2">
      <c r="A49" s="1657"/>
      <c r="B49" s="1425" t="s">
        <v>155</v>
      </c>
      <c r="C49" s="1426" t="s">
        <v>12</v>
      </c>
      <c r="D49" s="1426" t="s">
        <v>131</v>
      </c>
      <c r="E49" s="1427">
        <v>10000</v>
      </c>
      <c r="F49" s="1428">
        <v>0.25</v>
      </c>
      <c r="G49" s="1427">
        <v>1</v>
      </c>
      <c r="H49" s="203">
        <f>E49*F49*G49</f>
        <v>2500</v>
      </c>
      <c r="I49" s="204"/>
      <c r="J49" s="204"/>
      <c r="K49" s="1429"/>
      <c r="L49" s="1429"/>
      <c r="M49" s="1430"/>
      <c r="N49" s="1431"/>
    </row>
    <row r="50" spans="1:14" s="1367" customFormat="1" ht="13.5" x14ac:dyDescent="0.2">
      <c r="A50" s="1657"/>
      <c r="B50" s="1369"/>
      <c r="C50" s="1370"/>
      <c r="D50" s="1394" t="s">
        <v>0</v>
      </c>
      <c r="E50" s="1423"/>
      <c r="F50" s="1424"/>
      <c r="G50" s="1423"/>
      <c r="H50" s="211">
        <f>SUM(H49)</f>
        <v>2500</v>
      </c>
      <c r="I50" s="215"/>
      <c r="J50" s="215"/>
      <c r="K50" s="1375">
        <v>2500</v>
      </c>
      <c r="L50" s="1375">
        <v>2500</v>
      </c>
      <c r="M50" s="1376">
        <v>1</v>
      </c>
      <c r="N50" s="1370" t="s">
        <v>752</v>
      </c>
    </row>
    <row r="51" spans="1:14" s="1367" customFormat="1" ht="38.25" x14ac:dyDescent="0.2">
      <c r="A51" s="1657"/>
      <c r="B51" s="1357" t="s">
        <v>156</v>
      </c>
      <c r="C51" s="1378"/>
      <c r="D51" s="1378" t="s">
        <v>131</v>
      </c>
      <c r="E51" s="1379"/>
      <c r="F51" s="1380"/>
      <c r="G51" s="1379"/>
      <c r="H51" s="202"/>
      <c r="I51" s="201"/>
      <c r="J51" s="201"/>
      <c r="K51" s="1360"/>
      <c r="L51" s="1360"/>
      <c r="M51" s="1361"/>
      <c r="N51" s="1366"/>
    </row>
    <row r="52" spans="1:14" s="1367" customFormat="1" x14ac:dyDescent="0.2">
      <c r="A52" s="1657"/>
      <c r="B52" s="1363" t="s">
        <v>157</v>
      </c>
      <c r="C52" s="1358" t="s">
        <v>14</v>
      </c>
      <c r="D52" s="1358" t="s">
        <v>131</v>
      </c>
      <c r="E52" s="1364">
        <v>20</v>
      </c>
      <c r="F52" s="1381">
        <v>15</v>
      </c>
      <c r="G52" s="1364">
        <v>10</v>
      </c>
      <c r="H52" s="200">
        <f>G52*F52*E52</f>
        <v>3000</v>
      </c>
      <c r="I52" s="201"/>
      <c r="J52" s="201"/>
      <c r="K52" s="1360"/>
      <c r="L52" s="1360"/>
      <c r="M52" s="1361"/>
      <c r="N52" s="1366"/>
    </row>
    <row r="53" spans="1:14" s="1367" customFormat="1" x14ac:dyDescent="0.2">
      <c r="A53" s="1657"/>
      <c r="B53" s="1363" t="s">
        <v>158</v>
      </c>
      <c r="C53" s="1358" t="s">
        <v>14</v>
      </c>
      <c r="D53" s="1358" t="s">
        <v>131</v>
      </c>
      <c r="E53" s="1364">
        <v>2</v>
      </c>
      <c r="F53" s="1365">
        <f>15+25</f>
        <v>40</v>
      </c>
      <c r="G53" s="1364">
        <v>10</v>
      </c>
      <c r="H53" s="200">
        <f t="shared" ref="H53:H54" si="3">G53*F53*E53</f>
        <v>800</v>
      </c>
      <c r="I53" s="201"/>
      <c r="J53" s="201"/>
      <c r="K53" s="1360"/>
      <c r="L53" s="1360"/>
      <c r="M53" s="1361"/>
      <c r="N53" s="1366"/>
    </row>
    <row r="54" spans="1:14" s="1367" customFormat="1" x14ac:dyDescent="0.2">
      <c r="A54" s="1657"/>
      <c r="B54" s="1363" t="s">
        <v>134</v>
      </c>
      <c r="C54" s="1358" t="s">
        <v>13</v>
      </c>
      <c r="D54" s="1358" t="s">
        <v>131</v>
      </c>
      <c r="E54" s="1368">
        <v>2</v>
      </c>
      <c r="F54" s="1365">
        <v>80</v>
      </c>
      <c r="G54" s="1368">
        <v>10</v>
      </c>
      <c r="H54" s="200">
        <f t="shared" si="3"/>
        <v>1600</v>
      </c>
      <c r="I54" s="201"/>
      <c r="J54" s="201"/>
      <c r="K54" s="1360"/>
      <c r="L54" s="1360"/>
      <c r="M54" s="1361"/>
      <c r="N54" s="1366"/>
    </row>
    <row r="55" spans="1:14" s="1367" customFormat="1" ht="13.5" x14ac:dyDescent="0.2">
      <c r="A55" s="1657"/>
      <c r="B55" s="1369"/>
      <c r="C55" s="1370"/>
      <c r="D55" s="1394" t="s">
        <v>0</v>
      </c>
      <c r="E55" s="1423"/>
      <c r="F55" s="1424"/>
      <c r="G55" s="1423"/>
      <c r="H55" s="211">
        <f>SUM(H52:H54)</f>
        <v>5400</v>
      </c>
      <c r="I55" s="1373">
        <v>0.3</v>
      </c>
      <c r="J55" s="1374">
        <f>H55*I55</f>
        <v>1620</v>
      </c>
      <c r="K55" s="1374">
        <v>5400</v>
      </c>
      <c r="L55" s="1375">
        <v>5400</v>
      </c>
      <c r="M55" s="1376">
        <v>1</v>
      </c>
      <c r="N55" s="1370" t="s">
        <v>752</v>
      </c>
    </row>
    <row r="56" spans="1:14" s="1367" customFormat="1" ht="38.25" x14ac:dyDescent="0.2">
      <c r="A56" s="1657"/>
      <c r="B56" s="1377" t="s">
        <v>759</v>
      </c>
      <c r="C56" s="1362"/>
      <c r="D56" s="1358" t="s">
        <v>131</v>
      </c>
      <c r="E56" s="1432"/>
      <c r="F56" s="1433"/>
      <c r="G56" s="1432"/>
      <c r="H56" s="1433"/>
      <c r="I56" s="201"/>
      <c r="J56" s="201"/>
      <c r="K56" s="1360"/>
      <c r="L56" s="1360"/>
      <c r="M56" s="1361"/>
      <c r="N56" s="1366"/>
    </row>
    <row r="57" spans="1:14" s="1367" customFormat="1" x14ac:dyDescent="0.2">
      <c r="A57" s="1657"/>
      <c r="B57" s="1363" t="s">
        <v>159</v>
      </c>
      <c r="C57" s="1358" t="s">
        <v>13</v>
      </c>
      <c r="D57" s="1358" t="s">
        <v>131</v>
      </c>
      <c r="E57" s="1364">
        <v>15</v>
      </c>
      <c r="F57" s="1381">
        <v>15</v>
      </c>
      <c r="G57" s="1364">
        <v>2</v>
      </c>
      <c r="H57" s="200">
        <f>G57*F57*E57</f>
        <v>450</v>
      </c>
      <c r="I57" s="201"/>
      <c r="J57" s="201"/>
      <c r="K57" s="1360"/>
      <c r="L57" s="1360"/>
      <c r="M57" s="1361"/>
      <c r="N57" s="1366"/>
    </row>
    <row r="58" spans="1:14" s="1367" customFormat="1" ht="15.6" customHeight="1" x14ac:dyDescent="0.2">
      <c r="A58" s="1657"/>
      <c r="B58" s="1363" t="s">
        <v>160</v>
      </c>
      <c r="C58" s="1358" t="s">
        <v>13</v>
      </c>
      <c r="D58" s="1358" t="s">
        <v>131</v>
      </c>
      <c r="E58" s="1364">
        <v>12</v>
      </c>
      <c r="F58" s="1381">
        <v>25</v>
      </c>
      <c r="G58" s="1364">
        <v>2</v>
      </c>
      <c r="H58" s="200">
        <f t="shared" ref="H58:H63" si="4">G58*F58*E58</f>
        <v>600</v>
      </c>
      <c r="I58" s="201"/>
      <c r="J58" s="201"/>
      <c r="K58" s="1360"/>
      <c r="L58" s="1360"/>
      <c r="M58" s="1361"/>
      <c r="N58" s="1366"/>
    </row>
    <row r="59" spans="1:14" s="1367" customFormat="1" ht="16.899999999999999" customHeight="1" x14ac:dyDescent="0.2">
      <c r="A59" s="1657"/>
      <c r="B59" s="1363" t="s">
        <v>161</v>
      </c>
      <c r="C59" s="1358" t="s">
        <v>13</v>
      </c>
      <c r="D59" s="1358" t="s">
        <v>131</v>
      </c>
      <c r="E59" s="1364">
        <v>15</v>
      </c>
      <c r="F59" s="1381">
        <v>15</v>
      </c>
      <c r="G59" s="1364">
        <v>2</v>
      </c>
      <c r="H59" s="200">
        <f t="shared" si="4"/>
        <v>450</v>
      </c>
      <c r="I59" s="201"/>
      <c r="J59" s="201"/>
      <c r="K59" s="1360"/>
      <c r="L59" s="1360"/>
      <c r="M59" s="1361"/>
      <c r="N59" s="1366"/>
    </row>
    <row r="60" spans="1:14" s="1367" customFormat="1" x14ac:dyDescent="0.2">
      <c r="A60" s="1657"/>
      <c r="B60" s="1363" t="s">
        <v>162</v>
      </c>
      <c r="C60" s="1358" t="s">
        <v>13</v>
      </c>
      <c r="D60" s="1358" t="s">
        <v>131</v>
      </c>
      <c r="E60" s="1364">
        <v>12</v>
      </c>
      <c r="F60" s="1381">
        <v>45</v>
      </c>
      <c r="G60" s="1364">
        <v>2</v>
      </c>
      <c r="H60" s="200">
        <f t="shared" si="4"/>
        <v>1080</v>
      </c>
      <c r="I60" s="201"/>
      <c r="J60" s="201"/>
      <c r="K60" s="1360"/>
      <c r="L60" s="1360"/>
      <c r="M60" s="1361"/>
      <c r="N60" s="1366"/>
    </row>
    <row r="61" spans="1:14" s="1367" customFormat="1" ht="25.5" x14ac:dyDescent="0.2">
      <c r="A61" s="1657"/>
      <c r="B61" s="1363" t="s">
        <v>163</v>
      </c>
      <c r="C61" s="1358" t="s">
        <v>14</v>
      </c>
      <c r="D61" s="1358" t="s">
        <v>131</v>
      </c>
      <c r="E61" s="1364">
        <v>15</v>
      </c>
      <c r="F61" s="1381">
        <v>10</v>
      </c>
      <c r="G61" s="1364">
        <v>1</v>
      </c>
      <c r="H61" s="200">
        <f t="shared" si="4"/>
        <v>150</v>
      </c>
      <c r="I61" s="201"/>
      <c r="J61" s="201"/>
      <c r="K61" s="1360"/>
      <c r="L61" s="1360"/>
      <c r="M61" s="1361"/>
      <c r="N61" s="1366"/>
    </row>
    <row r="62" spans="1:14" s="1367" customFormat="1" ht="13.15" customHeight="1" x14ac:dyDescent="0.2">
      <c r="A62" s="1657"/>
      <c r="B62" s="1363" t="s">
        <v>141</v>
      </c>
      <c r="C62" s="1358" t="s">
        <v>14</v>
      </c>
      <c r="D62" s="1358" t="s">
        <v>131</v>
      </c>
      <c r="E62" s="1364">
        <v>1</v>
      </c>
      <c r="F62" s="1381">
        <v>100</v>
      </c>
      <c r="G62" s="1364">
        <v>2</v>
      </c>
      <c r="H62" s="200">
        <f t="shared" si="4"/>
        <v>200</v>
      </c>
      <c r="I62" s="201"/>
      <c r="J62" s="201"/>
      <c r="K62" s="1360"/>
      <c r="L62" s="1360"/>
      <c r="M62" s="1361"/>
      <c r="N62" s="1366"/>
    </row>
    <row r="63" spans="1:14" s="1367" customFormat="1" ht="25.5" x14ac:dyDescent="0.2">
      <c r="A63" s="1657"/>
      <c r="B63" s="1363" t="s">
        <v>164</v>
      </c>
      <c r="C63" s="1358" t="s">
        <v>11</v>
      </c>
      <c r="D63" s="1358" t="s">
        <v>131</v>
      </c>
      <c r="E63" s="1364">
        <v>1</v>
      </c>
      <c r="F63" s="1381">
        <v>700</v>
      </c>
      <c r="G63" s="1364">
        <v>1</v>
      </c>
      <c r="H63" s="200">
        <f t="shared" si="4"/>
        <v>700</v>
      </c>
      <c r="I63" s="201"/>
      <c r="J63" s="201"/>
      <c r="K63" s="1360"/>
      <c r="L63" s="1360"/>
      <c r="M63" s="1361"/>
      <c r="N63" s="1366"/>
    </row>
    <row r="64" spans="1:14" s="1367" customFormat="1" ht="13.5" x14ac:dyDescent="0.2">
      <c r="A64" s="1657"/>
      <c r="B64" s="1383"/>
      <c r="C64" s="1383"/>
      <c r="D64" s="1384" t="s">
        <v>0</v>
      </c>
      <c r="E64" s="1412"/>
      <c r="F64" s="1413"/>
      <c r="G64" s="1412"/>
      <c r="H64" s="1414">
        <f>SUM(H57:H63)</f>
        <v>3630</v>
      </c>
      <c r="I64" s="1434">
        <v>0.3</v>
      </c>
      <c r="J64" s="1435">
        <f>H64*I64</f>
        <v>1089</v>
      </c>
      <c r="K64" s="1436">
        <v>3630</v>
      </c>
      <c r="L64" s="1389">
        <v>3630</v>
      </c>
      <c r="M64" s="1391">
        <v>1</v>
      </c>
      <c r="N64" s="1437" t="s">
        <v>753</v>
      </c>
    </row>
    <row r="65" spans="1:14" s="1367" customFormat="1" ht="25.5" x14ac:dyDescent="0.2">
      <c r="A65" s="1657"/>
      <c r="B65" s="1378" t="s">
        <v>165</v>
      </c>
      <c r="C65" s="1378"/>
      <c r="D65" s="1358" t="s">
        <v>131</v>
      </c>
      <c r="E65" s="1379"/>
      <c r="F65" s="1380"/>
      <c r="G65" s="1379"/>
      <c r="H65" s="202"/>
      <c r="I65" s="201"/>
      <c r="J65" s="201"/>
      <c r="K65" s="1360"/>
      <c r="L65" s="1360"/>
      <c r="M65" s="1361"/>
      <c r="N65" s="1366"/>
    </row>
    <row r="66" spans="1:14" s="1367" customFormat="1" ht="29.45" customHeight="1" x14ac:dyDescent="0.2">
      <c r="A66" s="1657"/>
      <c r="B66" s="1363" t="s">
        <v>166</v>
      </c>
      <c r="C66" s="1358" t="s">
        <v>12</v>
      </c>
      <c r="D66" s="1358" t="s">
        <v>131</v>
      </c>
      <c r="E66" s="1368">
        <v>68</v>
      </c>
      <c r="F66" s="1365">
        <f>25+10+2.5+5+5+3</f>
        <v>50.5</v>
      </c>
      <c r="G66" s="1368">
        <v>1</v>
      </c>
      <c r="H66" s="200">
        <f>E66*F66*G66</f>
        <v>3434</v>
      </c>
      <c r="I66" s="201"/>
      <c r="J66" s="201"/>
      <c r="K66" s="1360">
        <v>3434</v>
      </c>
      <c r="L66" s="1360">
        <v>3434</v>
      </c>
      <c r="M66" s="1361">
        <v>1</v>
      </c>
      <c r="N66" s="1366"/>
    </row>
    <row r="67" spans="1:14" s="1367" customFormat="1" ht="38.25" x14ac:dyDescent="0.2">
      <c r="A67" s="1657"/>
      <c r="B67" s="1363" t="s">
        <v>167</v>
      </c>
      <c r="C67" s="1358" t="s">
        <v>14</v>
      </c>
      <c r="D67" s="1358" t="s">
        <v>131</v>
      </c>
      <c r="E67" s="1368">
        <v>1</v>
      </c>
      <c r="F67" s="1365">
        <v>1400</v>
      </c>
      <c r="G67" s="1368">
        <v>1</v>
      </c>
      <c r="H67" s="200">
        <f t="shared" ref="H67:H70" si="5">E67*F67*G67</f>
        <v>1400</v>
      </c>
      <c r="I67" s="201"/>
      <c r="J67" s="201"/>
      <c r="K67" s="1360">
        <v>1400</v>
      </c>
      <c r="L67" s="1360">
        <v>1400</v>
      </c>
      <c r="M67" s="1361">
        <v>1</v>
      </c>
      <c r="N67" s="1366"/>
    </row>
    <row r="68" spans="1:14" s="1359" customFormat="1" ht="13.5" x14ac:dyDescent="0.2">
      <c r="A68" s="1657"/>
      <c r="B68" s="1438"/>
      <c r="C68" s="1439"/>
      <c r="D68" s="1439"/>
      <c r="E68" s="1440"/>
      <c r="F68" s="1441"/>
      <c r="G68" s="1440"/>
      <c r="H68" s="1442"/>
      <c r="I68" s="1402"/>
      <c r="J68" s="1402"/>
      <c r="K68" s="1402"/>
      <c r="L68" s="1402"/>
      <c r="M68" s="1403"/>
      <c r="N68" s="1397" t="s">
        <v>752</v>
      </c>
    </row>
    <row r="69" spans="1:14" s="1367" customFormat="1" ht="25.5" x14ac:dyDescent="0.2">
      <c r="A69" s="1657"/>
      <c r="B69" s="1377" t="s">
        <v>168</v>
      </c>
      <c r="C69" s="1358" t="s">
        <v>14</v>
      </c>
      <c r="D69" s="1358" t="s">
        <v>131</v>
      </c>
      <c r="E69" s="1368">
        <v>20</v>
      </c>
      <c r="F69" s="1365">
        <v>15</v>
      </c>
      <c r="G69" s="1368">
        <v>10</v>
      </c>
      <c r="H69" s="200">
        <f t="shared" si="5"/>
        <v>3000</v>
      </c>
      <c r="I69" s="201"/>
      <c r="J69" s="201"/>
      <c r="K69" s="1360">
        <v>3000</v>
      </c>
      <c r="L69" s="1360">
        <v>3000</v>
      </c>
      <c r="M69" s="1361">
        <v>1</v>
      </c>
      <c r="N69" s="1366"/>
    </row>
    <row r="70" spans="1:14" s="1367" customFormat="1" ht="25.5" x14ac:dyDescent="0.2">
      <c r="A70" s="1657"/>
      <c r="B70" s="1363" t="s">
        <v>169</v>
      </c>
      <c r="C70" s="1358" t="s">
        <v>13</v>
      </c>
      <c r="D70" s="1358" t="s">
        <v>131</v>
      </c>
      <c r="E70" s="1368">
        <v>2</v>
      </c>
      <c r="F70" s="1365">
        <f>15+25</f>
        <v>40</v>
      </c>
      <c r="G70" s="1368">
        <v>10</v>
      </c>
      <c r="H70" s="200">
        <f t="shared" si="5"/>
        <v>800</v>
      </c>
      <c r="I70" s="201"/>
      <c r="J70" s="201"/>
      <c r="K70" s="1360">
        <v>800</v>
      </c>
      <c r="L70" s="1360">
        <v>800</v>
      </c>
      <c r="M70" s="1361">
        <v>1</v>
      </c>
      <c r="N70" s="1366"/>
    </row>
    <row r="71" spans="1:14" s="1367" customFormat="1" ht="66.75" customHeight="1" x14ac:dyDescent="0.2">
      <c r="A71" s="1657"/>
      <c r="B71" s="1382"/>
      <c r="C71" s="1383"/>
      <c r="D71" s="1384" t="s">
        <v>0</v>
      </c>
      <c r="E71" s="1443"/>
      <c r="F71" s="1444"/>
      <c r="G71" s="1443"/>
      <c r="H71" s="1387">
        <f>H66+H67+H69+H70</f>
        <v>8634</v>
      </c>
      <c r="I71" s="1388"/>
      <c r="J71" s="1388"/>
      <c r="K71" s="1389">
        <v>8634</v>
      </c>
      <c r="L71" s="1389">
        <v>8634</v>
      </c>
      <c r="M71" s="1391">
        <v>1</v>
      </c>
      <c r="N71" s="1383" t="s">
        <v>760</v>
      </c>
    </row>
    <row r="72" spans="1:14" s="1367" customFormat="1" ht="69" customHeight="1" x14ac:dyDescent="0.2">
      <c r="A72" s="1657"/>
      <c r="B72" s="1445" t="s">
        <v>170</v>
      </c>
      <c r="C72" s="1358" t="s">
        <v>12</v>
      </c>
      <c r="D72" s="1358" t="s">
        <v>131</v>
      </c>
      <c r="E72" s="1368">
        <v>1</v>
      </c>
      <c r="F72" s="1365">
        <v>1262.51</v>
      </c>
      <c r="G72" s="1368">
        <v>2</v>
      </c>
      <c r="H72" s="200">
        <f>G72*F72*E72</f>
        <v>2525.02</v>
      </c>
      <c r="I72" s="201"/>
      <c r="J72" s="201"/>
      <c r="K72" s="1360"/>
      <c r="L72" s="1360"/>
      <c r="M72" s="1361"/>
      <c r="N72" s="1366"/>
    </row>
    <row r="73" spans="1:14" s="1367" customFormat="1" ht="49.5" customHeight="1" x14ac:dyDescent="0.2">
      <c r="A73" s="1657"/>
      <c r="B73" s="1369"/>
      <c r="C73" s="1370"/>
      <c r="D73" s="1394" t="s">
        <v>0</v>
      </c>
      <c r="E73" s="1423"/>
      <c r="F73" s="1424"/>
      <c r="G73" s="1423"/>
      <c r="H73" s="211">
        <f>SUM(H72)</f>
        <v>2525.02</v>
      </c>
      <c r="I73" s="1373">
        <v>0.3</v>
      </c>
      <c r="J73" s="1374">
        <f>H73*I73</f>
        <v>757.50599999999997</v>
      </c>
      <c r="K73" s="1375">
        <v>2525.02</v>
      </c>
      <c r="L73" s="1446">
        <v>2525.02</v>
      </c>
      <c r="M73" s="1376">
        <v>1</v>
      </c>
      <c r="N73" s="1370" t="s">
        <v>761</v>
      </c>
    </row>
    <row r="74" spans="1:14" s="1367" customFormat="1" ht="25.5" x14ac:dyDescent="0.2">
      <c r="A74" s="1657"/>
      <c r="B74" s="1357" t="s">
        <v>171</v>
      </c>
      <c r="C74" s="1358"/>
      <c r="D74" s="1358" t="s">
        <v>131</v>
      </c>
      <c r="E74" s="1447"/>
      <c r="F74" s="1448"/>
      <c r="G74" s="1447"/>
      <c r="H74" s="206"/>
      <c r="I74" s="201"/>
      <c r="J74" s="201"/>
      <c r="K74" s="1360"/>
      <c r="L74" s="1360"/>
      <c r="M74" s="1361"/>
      <c r="N74" s="1366"/>
    </row>
    <row r="75" spans="1:14" s="1367" customFormat="1" ht="25.5" x14ac:dyDescent="0.2">
      <c r="A75" s="1657"/>
      <c r="B75" s="1363" t="s">
        <v>172</v>
      </c>
      <c r="C75" s="1358" t="s">
        <v>11</v>
      </c>
      <c r="D75" s="1358" t="s">
        <v>131</v>
      </c>
      <c r="E75" s="1368">
        <v>1</v>
      </c>
      <c r="F75" s="1365">
        <v>2025.5</v>
      </c>
      <c r="G75" s="1368">
        <v>1</v>
      </c>
      <c r="H75" s="206">
        <f>E75*F75*G75</f>
        <v>2025.5</v>
      </c>
      <c r="I75" s="201"/>
      <c r="J75" s="201"/>
      <c r="K75" s="1360"/>
      <c r="L75" s="1360"/>
      <c r="M75" s="1361"/>
      <c r="N75" s="1366"/>
    </row>
    <row r="76" spans="1:14" s="1367" customFormat="1" ht="13.5" x14ac:dyDescent="0.2">
      <c r="A76" s="1657"/>
      <c r="B76" s="1383"/>
      <c r="C76" s="1383"/>
      <c r="D76" s="1384" t="s">
        <v>0</v>
      </c>
      <c r="E76" s="1449"/>
      <c r="F76" s="1450"/>
      <c r="G76" s="1449"/>
      <c r="H76" s="1387">
        <f>SUM(H75)</f>
        <v>2025.5</v>
      </c>
      <c r="I76" s="1451">
        <v>0.3</v>
      </c>
      <c r="J76" s="1436">
        <f>H76*I76</f>
        <v>607.65</v>
      </c>
      <c r="K76" s="1436">
        <v>2025</v>
      </c>
      <c r="L76" s="1389">
        <v>2025</v>
      </c>
      <c r="M76" s="1391">
        <v>1</v>
      </c>
      <c r="N76" s="1437" t="s">
        <v>753</v>
      </c>
    </row>
    <row r="77" spans="1:14" s="1367" customFormat="1" ht="25.5" x14ac:dyDescent="0.2">
      <c r="A77" s="1657"/>
      <c r="B77" s="1452" t="s">
        <v>173</v>
      </c>
      <c r="C77" s="1378"/>
      <c r="D77" s="1378" t="s">
        <v>131</v>
      </c>
      <c r="E77" s="1417"/>
      <c r="F77" s="1418"/>
      <c r="G77" s="1417"/>
      <c r="H77" s="202"/>
      <c r="I77" s="201"/>
      <c r="J77" s="201"/>
      <c r="K77" s="1360"/>
      <c r="L77" s="1360"/>
      <c r="M77" s="1361"/>
      <c r="N77" s="1366"/>
    </row>
    <row r="78" spans="1:14" s="1367" customFormat="1" x14ac:dyDescent="0.2">
      <c r="A78" s="1657"/>
      <c r="B78" s="1363" t="s">
        <v>146</v>
      </c>
      <c r="C78" s="1358" t="s">
        <v>13</v>
      </c>
      <c r="D78" s="1358" t="s">
        <v>131</v>
      </c>
      <c r="E78" s="1364">
        <v>35</v>
      </c>
      <c r="F78" s="1381">
        <v>15</v>
      </c>
      <c r="G78" s="1364">
        <v>1</v>
      </c>
      <c r="H78" s="200">
        <f t="shared" ref="H78:H84" si="6">E78*F78*G78</f>
        <v>525</v>
      </c>
      <c r="I78" s="201"/>
      <c r="J78" s="201"/>
      <c r="K78" s="1360"/>
      <c r="L78" s="1360"/>
      <c r="M78" s="1361"/>
      <c r="N78" s="1366"/>
    </row>
    <row r="79" spans="1:14" s="1367" customFormat="1" x14ac:dyDescent="0.2">
      <c r="A79" s="1657"/>
      <c r="B79" s="1363" t="s">
        <v>137</v>
      </c>
      <c r="C79" s="1358" t="s">
        <v>13</v>
      </c>
      <c r="D79" s="1358" t="s">
        <v>131</v>
      </c>
      <c r="E79" s="1364">
        <v>30</v>
      </c>
      <c r="F79" s="1381">
        <v>25</v>
      </c>
      <c r="G79" s="1364">
        <v>2</v>
      </c>
      <c r="H79" s="200">
        <f t="shared" si="6"/>
        <v>1500</v>
      </c>
      <c r="I79" s="201"/>
      <c r="J79" s="201"/>
      <c r="K79" s="1360"/>
      <c r="L79" s="1360"/>
      <c r="M79" s="1361"/>
      <c r="N79" s="1366"/>
    </row>
    <row r="80" spans="1:14" s="1367" customFormat="1" x14ac:dyDescent="0.2">
      <c r="A80" s="1657"/>
      <c r="B80" s="1363" t="s">
        <v>147</v>
      </c>
      <c r="C80" s="1358" t="s">
        <v>13</v>
      </c>
      <c r="D80" s="1358" t="s">
        <v>131</v>
      </c>
      <c r="E80" s="1364">
        <v>35</v>
      </c>
      <c r="F80" s="1381">
        <v>15</v>
      </c>
      <c r="G80" s="1364">
        <v>1</v>
      </c>
      <c r="H80" s="200">
        <f t="shared" si="6"/>
        <v>525</v>
      </c>
      <c r="I80" s="201"/>
      <c r="J80" s="201"/>
      <c r="K80" s="1360"/>
      <c r="L80" s="1360"/>
      <c r="M80" s="1361"/>
      <c r="N80" s="1366"/>
    </row>
    <row r="81" spans="1:14" s="1367" customFormat="1" x14ac:dyDescent="0.2">
      <c r="A81" s="1657"/>
      <c r="B81" s="1363" t="s">
        <v>139</v>
      </c>
      <c r="C81" s="1358" t="s">
        <v>13</v>
      </c>
      <c r="D81" s="1358" t="s">
        <v>131</v>
      </c>
      <c r="E81" s="1364">
        <v>30</v>
      </c>
      <c r="F81" s="1381">
        <v>45</v>
      </c>
      <c r="G81" s="1364">
        <v>1</v>
      </c>
      <c r="H81" s="200">
        <f t="shared" si="6"/>
        <v>1350</v>
      </c>
      <c r="I81" s="201"/>
      <c r="J81" s="201"/>
      <c r="K81" s="1360"/>
      <c r="L81" s="1360"/>
      <c r="M81" s="1361"/>
      <c r="N81" s="1366"/>
    </row>
    <row r="82" spans="1:14" s="1367" customFormat="1" ht="25.5" x14ac:dyDescent="0.2">
      <c r="A82" s="1657"/>
      <c r="B82" s="1363" t="s">
        <v>140</v>
      </c>
      <c r="C82" s="1358" t="s">
        <v>14</v>
      </c>
      <c r="D82" s="1358" t="s">
        <v>131</v>
      </c>
      <c r="E82" s="1364">
        <v>35</v>
      </c>
      <c r="F82" s="1381">
        <v>10</v>
      </c>
      <c r="G82" s="1364">
        <v>1</v>
      </c>
      <c r="H82" s="200">
        <f t="shared" si="6"/>
        <v>350</v>
      </c>
      <c r="I82" s="201"/>
      <c r="J82" s="201"/>
      <c r="K82" s="1360"/>
      <c r="L82" s="1360"/>
      <c r="M82" s="1361"/>
      <c r="N82" s="1366"/>
    </row>
    <row r="83" spans="1:14" s="1367" customFormat="1" x14ac:dyDescent="0.2">
      <c r="A83" s="1657"/>
      <c r="B83" s="1363" t="s">
        <v>61</v>
      </c>
      <c r="C83" s="1358" t="s">
        <v>14</v>
      </c>
      <c r="D83" s="1358" t="s">
        <v>131</v>
      </c>
      <c r="E83" s="1364">
        <f>1*3</f>
        <v>3</v>
      </c>
      <c r="F83" s="1381">
        <v>100</v>
      </c>
      <c r="G83" s="1364">
        <v>1</v>
      </c>
      <c r="H83" s="200">
        <f t="shared" si="6"/>
        <v>300</v>
      </c>
      <c r="I83" s="201"/>
      <c r="J83" s="201"/>
      <c r="K83" s="1360"/>
      <c r="L83" s="1360"/>
      <c r="M83" s="1361"/>
      <c r="N83" s="1366"/>
    </row>
    <row r="84" spans="1:14" s="1367" customFormat="1" x14ac:dyDescent="0.2">
      <c r="A84" s="1657"/>
      <c r="B84" s="1363" t="s">
        <v>142</v>
      </c>
      <c r="C84" s="1358" t="s">
        <v>13</v>
      </c>
      <c r="D84" s="1358" t="s">
        <v>131</v>
      </c>
      <c r="E84" s="1364">
        <v>1</v>
      </c>
      <c r="F84" s="1381">
        <v>100</v>
      </c>
      <c r="G84" s="1364">
        <v>2</v>
      </c>
      <c r="H84" s="200">
        <f t="shared" si="6"/>
        <v>200</v>
      </c>
      <c r="I84" s="201"/>
      <c r="J84" s="201"/>
      <c r="K84" s="1360"/>
      <c r="L84" s="1360"/>
      <c r="M84" s="1361"/>
      <c r="N84" s="1366"/>
    </row>
    <row r="85" spans="1:14" s="1367" customFormat="1" ht="13.5" x14ac:dyDescent="0.2">
      <c r="A85" s="1657"/>
      <c r="B85" s="1369"/>
      <c r="C85" s="1383"/>
      <c r="D85" s="1384" t="s">
        <v>0</v>
      </c>
      <c r="E85" s="1385"/>
      <c r="F85" s="1386"/>
      <c r="G85" s="1385"/>
      <c r="H85" s="1387">
        <f>SUM(H78:H84)</f>
        <v>4750</v>
      </c>
      <c r="I85" s="1451">
        <v>0.3</v>
      </c>
      <c r="J85" s="1436">
        <f>H85*I85</f>
        <v>1425</v>
      </c>
      <c r="K85" s="1436">
        <v>4750</v>
      </c>
      <c r="L85" s="1389">
        <v>4750</v>
      </c>
      <c r="M85" s="1391">
        <v>1</v>
      </c>
      <c r="N85" s="1437" t="s">
        <v>753</v>
      </c>
    </row>
    <row r="86" spans="1:14" s="1367" customFormat="1" ht="25.5" x14ac:dyDescent="0.2">
      <c r="A86" s="1657"/>
      <c r="B86" s="1378" t="s">
        <v>174</v>
      </c>
      <c r="C86" s="1358" t="s">
        <v>12</v>
      </c>
      <c r="D86" s="1358" t="s">
        <v>131</v>
      </c>
      <c r="E86" s="1447">
        <v>450</v>
      </c>
      <c r="F86" s="1448">
        <f>2.5+1.8+12+2+1.5+1.5</f>
        <v>21.3</v>
      </c>
      <c r="G86" s="1447">
        <v>1</v>
      </c>
      <c r="H86" s="206">
        <f>E86*F86*G86</f>
        <v>9585</v>
      </c>
      <c r="I86" s="201"/>
      <c r="J86" s="201"/>
      <c r="K86" s="1360"/>
      <c r="L86" s="1360"/>
      <c r="M86" s="1361"/>
      <c r="N86" s="1366"/>
    </row>
    <row r="87" spans="1:14" s="1367" customFormat="1" ht="13.5" x14ac:dyDescent="0.2">
      <c r="A87" s="1658"/>
      <c r="B87" s="1383"/>
      <c r="C87" s="1383"/>
      <c r="D87" s="1384" t="s">
        <v>0</v>
      </c>
      <c r="E87" s="1449"/>
      <c r="F87" s="1450"/>
      <c r="G87" s="1449"/>
      <c r="H87" s="1414">
        <f>SUM(H86)</f>
        <v>9585</v>
      </c>
      <c r="I87" s="1388"/>
      <c r="J87" s="1388"/>
      <c r="K87" s="1389">
        <v>9585</v>
      </c>
      <c r="L87" s="1389">
        <v>9585</v>
      </c>
      <c r="M87" s="1391">
        <v>1</v>
      </c>
      <c r="N87" s="1437" t="s">
        <v>753</v>
      </c>
    </row>
    <row r="88" spans="1:14" s="1367" customFormat="1" x14ac:dyDescent="0.2">
      <c r="A88" s="1353" t="s">
        <v>175</v>
      </c>
      <c r="B88" s="1353"/>
      <c r="C88" s="1353"/>
      <c r="D88" s="1353"/>
      <c r="E88" s="1453"/>
      <c r="F88" s="1454"/>
      <c r="G88" s="1453"/>
      <c r="H88" s="1454"/>
      <c r="I88" s="1353"/>
      <c r="J88" s="1353"/>
      <c r="K88" s="1354"/>
      <c r="L88" s="1354"/>
      <c r="M88" s="1355"/>
      <c r="N88" s="1356"/>
    </row>
    <row r="89" spans="1:14" s="1359" customFormat="1" ht="54.75" customHeight="1" x14ac:dyDescent="0.2">
      <c r="A89" s="1659" t="s">
        <v>176</v>
      </c>
      <c r="B89" s="1452" t="s">
        <v>177</v>
      </c>
      <c r="C89" s="1378"/>
      <c r="D89" s="1358" t="s">
        <v>131</v>
      </c>
      <c r="E89" s="1417"/>
      <c r="F89" s="1418"/>
      <c r="G89" s="1417"/>
      <c r="H89" s="202"/>
      <c r="I89" s="199"/>
      <c r="J89" s="199"/>
      <c r="K89" s="1360"/>
      <c r="L89" s="1360"/>
      <c r="M89" s="1361"/>
      <c r="N89" s="1362"/>
    </row>
    <row r="90" spans="1:14" s="1367" customFormat="1" x14ac:dyDescent="0.2">
      <c r="A90" s="1660"/>
      <c r="B90" s="1455" t="s">
        <v>178</v>
      </c>
      <c r="C90" s="1358" t="s">
        <v>11</v>
      </c>
      <c r="D90" s="1358" t="s">
        <v>131</v>
      </c>
      <c r="E90" s="1364">
        <v>2</v>
      </c>
      <c r="F90" s="1381">
        <v>350</v>
      </c>
      <c r="G90" s="1364">
        <v>1</v>
      </c>
      <c r="H90" s="200">
        <f t="shared" ref="H90:H97" si="7">E90*F90*G90</f>
        <v>700</v>
      </c>
      <c r="I90" s="201"/>
      <c r="J90" s="201"/>
      <c r="K90" s="1360"/>
      <c r="L90" s="1360"/>
      <c r="M90" s="1361"/>
      <c r="N90" s="1366"/>
    </row>
    <row r="91" spans="1:14" s="1367" customFormat="1" x14ac:dyDescent="0.2">
      <c r="A91" s="1660"/>
      <c r="B91" s="1363" t="s">
        <v>146</v>
      </c>
      <c r="C91" s="1358" t="s">
        <v>13</v>
      </c>
      <c r="D91" s="1358" t="s">
        <v>131</v>
      </c>
      <c r="E91" s="1364">
        <v>25</v>
      </c>
      <c r="F91" s="1381">
        <v>15</v>
      </c>
      <c r="G91" s="1364">
        <v>3</v>
      </c>
      <c r="H91" s="200">
        <f t="shared" si="7"/>
        <v>1125</v>
      </c>
      <c r="I91" s="201"/>
      <c r="J91" s="201"/>
      <c r="K91" s="1360"/>
      <c r="L91" s="1360"/>
      <c r="M91" s="1361"/>
      <c r="N91" s="1366"/>
    </row>
    <row r="92" spans="1:14" s="1367" customFormat="1" x14ac:dyDescent="0.2">
      <c r="A92" s="1660"/>
      <c r="B92" s="1363" t="s">
        <v>160</v>
      </c>
      <c r="C92" s="1358" t="s">
        <v>14</v>
      </c>
      <c r="D92" s="1358" t="s">
        <v>131</v>
      </c>
      <c r="E92" s="1364">
        <v>20</v>
      </c>
      <c r="F92" s="1381">
        <v>25</v>
      </c>
      <c r="G92" s="1364">
        <v>3</v>
      </c>
      <c r="H92" s="200">
        <f t="shared" si="7"/>
        <v>1500</v>
      </c>
      <c r="I92" s="201"/>
      <c r="J92" s="201"/>
      <c r="K92" s="1360"/>
      <c r="L92" s="1360"/>
      <c r="M92" s="1361"/>
      <c r="N92" s="1366"/>
    </row>
    <row r="93" spans="1:14" s="1367" customFormat="1" x14ac:dyDescent="0.2">
      <c r="A93" s="1660"/>
      <c r="B93" s="1363" t="s">
        <v>161</v>
      </c>
      <c r="C93" s="1358" t="s">
        <v>13</v>
      </c>
      <c r="D93" s="1358" t="s">
        <v>131</v>
      </c>
      <c r="E93" s="1364">
        <v>25</v>
      </c>
      <c r="F93" s="1381">
        <v>15</v>
      </c>
      <c r="G93" s="1364">
        <v>3</v>
      </c>
      <c r="H93" s="200">
        <f t="shared" si="7"/>
        <v>1125</v>
      </c>
      <c r="I93" s="201"/>
      <c r="J93" s="201"/>
      <c r="K93" s="1360"/>
      <c r="L93" s="1360"/>
      <c r="M93" s="1361"/>
      <c r="N93" s="1366"/>
    </row>
    <row r="94" spans="1:14" s="1367" customFormat="1" ht="18.75" customHeight="1" x14ac:dyDescent="0.2">
      <c r="A94" s="1660"/>
      <c r="B94" s="1363" t="s">
        <v>162</v>
      </c>
      <c r="C94" s="1358" t="s">
        <v>13</v>
      </c>
      <c r="D94" s="1358" t="s">
        <v>131</v>
      </c>
      <c r="E94" s="1364">
        <v>25</v>
      </c>
      <c r="F94" s="1381">
        <v>45</v>
      </c>
      <c r="G94" s="1364">
        <v>2</v>
      </c>
      <c r="H94" s="200">
        <f t="shared" si="7"/>
        <v>2250</v>
      </c>
      <c r="I94" s="201"/>
      <c r="J94" s="201"/>
      <c r="K94" s="1360"/>
      <c r="L94" s="1360"/>
      <c r="M94" s="1361"/>
      <c r="N94" s="1366"/>
    </row>
    <row r="95" spans="1:14" s="1367" customFormat="1" ht="25.5" x14ac:dyDescent="0.2">
      <c r="A95" s="1660"/>
      <c r="B95" s="1363" t="s">
        <v>163</v>
      </c>
      <c r="C95" s="1358" t="s">
        <v>14</v>
      </c>
      <c r="D95" s="1358" t="s">
        <v>131</v>
      </c>
      <c r="E95" s="1364">
        <v>25</v>
      </c>
      <c r="F95" s="1381">
        <v>10</v>
      </c>
      <c r="G95" s="1364">
        <v>1</v>
      </c>
      <c r="H95" s="200">
        <f t="shared" si="7"/>
        <v>250</v>
      </c>
      <c r="I95" s="201"/>
      <c r="J95" s="201"/>
      <c r="K95" s="1360"/>
      <c r="L95" s="1360"/>
      <c r="M95" s="1361"/>
      <c r="N95" s="1366"/>
    </row>
    <row r="96" spans="1:14" s="1367" customFormat="1" x14ac:dyDescent="0.2">
      <c r="A96" s="1660"/>
      <c r="B96" s="1363" t="s">
        <v>61</v>
      </c>
      <c r="C96" s="1358" t="s">
        <v>14</v>
      </c>
      <c r="D96" s="1358" t="s">
        <v>131</v>
      </c>
      <c r="E96" s="1364">
        <v>1</v>
      </c>
      <c r="F96" s="1381">
        <v>100</v>
      </c>
      <c r="G96" s="1364">
        <v>3</v>
      </c>
      <c r="H96" s="200">
        <f t="shared" si="7"/>
        <v>300</v>
      </c>
      <c r="I96" s="201"/>
      <c r="J96" s="201"/>
      <c r="K96" s="1360"/>
      <c r="L96" s="1360"/>
      <c r="M96" s="1361"/>
      <c r="N96" s="1366"/>
    </row>
    <row r="97" spans="1:14" s="1367" customFormat="1" x14ac:dyDescent="0.2">
      <c r="A97" s="1660"/>
      <c r="B97" s="1363" t="s">
        <v>142</v>
      </c>
      <c r="C97" s="1358" t="s">
        <v>13</v>
      </c>
      <c r="D97" s="1358" t="s">
        <v>131</v>
      </c>
      <c r="E97" s="1364">
        <v>1</v>
      </c>
      <c r="F97" s="1381">
        <v>100</v>
      </c>
      <c r="G97" s="1364">
        <v>3</v>
      </c>
      <c r="H97" s="200">
        <f t="shared" si="7"/>
        <v>300</v>
      </c>
      <c r="I97" s="201"/>
      <c r="J97" s="201"/>
      <c r="K97" s="1360"/>
      <c r="L97" s="1360"/>
      <c r="M97" s="1361"/>
      <c r="N97" s="1366"/>
    </row>
    <row r="98" spans="1:14" s="1367" customFormat="1" ht="13.5" x14ac:dyDescent="0.2">
      <c r="A98" s="1660"/>
      <c r="B98" s="1382"/>
      <c r="C98" s="1383"/>
      <c r="D98" s="1384" t="s">
        <v>0</v>
      </c>
      <c r="E98" s="1385"/>
      <c r="F98" s="1386"/>
      <c r="G98" s="1385"/>
      <c r="H98" s="1387">
        <f>SUM(H90:H97)</f>
        <v>7550</v>
      </c>
      <c r="I98" s="1451">
        <v>0.1</v>
      </c>
      <c r="J98" s="1436">
        <f>H98*I98</f>
        <v>755</v>
      </c>
      <c r="K98" s="1436">
        <v>7550</v>
      </c>
      <c r="L98" s="1389">
        <v>7550</v>
      </c>
      <c r="M98" s="1391">
        <v>1</v>
      </c>
      <c r="N98" s="1437" t="s">
        <v>753</v>
      </c>
    </row>
    <row r="99" spans="1:14" s="1367" customFormat="1" ht="51" x14ac:dyDescent="0.2">
      <c r="A99" s="1660"/>
      <c r="B99" s="1377" t="s">
        <v>179</v>
      </c>
      <c r="C99" s="1358" t="s">
        <v>12</v>
      </c>
      <c r="D99" s="1358" t="s">
        <v>131</v>
      </c>
      <c r="E99" s="1447">
        <v>2</v>
      </c>
      <c r="F99" s="1448">
        <v>366</v>
      </c>
      <c r="G99" s="1447">
        <v>5</v>
      </c>
      <c r="H99" s="206">
        <f>+E99*F99*G99</f>
        <v>3660</v>
      </c>
      <c r="I99" s="201"/>
      <c r="J99" s="201"/>
      <c r="K99" s="1360"/>
      <c r="L99" s="1360"/>
      <c r="M99" s="1361"/>
      <c r="N99" s="1366"/>
    </row>
    <row r="100" spans="1:14" s="1367" customFormat="1" ht="13.5" x14ac:dyDescent="0.2">
      <c r="A100" s="1660"/>
      <c r="B100" s="1383"/>
      <c r="C100" s="1383"/>
      <c r="D100" s="1384" t="s">
        <v>0</v>
      </c>
      <c r="E100" s="1449"/>
      <c r="F100" s="1450"/>
      <c r="G100" s="1449"/>
      <c r="H100" s="1414">
        <f>SUM(H99)</f>
        <v>3660</v>
      </c>
      <c r="I100" s="1388"/>
      <c r="J100" s="1388"/>
      <c r="K100" s="1389">
        <v>3660</v>
      </c>
      <c r="L100" s="1390">
        <v>3660</v>
      </c>
      <c r="M100" s="1391">
        <v>1</v>
      </c>
      <c r="N100" s="1383" t="s">
        <v>753</v>
      </c>
    </row>
    <row r="101" spans="1:14" s="1359" customFormat="1" ht="51" x14ac:dyDescent="0.2">
      <c r="A101" s="1660"/>
      <c r="B101" s="1357" t="s">
        <v>180</v>
      </c>
      <c r="C101" s="1378"/>
      <c r="D101" s="1358" t="s">
        <v>131</v>
      </c>
      <c r="E101" s="1456"/>
      <c r="F101" s="1457"/>
      <c r="G101" s="1456"/>
      <c r="H101" s="207"/>
      <c r="I101" s="208"/>
      <c r="J101" s="208"/>
      <c r="K101" s="1360"/>
      <c r="L101" s="1360"/>
      <c r="M101" s="1361"/>
      <c r="N101" s="208"/>
    </row>
    <row r="102" spans="1:14" s="1367" customFormat="1" ht="25.5" x14ac:dyDescent="0.2">
      <c r="A102" s="1660"/>
      <c r="B102" s="1363" t="s">
        <v>181</v>
      </c>
      <c r="C102" s="1358" t="s">
        <v>11</v>
      </c>
      <c r="D102" s="1358" t="s">
        <v>131</v>
      </c>
      <c r="E102" s="1364">
        <v>3</v>
      </c>
      <c r="F102" s="1381">
        <v>350</v>
      </c>
      <c r="G102" s="1364">
        <v>1</v>
      </c>
      <c r="H102" s="200">
        <f t="shared" ref="H102:H109" si="8">E102*F102*G102</f>
        <v>1050</v>
      </c>
      <c r="I102" s="208"/>
      <c r="J102" s="208"/>
      <c r="K102" s="1360"/>
      <c r="L102" s="1360"/>
      <c r="M102" s="1361"/>
      <c r="N102" s="208"/>
    </row>
    <row r="103" spans="1:14" s="1367" customFormat="1" ht="12.75" customHeight="1" x14ac:dyDescent="0.2">
      <c r="A103" s="1660"/>
      <c r="B103" s="1363" t="s">
        <v>159</v>
      </c>
      <c r="C103" s="1358" t="s">
        <v>13</v>
      </c>
      <c r="D103" s="1358" t="s">
        <v>131</v>
      </c>
      <c r="E103" s="1364">
        <v>60</v>
      </c>
      <c r="F103" s="1381">
        <v>15</v>
      </c>
      <c r="G103" s="1364">
        <v>2</v>
      </c>
      <c r="H103" s="200">
        <f t="shared" si="8"/>
        <v>1800</v>
      </c>
      <c r="I103" s="208"/>
      <c r="J103" s="208"/>
      <c r="K103" s="1360"/>
      <c r="L103" s="1360"/>
      <c r="M103" s="1361"/>
      <c r="N103" s="208"/>
    </row>
    <row r="104" spans="1:14" s="1367" customFormat="1" ht="14.25" customHeight="1" x14ac:dyDescent="0.2">
      <c r="A104" s="1660"/>
      <c r="B104" s="1363" t="s">
        <v>160</v>
      </c>
      <c r="C104" s="1358" t="s">
        <v>13</v>
      </c>
      <c r="D104" s="1358" t="s">
        <v>131</v>
      </c>
      <c r="E104" s="1364">
        <v>50</v>
      </c>
      <c r="F104" s="1381">
        <v>25</v>
      </c>
      <c r="G104" s="1364">
        <v>3</v>
      </c>
      <c r="H104" s="200">
        <f t="shared" si="8"/>
        <v>3750</v>
      </c>
      <c r="I104" s="208"/>
      <c r="J104" s="208"/>
      <c r="K104" s="1360"/>
      <c r="L104" s="1360"/>
      <c r="M104" s="1361"/>
      <c r="N104" s="208"/>
    </row>
    <row r="105" spans="1:14" s="1367" customFormat="1" ht="12" customHeight="1" x14ac:dyDescent="0.2">
      <c r="A105" s="1660"/>
      <c r="B105" s="1363" t="s">
        <v>161</v>
      </c>
      <c r="C105" s="1358" t="s">
        <v>13</v>
      </c>
      <c r="D105" s="1358" t="s">
        <v>131</v>
      </c>
      <c r="E105" s="1364">
        <v>60</v>
      </c>
      <c r="F105" s="1381">
        <v>15</v>
      </c>
      <c r="G105" s="1364">
        <v>2</v>
      </c>
      <c r="H105" s="200">
        <f t="shared" si="8"/>
        <v>1800</v>
      </c>
      <c r="I105" s="208"/>
      <c r="J105" s="208"/>
      <c r="K105" s="1360"/>
      <c r="L105" s="1360"/>
      <c r="M105" s="1361"/>
      <c r="N105" s="208"/>
    </row>
    <row r="106" spans="1:14" s="1367" customFormat="1" ht="25.5" customHeight="1" x14ac:dyDescent="0.2">
      <c r="A106" s="1660"/>
      <c r="B106" s="1363" t="s">
        <v>162</v>
      </c>
      <c r="C106" s="1358" t="s">
        <v>13</v>
      </c>
      <c r="D106" s="1358" t="s">
        <v>131</v>
      </c>
      <c r="E106" s="1364">
        <v>50</v>
      </c>
      <c r="F106" s="1381">
        <v>45</v>
      </c>
      <c r="G106" s="1364">
        <v>2</v>
      </c>
      <c r="H106" s="200">
        <f t="shared" si="8"/>
        <v>4500</v>
      </c>
      <c r="I106" s="208"/>
      <c r="J106" s="208"/>
      <c r="K106" s="1360"/>
      <c r="L106" s="1360"/>
      <c r="M106" s="1361"/>
      <c r="N106" s="208"/>
    </row>
    <row r="107" spans="1:14" s="1367" customFormat="1" ht="26.45" customHeight="1" x14ac:dyDescent="0.2">
      <c r="A107" s="1660"/>
      <c r="B107" s="1363" t="s">
        <v>163</v>
      </c>
      <c r="C107" s="1358" t="s">
        <v>14</v>
      </c>
      <c r="D107" s="1358" t="s">
        <v>131</v>
      </c>
      <c r="E107" s="1364">
        <v>60</v>
      </c>
      <c r="F107" s="1381">
        <v>10</v>
      </c>
      <c r="G107" s="1364">
        <v>1</v>
      </c>
      <c r="H107" s="200">
        <f t="shared" si="8"/>
        <v>600</v>
      </c>
      <c r="I107" s="208"/>
      <c r="J107" s="208"/>
      <c r="K107" s="1360"/>
      <c r="L107" s="1360"/>
      <c r="M107" s="1361"/>
      <c r="N107" s="208"/>
    </row>
    <row r="108" spans="1:14" s="1367" customFormat="1" ht="16.5" customHeight="1" x14ac:dyDescent="0.2">
      <c r="A108" s="1660"/>
      <c r="B108" s="1363" t="s">
        <v>61</v>
      </c>
      <c r="C108" s="1358" t="s">
        <v>14</v>
      </c>
      <c r="D108" s="1358" t="s">
        <v>131</v>
      </c>
      <c r="E108" s="1364">
        <f>1*3</f>
        <v>3</v>
      </c>
      <c r="F108" s="1381">
        <v>100</v>
      </c>
      <c r="G108" s="1364">
        <v>1</v>
      </c>
      <c r="H108" s="200">
        <f t="shared" si="8"/>
        <v>300</v>
      </c>
      <c r="I108" s="208"/>
      <c r="J108" s="208"/>
      <c r="K108" s="1360"/>
      <c r="L108" s="1360"/>
      <c r="M108" s="1361"/>
      <c r="N108" s="208"/>
    </row>
    <row r="109" spans="1:14" s="1367" customFormat="1" ht="13.5" x14ac:dyDescent="0.2">
      <c r="A109" s="1660"/>
      <c r="B109" s="1363" t="s">
        <v>142</v>
      </c>
      <c r="C109" s="1358" t="s">
        <v>13</v>
      </c>
      <c r="D109" s="1358" t="s">
        <v>131</v>
      </c>
      <c r="E109" s="1364">
        <v>1</v>
      </c>
      <c r="F109" s="1381">
        <v>100</v>
      </c>
      <c r="G109" s="1364">
        <v>2</v>
      </c>
      <c r="H109" s="200">
        <f t="shared" si="8"/>
        <v>200</v>
      </c>
      <c r="I109" s="208"/>
      <c r="J109" s="208"/>
      <c r="K109" s="1360"/>
      <c r="L109" s="1360"/>
      <c r="M109" s="1361"/>
      <c r="N109" s="208"/>
    </row>
    <row r="110" spans="1:14" s="1367" customFormat="1" ht="13.5" x14ac:dyDescent="0.2">
      <c r="A110" s="1660"/>
      <c r="B110" s="1382"/>
      <c r="C110" s="1383"/>
      <c r="D110" s="1384" t="s">
        <v>0</v>
      </c>
      <c r="E110" s="1385"/>
      <c r="F110" s="1386"/>
      <c r="G110" s="1385"/>
      <c r="H110" s="1387">
        <f>SUM(H102:H109)</f>
        <v>14000</v>
      </c>
      <c r="I110" s="1458"/>
      <c r="J110" s="1458"/>
      <c r="K110" s="1389">
        <v>14000</v>
      </c>
      <c r="L110" s="1389">
        <v>14000</v>
      </c>
      <c r="M110" s="1391">
        <v>1</v>
      </c>
      <c r="N110" s="1437" t="s">
        <v>753</v>
      </c>
    </row>
    <row r="111" spans="1:14" s="1367" customFormat="1" ht="63.75" x14ac:dyDescent="0.2">
      <c r="A111" s="1660"/>
      <c r="B111" s="1357" t="s">
        <v>182</v>
      </c>
      <c r="C111" s="1378"/>
      <c r="D111" s="1358" t="s">
        <v>131</v>
      </c>
      <c r="E111" s="1379"/>
      <c r="F111" s="1380"/>
      <c r="G111" s="1379"/>
      <c r="H111" s="202"/>
      <c r="I111" s="208"/>
      <c r="J111" s="208"/>
      <c r="K111" s="1360"/>
      <c r="L111" s="1360"/>
      <c r="M111" s="1361"/>
      <c r="N111" s="208"/>
    </row>
    <row r="112" spans="1:14" s="1367" customFormat="1" ht="13.5" x14ac:dyDescent="0.2">
      <c r="A112" s="1660"/>
      <c r="B112" s="1363" t="s">
        <v>146</v>
      </c>
      <c r="C112" s="1459" t="s">
        <v>13</v>
      </c>
      <c r="D112" s="1358" t="s">
        <v>131</v>
      </c>
      <c r="E112" s="1364">
        <v>68</v>
      </c>
      <c r="F112" s="1381">
        <v>15</v>
      </c>
      <c r="G112" s="1364">
        <v>2</v>
      </c>
      <c r="H112" s="200">
        <f>G112*F112*E112</f>
        <v>2040</v>
      </c>
      <c r="I112" s="208"/>
      <c r="J112" s="208"/>
      <c r="K112" s="1360"/>
      <c r="L112" s="1360"/>
      <c r="M112" s="1361"/>
      <c r="N112" s="208"/>
    </row>
    <row r="113" spans="1:14" s="1367" customFormat="1" ht="13.5" x14ac:dyDescent="0.2">
      <c r="A113" s="1660"/>
      <c r="B113" s="1363" t="s">
        <v>137</v>
      </c>
      <c r="C113" s="1358" t="s">
        <v>13</v>
      </c>
      <c r="D113" s="1358" t="s">
        <v>131</v>
      </c>
      <c r="E113" s="1364">
        <v>54</v>
      </c>
      <c r="F113" s="1381">
        <v>25</v>
      </c>
      <c r="G113" s="1364">
        <v>2</v>
      </c>
      <c r="H113" s="200">
        <f t="shared" ref="H113:H120" si="9">G113*F113*E113</f>
        <v>2700</v>
      </c>
      <c r="I113" s="208"/>
      <c r="J113" s="208"/>
      <c r="K113" s="1360"/>
      <c r="L113" s="1360"/>
      <c r="M113" s="1361"/>
      <c r="N113" s="208"/>
    </row>
    <row r="114" spans="1:14" s="1367" customFormat="1" ht="13.5" x14ac:dyDescent="0.2">
      <c r="A114" s="1660"/>
      <c r="B114" s="1363" t="s">
        <v>147</v>
      </c>
      <c r="C114" s="1358" t="s">
        <v>13</v>
      </c>
      <c r="D114" s="1358" t="s">
        <v>131</v>
      </c>
      <c r="E114" s="1364">
        <v>68</v>
      </c>
      <c r="F114" s="1381">
        <v>15</v>
      </c>
      <c r="G114" s="1364">
        <v>3</v>
      </c>
      <c r="H114" s="200">
        <f t="shared" si="9"/>
        <v>3060</v>
      </c>
      <c r="I114" s="208"/>
      <c r="J114" s="208"/>
      <c r="K114" s="1360"/>
      <c r="L114" s="1360"/>
      <c r="M114" s="1361"/>
      <c r="N114" s="208"/>
    </row>
    <row r="115" spans="1:14" s="1367" customFormat="1" ht="13.5" x14ac:dyDescent="0.2">
      <c r="A115" s="1660"/>
      <c r="B115" s="1363" t="s">
        <v>139</v>
      </c>
      <c r="C115" s="1358" t="s">
        <v>13</v>
      </c>
      <c r="D115" s="1358" t="s">
        <v>131</v>
      </c>
      <c r="E115" s="1364">
        <v>54</v>
      </c>
      <c r="F115" s="1381">
        <v>45</v>
      </c>
      <c r="G115" s="1364">
        <v>2</v>
      </c>
      <c r="H115" s="200">
        <f t="shared" si="9"/>
        <v>4860</v>
      </c>
      <c r="I115" s="208"/>
      <c r="J115" s="208"/>
      <c r="K115" s="1360"/>
      <c r="L115" s="1360"/>
      <c r="M115" s="1361"/>
      <c r="N115" s="208"/>
    </row>
    <row r="116" spans="1:14" s="1367" customFormat="1" ht="14.25" customHeight="1" x14ac:dyDescent="0.2">
      <c r="A116" s="1660"/>
      <c r="B116" s="1363" t="s">
        <v>148</v>
      </c>
      <c r="C116" s="1358" t="s">
        <v>14</v>
      </c>
      <c r="D116" s="1358" t="s">
        <v>131</v>
      </c>
      <c r="E116" s="1364">
        <v>68</v>
      </c>
      <c r="F116" s="1381">
        <v>15</v>
      </c>
      <c r="G116" s="1364">
        <v>1</v>
      </c>
      <c r="H116" s="200">
        <f t="shared" si="9"/>
        <v>1020</v>
      </c>
      <c r="I116" s="208"/>
      <c r="J116" s="208"/>
      <c r="K116" s="1360"/>
      <c r="L116" s="1360"/>
      <c r="M116" s="1361"/>
      <c r="N116" s="208"/>
    </row>
    <row r="117" spans="1:14" s="1367" customFormat="1" ht="13.5" x14ac:dyDescent="0.2">
      <c r="A117" s="1660"/>
      <c r="B117" s="1363" t="s">
        <v>141</v>
      </c>
      <c r="C117" s="1358" t="s">
        <v>14</v>
      </c>
      <c r="D117" s="1358" t="s">
        <v>131</v>
      </c>
      <c r="E117" s="1364">
        <v>1</v>
      </c>
      <c r="F117" s="1381">
        <v>100</v>
      </c>
      <c r="G117" s="1364">
        <v>2</v>
      </c>
      <c r="H117" s="200">
        <f t="shared" si="9"/>
        <v>200</v>
      </c>
      <c r="I117" s="208"/>
      <c r="J117" s="208"/>
      <c r="K117" s="1360"/>
      <c r="L117" s="1360"/>
      <c r="M117" s="1361"/>
      <c r="N117" s="208"/>
    </row>
    <row r="118" spans="1:14" s="1367" customFormat="1" ht="25.5" customHeight="1" x14ac:dyDescent="0.2">
      <c r="A118" s="1660"/>
      <c r="B118" s="1363" t="s">
        <v>142</v>
      </c>
      <c r="C118" s="1358" t="s">
        <v>13</v>
      </c>
      <c r="D118" s="1358" t="s">
        <v>131</v>
      </c>
      <c r="E118" s="1364">
        <v>1</v>
      </c>
      <c r="F118" s="1381">
        <v>65.5</v>
      </c>
      <c r="G118" s="1364">
        <v>2</v>
      </c>
      <c r="H118" s="200">
        <f t="shared" si="9"/>
        <v>131</v>
      </c>
      <c r="I118" s="208"/>
      <c r="J118" s="208"/>
      <c r="K118" s="1360"/>
      <c r="L118" s="1360"/>
      <c r="M118" s="1361"/>
      <c r="N118" s="208"/>
    </row>
    <row r="119" spans="1:14" s="1367" customFormat="1" ht="16.899999999999999" customHeight="1" x14ac:dyDescent="0.2">
      <c r="A119" s="1660"/>
      <c r="B119" s="1363" t="s">
        <v>183</v>
      </c>
      <c r="C119" s="1358" t="s">
        <v>12</v>
      </c>
      <c r="D119" s="1358" t="s">
        <v>131</v>
      </c>
      <c r="E119" s="1364">
        <v>68</v>
      </c>
      <c r="F119" s="1381">
        <v>6</v>
      </c>
      <c r="G119" s="1364">
        <v>1</v>
      </c>
      <c r="H119" s="200">
        <f t="shared" si="9"/>
        <v>408</v>
      </c>
      <c r="I119" s="208"/>
      <c r="J119" s="208"/>
      <c r="K119" s="1360"/>
      <c r="L119" s="1360"/>
      <c r="M119" s="1361"/>
      <c r="N119" s="208"/>
    </row>
    <row r="120" spans="1:14" s="1367" customFormat="1" ht="16.899999999999999" customHeight="1" x14ac:dyDescent="0.2">
      <c r="A120" s="1660"/>
      <c r="B120" s="1363" t="s">
        <v>184</v>
      </c>
      <c r="C120" s="1358" t="s">
        <v>11</v>
      </c>
      <c r="D120" s="1358" t="s">
        <v>131</v>
      </c>
      <c r="E120" s="1364">
        <v>3</v>
      </c>
      <c r="F120" s="1381">
        <v>350</v>
      </c>
      <c r="G120" s="1364">
        <v>1</v>
      </c>
      <c r="H120" s="200">
        <f t="shared" si="9"/>
        <v>1050</v>
      </c>
      <c r="I120" s="208"/>
      <c r="J120" s="208"/>
      <c r="K120" s="1360"/>
      <c r="L120" s="1360"/>
      <c r="M120" s="1361"/>
      <c r="N120" s="208"/>
    </row>
    <row r="121" spans="1:14" s="1367" customFormat="1" ht="15.75" customHeight="1" x14ac:dyDescent="0.2">
      <c r="A121" s="1660"/>
      <c r="B121" s="1382"/>
      <c r="C121" s="1383"/>
      <c r="D121" s="1384" t="s">
        <v>0</v>
      </c>
      <c r="E121" s="1385"/>
      <c r="F121" s="1386"/>
      <c r="G121" s="1385"/>
      <c r="H121" s="1387">
        <f>SUM(H112:H120)</f>
        <v>15469</v>
      </c>
      <c r="I121" s="1434">
        <v>0.3</v>
      </c>
      <c r="J121" s="1435">
        <f>H121*I121</f>
        <v>4640.7</v>
      </c>
      <c r="K121" s="1436">
        <v>15469</v>
      </c>
      <c r="L121" s="1389">
        <v>15469</v>
      </c>
      <c r="M121" s="1391">
        <v>1</v>
      </c>
      <c r="N121" s="1437" t="s">
        <v>753</v>
      </c>
    </row>
    <row r="122" spans="1:14" s="1367" customFormat="1" ht="81.75" customHeight="1" x14ac:dyDescent="0.2">
      <c r="A122" s="1660"/>
      <c r="B122" s="1377" t="s">
        <v>185</v>
      </c>
      <c r="C122" s="1378"/>
      <c r="D122" s="1378" t="s">
        <v>131</v>
      </c>
      <c r="E122" s="1379"/>
      <c r="F122" s="1380"/>
      <c r="G122" s="1379"/>
      <c r="H122" s="202"/>
      <c r="I122" s="208"/>
      <c r="J122" s="208"/>
      <c r="K122" s="1360"/>
      <c r="L122" s="1360"/>
      <c r="M122" s="1361"/>
      <c r="N122" s="208"/>
    </row>
    <row r="123" spans="1:14" s="1367" customFormat="1" ht="16.899999999999999" customHeight="1" x14ac:dyDescent="0.2">
      <c r="A123" s="1660"/>
      <c r="B123" s="1363" t="s">
        <v>159</v>
      </c>
      <c r="C123" s="1358" t="s">
        <v>13</v>
      </c>
      <c r="D123" s="1358" t="s">
        <v>131</v>
      </c>
      <c r="E123" s="1364">
        <v>35</v>
      </c>
      <c r="F123" s="1381">
        <v>15</v>
      </c>
      <c r="G123" s="1364">
        <v>1</v>
      </c>
      <c r="H123" s="200">
        <f t="shared" ref="H123:H129" si="10">E123*F123*G123</f>
        <v>525</v>
      </c>
      <c r="I123" s="208"/>
      <c r="J123" s="208"/>
      <c r="K123" s="1360"/>
      <c r="L123" s="1360"/>
      <c r="M123" s="1361"/>
      <c r="N123" s="208"/>
    </row>
    <row r="124" spans="1:14" s="1367" customFormat="1" ht="16.899999999999999" customHeight="1" x14ac:dyDescent="0.2">
      <c r="A124" s="1660"/>
      <c r="B124" s="1363" t="s">
        <v>161</v>
      </c>
      <c r="C124" s="1358" t="s">
        <v>13</v>
      </c>
      <c r="D124" s="1358" t="s">
        <v>131</v>
      </c>
      <c r="E124" s="1364">
        <v>35</v>
      </c>
      <c r="F124" s="1381">
        <v>15</v>
      </c>
      <c r="G124" s="1364">
        <v>1</v>
      </c>
      <c r="H124" s="200">
        <f t="shared" si="10"/>
        <v>525</v>
      </c>
      <c r="I124" s="208"/>
      <c r="J124" s="208"/>
      <c r="K124" s="1360"/>
      <c r="L124" s="1360"/>
      <c r="M124" s="1361"/>
      <c r="N124" s="208"/>
    </row>
    <row r="125" spans="1:14" s="1367" customFormat="1" ht="13.5" x14ac:dyDescent="0.2">
      <c r="A125" s="1660"/>
      <c r="B125" s="1363" t="s">
        <v>160</v>
      </c>
      <c r="C125" s="1358" t="s">
        <v>13</v>
      </c>
      <c r="D125" s="1358" t="s">
        <v>131</v>
      </c>
      <c r="E125" s="1364">
        <v>30</v>
      </c>
      <c r="F125" s="1381">
        <v>25</v>
      </c>
      <c r="G125" s="1364">
        <v>2</v>
      </c>
      <c r="H125" s="200">
        <f t="shared" si="10"/>
        <v>1500</v>
      </c>
      <c r="I125" s="208"/>
      <c r="J125" s="208"/>
      <c r="K125" s="1360"/>
      <c r="L125" s="1360"/>
      <c r="M125" s="1361"/>
      <c r="N125" s="208"/>
    </row>
    <row r="126" spans="1:14" s="1367" customFormat="1" ht="13.5" x14ac:dyDescent="0.2">
      <c r="A126" s="1660"/>
      <c r="B126" s="1363" t="s">
        <v>186</v>
      </c>
      <c r="C126" s="1358" t="s">
        <v>13</v>
      </c>
      <c r="D126" s="1358" t="s">
        <v>131</v>
      </c>
      <c r="E126" s="1364">
        <v>30</v>
      </c>
      <c r="F126" s="1381">
        <v>45</v>
      </c>
      <c r="G126" s="1364">
        <v>2</v>
      </c>
      <c r="H126" s="200">
        <f t="shared" si="10"/>
        <v>2700</v>
      </c>
      <c r="I126" s="208"/>
      <c r="J126" s="208"/>
      <c r="K126" s="1360"/>
      <c r="L126" s="1360"/>
      <c r="M126" s="1361"/>
      <c r="N126" s="208"/>
    </row>
    <row r="127" spans="1:14" s="1367" customFormat="1" ht="13.5" x14ac:dyDescent="0.2">
      <c r="A127" s="1660"/>
      <c r="B127" s="1363" t="s">
        <v>187</v>
      </c>
      <c r="C127" s="1358" t="s">
        <v>12</v>
      </c>
      <c r="D127" s="1358" t="s">
        <v>131</v>
      </c>
      <c r="E127" s="1364">
        <v>35</v>
      </c>
      <c r="F127" s="1381">
        <v>4.38</v>
      </c>
      <c r="G127" s="1364">
        <v>1</v>
      </c>
      <c r="H127" s="200">
        <f t="shared" si="10"/>
        <v>153.29999999999998</v>
      </c>
      <c r="I127" s="208"/>
      <c r="J127" s="208"/>
      <c r="K127" s="1360"/>
      <c r="L127" s="1360"/>
      <c r="M127" s="1361"/>
      <c r="N127" s="208"/>
    </row>
    <row r="128" spans="1:14" s="1367" customFormat="1" ht="13.15" customHeight="1" x14ac:dyDescent="0.2">
      <c r="A128" s="1660"/>
      <c r="B128" s="1363" t="s">
        <v>141</v>
      </c>
      <c r="C128" s="1358" t="s">
        <v>14</v>
      </c>
      <c r="D128" s="1358" t="s">
        <v>131</v>
      </c>
      <c r="E128" s="1364">
        <v>1</v>
      </c>
      <c r="F128" s="1381">
        <v>100</v>
      </c>
      <c r="G128" s="1364">
        <v>1</v>
      </c>
      <c r="H128" s="200">
        <f t="shared" si="10"/>
        <v>100</v>
      </c>
      <c r="I128" s="208"/>
      <c r="J128" s="208"/>
      <c r="K128" s="1360"/>
      <c r="L128" s="1360"/>
      <c r="M128" s="1361"/>
      <c r="N128" s="208"/>
    </row>
    <row r="129" spans="1:21" s="1367" customFormat="1" ht="25.5" x14ac:dyDescent="0.2">
      <c r="A129" s="1660"/>
      <c r="B129" s="1419" t="s">
        <v>188</v>
      </c>
      <c r="C129" s="1420" t="s">
        <v>13</v>
      </c>
      <c r="D129" s="1420" t="s">
        <v>131</v>
      </c>
      <c r="E129" s="1460">
        <v>1</v>
      </c>
      <c r="F129" s="1461">
        <v>300</v>
      </c>
      <c r="G129" s="1460">
        <v>1</v>
      </c>
      <c r="H129" s="209">
        <f t="shared" si="10"/>
        <v>300</v>
      </c>
      <c r="I129" s="208"/>
      <c r="J129" s="208"/>
      <c r="K129" s="1360"/>
      <c r="L129" s="1360"/>
      <c r="M129" s="1361"/>
      <c r="N129" s="208"/>
    </row>
    <row r="130" spans="1:21" s="1367" customFormat="1" ht="38.25" x14ac:dyDescent="0.2">
      <c r="A130" s="1661"/>
      <c r="B130" s="1369"/>
      <c r="C130" s="1370"/>
      <c r="D130" s="1394" t="s">
        <v>0</v>
      </c>
      <c r="E130" s="1371"/>
      <c r="F130" s="1372"/>
      <c r="G130" s="1371"/>
      <c r="H130" s="1462">
        <f>SUM(H123:H129)</f>
        <v>5803.3</v>
      </c>
      <c r="I130" s="1463">
        <v>0.3</v>
      </c>
      <c r="J130" s="1464">
        <f>H130*I130</f>
        <v>1740.99</v>
      </c>
      <c r="K130" s="1375">
        <v>5803.3</v>
      </c>
      <c r="L130" s="1465">
        <v>5803.3</v>
      </c>
      <c r="M130" s="1376">
        <v>1</v>
      </c>
      <c r="N130" s="1370" t="s">
        <v>762</v>
      </c>
    </row>
    <row r="131" spans="1:21" s="1359" customFormat="1" ht="25.5" x14ac:dyDescent="0.2">
      <c r="A131" s="1662" t="s">
        <v>189</v>
      </c>
      <c r="B131" s="1466" t="s">
        <v>190</v>
      </c>
      <c r="C131" s="1467"/>
      <c r="D131" s="1426" t="s">
        <v>131</v>
      </c>
      <c r="E131" s="1468"/>
      <c r="F131" s="1468"/>
      <c r="G131" s="1468"/>
      <c r="H131" s="1469"/>
      <c r="I131" s="210"/>
      <c r="J131" s="210"/>
      <c r="K131" s="1429"/>
      <c r="L131" s="1429"/>
      <c r="M131" s="1430"/>
      <c r="N131" s="1470"/>
    </row>
    <row r="132" spans="1:21" s="1367" customFormat="1" x14ac:dyDescent="0.2">
      <c r="A132" s="1663"/>
      <c r="B132" s="1455" t="s">
        <v>191</v>
      </c>
      <c r="C132" s="1358" t="s">
        <v>11</v>
      </c>
      <c r="D132" s="1358" t="s">
        <v>131</v>
      </c>
      <c r="E132" s="1368">
        <v>1</v>
      </c>
      <c r="F132" s="1365">
        <v>840</v>
      </c>
      <c r="G132" s="1368">
        <v>12</v>
      </c>
      <c r="H132" s="200">
        <f>E132*F132*G132</f>
        <v>10080</v>
      </c>
      <c r="I132" s="201"/>
      <c r="J132" s="201"/>
      <c r="K132" s="1360"/>
      <c r="L132" s="1360"/>
      <c r="M132" s="1361"/>
      <c r="N132" s="1366"/>
    </row>
    <row r="133" spans="1:21" s="1367" customFormat="1" x14ac:dyDescent="0.2">
      <c r="A133" s="1663"/>
      <c r="B133" s="1455" t="s">
        <v>192</v>
      </c>
      <c r="C133" s="1358" t="s">
        <v>11</v>
      </c>
      <c r="D133" s="1358" t="s">
        <v>131</v>
      </c>
      <c r="E133" s="1368">
        <v>2</v>
      </c>
      <c r="F133" s="1365">
        <v>400</v>
      </c>
      <c r="G133" s="1368">
        <v>12</v>
      </c>
      <c r="H133" s="200">
        <f>E133*F133*G133</f>
        <v>9600</v>
      </c>
      <c r="I133" s="201"/>
      <c r="J133" s="201"/>
      <c r="K133" s="1360"/>
      <c r="L133" s="1360"/>
      <c r="M133" s="1361"/>
      <c r="N133" s="1366"/>
    </row>
    <row r="134" spans="1:21" s="1471" customFormat="1" x14ac:dyDescent="0.2">
      <c r="A134" s="1663"/>
      <c r="B134" s="1455" t="s">
        <v>193</v>
      </c>
      <c r="C134" s="1358" t="s">
        <v>13</v>
      </c>
      <c r="D134" s="1358" t="s">
        <v>131</v>
      </c>
      <c r="E134" s="1368">
        <v>1</v>
      </c>
      <c r="F134" s="1365">
        <v>211.5</v>
      </c>
      <c r="G134" s="1368">
        <v>12</v>
      </c>
      <c r="H134" s="200">
        <f>E134*F134*G134</f>
        <v>2538</v>
      </c>
      <c r="I134" s="201"/>
      <c r="J134" s="201"/>
      <c r="K134" s="1360"/>
      <c r="L134" s="1360"/>
      <c r="M134" s="1361"/>
      <c r="N134" s="1366"/>
    </row>
    <row r="135" spans="1:21" s="1367" customFormat="1" ht="22.5" customHeight="1" x14ac:dyDescent="0.2">
      <c r="A135" s="1663"/>
      <c r="B135" s="1455" t="s">
        <v>194</v>
      </c>
      <c r="C135" s="1358" t="s">
        <v>14</v>
      </c>
      <c r="D135" s="1358" t="s">
        <v>131</v>
      </c>
      <c r="E135" s="1368">
        <v>1</v>
      </c>
      <c r="F135" s="1365">
        <v>205</v>
      </c>
      <c r="G135" s="1368">
        <v>12</v>
      </c>
      <c r="H135" s="200">
        <f>E135*F135*G135</f>
        <v>2460</v>
      </c>
      <c r="I135" s="201"/>
      <c r="J135" s="201"/>
      <c r="K135" s="1360"/>
      <c r="L135" s="1360"/>
      <c r="M135" s="1361"/>
      <c r="N135" s="1366"/>
    </row>
    <row r="136" spans="1:21" s="1359" customFormat="1" ht="51.75" customHeight="1" x14ac:dyDescent="0.2">
      <c r="A136" s="1378"/>
      <c r="B136" s="1383"/>
      <c r="C136" s="1383"/>
      <c r="D136" s="1384" t="s">
        <v>0</v>
      </c>
      <c r="E136" s="1412"/>
      <c r="F136" s="1413"/>
      <c r="G136" s="1412"/>
      <c r="H136" s="1387">
        <f>SUM(H132:H135)</f>
        <v>24678</v>
      </c>
      <c r="I136" s="1458"/>
      <c r="J136" s="1458"/>
      <c r="K136" s="1389">
        <v>24678</v>
      </c>
      <c r="L136" s="1389">
        <v>24678</v>
      </c>
      <c r="M136" s="1391">
        <v>1</v>
      </c>
      <c r="N136" s="1437" t="s">
        <v>763</v>
      </c>
    </row>
    <row r="137" spans="1:21" s="1479" customFormat="1" ht="13.5" x14ac:dyDescent="0.2">
      <c r="A137" s="1664" t="s">
        <v>195</v>
      </c>
      <c r="B137" s="1665"/>
      <c r="C137" s="1472"/>
      <c r="D137" s="1473"/>
      <c r="E137" s="1474"/>
      <c r="F137" s="1475"/>
      <c r="G137" s="1476"/>
      <c r="H137" s="232">
        <f>H16+H25+H29+H38+H44+H48+H50+H55+H64+H71+H73+H76+H85+H87+H98+H100+H110+H121+H130+H136</f>
        <v>151120.32000000001</v>
      </c>
      <c r="I137" s="1477"/>
      <c r="J137" s="1478">
        <f>J16+J25+J38+J55+J64+J73+J76+J85+J98+J121+J130</f>
        <v>18848.846000000001</v>
      </c>
      <c r="K137" s="233"/>
      <c r="L137" s="233">
        <f>L16+L25+L29+L38+L44+L48+L50+L55+L64+L71+L73+L76+L85+L87+L98+L100+L110+L121+L130+L136</f>
        <v>151119.82</v>
      </c>
      <c r="M137" s="233"/>
      <c r="N137" s="233"/>
    </row>
    <row r="138" spans="1:21" s="1491" customFormat="1" ht="13.5" x14ac:dyDescent="0.2">
      <c r="A138" s="1480" t="s">
        <v>40</v>
      </c>
      <c r="B138" s="1481"/>
      <c r="C138" s="1482"/>
      <c r="D138" s="1483"/>
      <c r="E138" s="1484"/>
      <c r="F138" s="1485"/>
      <c r="G138" s="1486"/>
      <c r="H138" s="213">
        <f>H137</f>
        <v>151120.32000000001</v>
      </c>
      <c r="I138" s="1487">
        <f>H138/H171</f>
        <v>0.61417726603571343</v>
      </c>
      <c r="J138" s="1488">
        <f>J137</f>
        <v>18848.846000000001</v>
      </c>
      <c r="K138" s="214"/>
      <c r="L138" s="1489">
        <f>L137</f>
        <v>151119.82</v>
      </c>
      <c r="M138" s="1490">
        <f>L138/H138</f>
        <v>0.99999669137810188</v>
      </c>
      <c r="N138" s="214"/>
    </row>
    <row r="139" spans="1:21" s="1184" customFormat="1" x14ac:dyDescent="0.2">
      <c r="A139" s="1666" t="s">
        <v>48</v>
      </c>
      <c r="B139" s="1667"/>
      <c r="C139" s="1492"/>
      <c r="D139" s="1492"/>
      <c r="E139" s="1493"/>
      <c r="F139" s="1494"/>
      <c r="G139" s="1493"/>
      <c r="H139" s="1494"/>
      <c r="I139" s="1492"/>
      <c r="J139" s="1492"/>
      <c r="K139" s="1492"/>
      <c r="L139" s="1492"/>
      <c r="M139" s="1492"/>
      <c r="N139" s="1495"/>
      <c r="O139" s="1496"/>
      <c r="P139" s="1496"/>
      <c r="Q139" s="1496"/>
      <c r="R139" s="1496"/>
      <c r="S139" s="1496"/>
      <c r="T139" s="1496"/>
      <c r="U139" s="1497"/>
    </row>
    <row r="140" spans="1:21" s="1508" customFormat="1" ht="12.75" customHeight="1" x14ac:dyDescent="0.2">
      <c r="A140" s="1498" t="s">
        <v>41</v>
      </c>
      <c r="B140" s="1499"/>
      <c r="C140" s="1499"/>
      <c r="D140" s="1500"/>
      <c r="E140" s="1501"/>
      <c r="F140" s="1502"/>
      <c r="G140" s="1501"/>
      <c r="H140" s="1502"/>
      <c r="I140" s="1500"/>
      <c r="J140" s="1500"/>
      <c r="K140" s="1500"/>
      <c r="L140" s="1503"/>
      <c r="M140" s="1504"/>
      <c r="N140" s="1505"/>
      <c r="O140" s="1506"/>
      <c r="P140" s="1506"/>
      <c r="Q140" s="1506"/>
      <c r="R140" s="1506"/>
      <c r="S140" s="1506"/>
      <c r="T140" s="1506"/>
      <c r="U140" s="1507"/>
    </row>
    <row r="141" spans="1:21" ht="15.75" x14ac:dyDescent="0.2">
      <c r="A141" s="1509" t="s">
        <v>196</v>
      </c>
      <c r="B141" s="1510" t="s">
        <v>59</v>
      </c>
      <c r="C141" s="1511" t="s">
        <v>11</v>
      </c>
      <c r="D141" s="1512" t="s">
        <v>131</v>
      </c>
      <c r="E141" s="1364">
        <v>1</v>
      </c>
      <c r="F141" s="1381">
        <v>2650</v>
      </c>
      <c r="G141" s="1364">
        <v>12</v>
      </c>
      <c r="H141" s="200">
        <f>E141*F141*G141</f>
        <v>31800</v>
      </c>
      <c r="I141" s="201"/>
      <c r="J141" s="201"/>
      <c r="K141" s="1360"/>
      <c r="L141" s="1360"/>
      <c r="M141" s="1361"/>
      <c r="N141" s="201"/>
    </row>
    <row r="142" spans="1:21" ht="15.75" x14ac:dyDescent="0.2">
      <c r="A142" s="1509" t="s">
        <v>197</v>
      </c>
      <c r="B142" s="1510" t="s">
        <v>59</v>
      </c>
      <c r="C142" s="1511" t="s">
        <v>11</v>
      </c>
      <c r="D142" s="1512" t="s">
        <v>131</v>
      </c>
      <c r="E142" s="1364">
        <v>1</v>
      </c>
      <c r="F142" s="1381">
        <v>0</v>
      </c>
      <c r="G142" s="1364">
        <v>12</v>
      </c>
      <c r="H142" s="200">
        <f>E142*F142*G142</f>
        <v>0</v>
      </c>
      <c r="I142" s="201"/>
      <c r="J142" s="201"/>
      <c r="K142" s="1360"/>
      <c r="L142" s="1360"/>
      <c r="M142" s="1361"/>
      <c r="N142" s="201"/>
    </row>
    <row r="143" spans="1:21" ht="15.75" x14ac:dyDescent="0.2">
      <c r="A143" s="1509" t="s">
        <v>198</v>
      </c>
      <c r="B143" s="1510" t="s">
        <v>59</v>
      </c>
      <c r="C143" s="1511" t="s">
        <v>11</v>
      </c>
      <c r="D143" s="1512" t="s">
        <v>131</v>
      </c>
      <c r="E143" s="1364">
        <v>1</v>
      </c>
      <c r="F143" s="1381">
        <v>500</v>
      </c>
      <c r="G143" s="1364">
        <v>12</v>
      </c>
      <c r="H143" s="200">
        <f>E143*F143*G143</f>
        <v>6000</v>
      </c>
      <c r="I143" s="201"/>
      <c r="J143" s="201"/>
      <c r="K143" s="1360"/>
      <c r="L143" s="1360"/>
      <c r="M143" s="1361"/>
      <c r="N143" s="201"/>
    </row>
    <row r="144" spans="1:21" x14ac:dyDescent="0.2">
      <c r="A144" s="1366"/>
      <c r="B144" s="1513"/>
      <c r="C144" s="1511"/>
      <c r="D144" s="1514" t="s">
        <v>0</v>
      </c>
      <c r="E144" s="1423"/>
      <c r="F144" s="1424"/>
      <c r="G144" s="1423"/>
      <c r="H144" s="211">
        <f>SUM(H141:H143)</f>
        <v>37800</v>
      </c>
      <c r="I144" s="1515">
        <f>H144/H171</f>
        <v>0.15362527459014094</v>
      </c>
      <c r="J144" s="1516"/>
      <c r="K144" s="1375">
        <v>35146</v>
      </c>
      <c r="L144" s="1517">
        <v>35140</v>
      </c>
      <c r="M144" s="1518">
        <v>1</v>
      </c>
      <c r="N144" s="215"/>
    </row>
    <row r="145" spans="1:14" s="1479" customFormat="1" x14ac:dyDescent="0.2">
      <c r="A145" s="1498" t="s">
        <v>42</v>
      </c>
      <c r="B145" s="1499"/>
      <c r="C145" s="1499"/>
      <c r="D145" s="1499"/>
      <c r="E145" s="1499"/>
      <c r="F145" s="1499"/>
      <c r="G145" s="1499"/>
      <c r="H145" s="1499"/>
      <c r="I145" s="1499"/>
      <c r="J145" s="1499"/>
      <c r="K145" s="1519"/>
      <c r="L145" s="1499"/>
      <c r="M145" s="1520"/>
      <c r="N145" s="1521"/>
    </row>
    <row r="146" spans="1:14" x14ac:dyDescent="0.2">
      <c r="A146" s="1513" t="s">
        <v>199</v>
      </c>
      <c r="C146" s="1511" t="s">
        <v>12</v>
      </c>
      <c r="D146" s="1512"/>
      <c r="E146" s="1364">
        <v>1</v>
      </c>
      <c r="F146" s="1523">
        <v>5000</v>
      </c>
      <c r="G146" s="1364">
        <v>1</v>
      </c>
      <c r="H146" s="231">
        <f>E146*F146*G146</f>
        <v>5000</v>
      </c>
      <c r="I146" s="201"/>
      <c r="J146" s="201"/>
      <c r="K146" s="1524"/>
      <c r="L146" s="1360"/>
      <c r="M146" s="1361"/>
      <c r="N146" s="201"/>
    </row>
    <row r="147" spans="1:14" s="1479" customFormat="1" ht="14.25" customHeight="1" x14ac:dyDescent="0.2">
      <c r="A147" s="1362"/>
      <c r="B147" s="1525"/>
      <c r="C147" s="1526"/>
      <c r="D147" s="1394" t="s">
        <v>0</v>
      </c>
      <c r="E147" s="1527"/>
      <c r="F147" s="1528"/>
      <c r="G147" s="1527"/>
      <c r="H147" s="211">
        <f>H146</f>
        <v>5000</v>
      </c>
      <c r="I147" s="205"/>
      <c r="J147" s="1529"/>
      <c r="K147" s="1375">
        <v>5900</v>
      </c>
      <c r="L147" s="1517">
        <v>5894</v>
      </c>
      <c r="M147" s="1530">
        <v>1</v>
      </c>
      <c r="N147" s="205"/>
    </row>
    <row r="148" spans="1:14" s="1479" customFormat="1" ht="14.25" customHeight="1" x14ac:dyDescent="0.2">
      <c r="A148" s="1498" t="s">
        <v>43</v>
      </c>
      <c r="B148" s="1499"/>
      <c r="C148" s="1499"/>
      <c r="D148" s="1499"/>
      <c r="E148" s="1499"/>
      <c r="F148" s="1499"/>
      <c r="G148" s="1499"/>
      <c r="H148" s="1499"/>
      <c r="I148" s="1499"/>
      <c r="J148" s="1499"/>
      <c r="K148" s="1519"/>
      <c r="L148" s="1499"/>
      <c r="M148" s="1520"/>
      <c r="N148" s="1521"/>
    </row>
    <row r="149" spans="1:14" s="1479" customFormat="1" ht="14.25" customHeight="1" x14ac:dyDescent="0.2">
      <c r="A149" s="1513" t="s">
        <v>200</v>
      </c>
      <c r="B149" s="1510" t="s">
        <v>201</v>
      </c>
      <c r="C149" s="1511" t="s">
        <v>27</v>
      </c>
      <c r="D149" s="1512" t="s">
        <v>131</v>
      </c>
      <c r="E149" s="1364">
        <v>2</v>
      </c>
      <c r="F149" s="1523">
        <v>800</v>
      </c>
      <c r="G149" s="1364">
        <v>1</v>
      </c>
      <c r="H149" s="231">
        <f t="shared" ref="H149:H151" si="11">E149*F149*G149</f>
        <v>1600</v>
      </c>
      <c r="I149" s="208"/>
      <c r="J149" s="208"/>
      <c r="K149" s="1524"/>
      <c r="L149" s="1360"/>
      <c r="M149" s="1361"/>
      <c r="N149" s="208"/>
    </row>
    <row r="150" spans="1:14" s="1479" customFormat="1" ht="14.25" customHeight="1" x14ac:dyDescent="0.2">
      <c r="A150" s="1513" t="s">
        <v>202</v>
      </c>
      <c r="B150" s="1510" t="s">
        <v>201</v>
      </c>
      <c r="C150" s="1511" t="s">
        <v>27</v>
      </c>
      <c r="D150" s="1512" t="s">
        <v>131</v>
      </c>
      <c r="E150" s="1364">
        <v>2</v>
      </c>
      <c r="F150" s="1523">
        <v>200</v>
      </c>
      <c r="G150" s="1364">
        <v>1</v>
      </c>
      <c r="H150" s="231">
        <f t="shared" si="11"/>
        <v>400</v>
      </c>
      <c r="I150" s="208"/>
      <c r="J150" s="208"/>
      <c r="K150" s="1524"/>
      <c r="L150" s="1360"/>
      <c r="M150" s="1361"/>
      <c r="N150" s="208"/>
    </row>
    <row r="151" spans="1:14" s="1479" customFormat="1" ht="14.25" customHeight="1" x14ac:dyDescent="0.2">
      <c r="A151" s="1513" t="s">
        <v>203</v>
      </c>
      <c r="B151" s="1510" t="s">
        <v>201</v>
      </c>
      <c r="C151" s="1511" t="s">
        <v>27</v>
      </c>
      <c r="D151" s="1512" t="s">
        <v>131</v>
      </c>
      <c r="E151" s="1364">
        <v>2</v>
      </c>
      <c r="F151" s="1523">
        <v>200</v>
      </c>
      <c r="G151" s="1364">
        <v>1</v>
      </c>
      <c r="H151" s="231">
        <f t="shared" si="11"/>
        <v>400</v>
      </c>
      <c r="I151" s="208"/>
      <c r="J151" s="208"/>
      <c r="K151" s="1524"/>
      <c r="L151" s="1360"/>
      <c r="M151" s="1361"/>
      <c r="N151" s="208"/>
    </row>
    <row r="152" spans="1:14" s="1479" customFormat="1" ht="14.25" customHeight="1" x14ac:dyDescent="0.2">
      <c r="A152" s="1362"/>
      <c r="B152" s="1531"/>
      <c r="C152" s="1362"/>
      <c r="D152" s="1394" t="s">
        <v>0</v>
      </c>
      <c r="E152" s="1527"/>
      <c r="F152" s="1528"/>
      <c r="G152" s="1527"/>
      <c r="H152" s="216">
        <f>SUM(H149:H151)</f>
        <v>2400</v>
      </c>
      <c r="I152" s="205"/>
      <c r="J152" s="1529"/>
      <c r="K152" s="1375">
        <v>14600</v>
      </c>
      <c r="L152" s="1517">
        <v>12426</v>
      </c>
      <c r="M152" s="1376">
        <v>0.85</v>
      </c>
      <c r="N152" s="205"/>
    </row>
    <row r="153" spans="1:14" s="1479" customFormat="1" ht="14.25" customHeight="1" x14ac:dyDescent="0.2">
      <c r="A153" s="1498" t="s">
        <v>44</v>
      </c>
      <c r="B153" s="1499"/>
      <c r="C153" s="1499"/>
      <c r="D153" s="1499"/>
      <c r="E153" s="1499"/>
      <c r="F153" s="1499"/>
      <c r="G153" s="1499"/>
      <c r="H153" s="1499"/>
      <c r="I153" s="1499"/>
      <c r="J153" s="1499"/>
      <c r="K153" s="1519"/>
      <c r="L153" s="1499"/>
      <c r="M153" s="1520"/>
      <c r="N153" s="1521"/>
    </row>
    <row r="154" spans="1:14" ht="14.25" customHeight="1" x14ac:dyDescent="0.2">
      <c r="A154" s="1532"/>
      <c r="B154" s="1324"/>
      <c r="C154" s="1533"/>
      <c r="D154" s="1534"/>
      <c r="F154" s="1536"/>
      <c r="G154" s="1537"/>
      <c r="H154" s="217"/>
      <c r="I154" s="218"/>
      <c r="J154" s="218"/>
      <c r="K154" s="1538"/>
      <c r="L154" s="1539"/>
      <c r="M154" s="1540"/>
      <c r="N154" s="218"/>
    </row>
    <row r="155" spans="1:14" s="1479" customFormat="1" ht="14.25" customHeight="1" x14ac:dyDescent="0.2">
      <c r="A155" s="1541"/>
      <c r="B155" s="1542"/>
      <c r="C155" s="1543"/>
      <c r="D155" s="1544" t="s">
        <v>0</v>
      </c>
      <c r="E155" s="1545"/>
      <c r="F155" s="1546"/>
      <c r="G155" s="1547"/>
      <c r="H155" s="219"/>
      <c r="I155" s="220"/>
      <c r="J155" s="1548"/>
      <c r="K155" s="1375"/>
      <c r="L155" s="1375"/>
      <c r="M155" s="1549"/>
      <c r="N155" s="220"/>
    </row>
    <row r="156" spans="1:14" s="1479" customFormat="1" ht="14.25" customHeight="1" x14ac:dyDescent="0.2">
      <c r="A156" s="1550" t="s">
        <v>46</v>
      </c>
      <c r="B156" s="1551"/>
      <c r="C156" s="1551"/>
      <c r="D156" s="1551"/>
      <c r="E156" s="1552"/>
      <c r="F156" s="1551"/>
      <c r="G156" s="1551"/>
      <c r="H156" s="1551"/>
      <c r="I156" s="1551"/>
      <c r="J156" s="1551"/>
      <c r="K156" s="1553"/>
      <c r="L156" s="1554"/>
      <c r="M156" s="1555"/>
      <c r="N156" s="1556"/>
    </row>
    <row r="157" spans="1:14" s="1479" customFormat="1" ht="14.25" customHeight="1" x14ac:dyDescent="0.2">
      <c r="A157" s="1557" t="s">
        <v>204</v>
      </c>
      <c r="B157" s="1558" t="s">
        <v>205</v>
      </c>
      <c r="C157" s="1559" t="s">
        <v>13</v>
      </c>
      <c r="D157" s="1560" t="s">
        <v>131</v>
      </c>
      <c r="E157" s="1561">
        <v>1</v>
      </c>
      <c r="F157" s="1562">
        <v>141</v>
      </c>
      <c r="G157" s="1563">
        <v>71</v>
      </c>
      <c r="H157" s="234">
        <f>E157*F157*G157</f>
        <v>10011</v>
      </c>
      <c r="I157" s="221"/>
      <c r="J157" s="221"/>
      <c r="K157" s="1538"/>
      <c r="L157" s="1539"/>
      <c r="M157" s="1540"/>
      <c r="N157" s="221"/>
    </row>
    <row r="158" spans="1:14" s="1479" customFormat="1" ht="14.25" customHeight="1" x14ac:dyDescent="0.2">
      <c r="A158" s="1513" t="s">
        <v>206</v>
      </c>
      <c r="B158" s="1558" t="s">
        <v>207</v>
      </c>
      <c r="C158" s="1559" t="s">
        <v>13</v>
      </c>
      <c r="D158" s="1512" t="s">
        <v>131</v>
      </c>
      <c r="E158" s="1364">
        <v>2500</v>
      </c>
      <c r="F158" s="1564">
        <v>2</v>
      </c>
      <c r="G158" s="1364">
        <v>1</v>
      </c>
      <c r="H158" s="234">
        <f t="shared" ref="H158:H159" si="12">E158*F158*G158</f>
        <v>5000</v>
      </c>
      <c r="I158" s="221"/>
      <c r="J158" s="221"/>
      <c r="K158" s="1538"/>
      <c r="L158" s="1539"/>
      <c r="M158" s="1540"/>
      <c r="N158" s="221"/>
    </row>
    <row r="159" spans="1:14" s="1479" customFormat="1" ht="14.25" customHeight="1" x14ac:dyDescent="0.2">
      <c r="A159" s="1513" t="s">
        <v>208</v>
      </c>
      <c r="B159" s="1558" t="s">
        <v>209</v>
      </c>
      <c r="C159" s="1559" t="s">
        <v>13</v>
      </c>
      <c r="D159" s="1512" t="s">
        <v>131</v>
      </c>
      <c r="E159" s="1364">
        <v>1</v>
      </c>
      <c r="F159" s="1564">
        <v>150</v>
      </c>
      <c r="G159" s="1364">
        <v>20</v>
      </c>
      <c r="H159" s="234">
        <f t="shared" si="12"/>
        <v>3000</v>
      </c>
      <c r="I159" s="221"/>
      <c r="J159" s="221"/>
      <c r="K159" s="1538"/>
      <c r="L159" s="1539"/>
      <c r="M159" s="1540"/>
      <c r="N159" s="221"/>
    </row>
    <row r="160" spans="1:14" ht="14.25" customHeight="1" x14ac:dyDescent="0.2">
      <c r="A160" s="1532"/>
      <c r="B160" s="1565"/>
      <c r="C160" s="1566"/>
      <c r="D160" s="1567" t="s">
        <v>0</v>
      </c>
      <c r="E160" s="1568"/>
      <c r="F160" s="1569"/>
      <c r="G160" s="1570"/>
      <c r="H160" s="222">
        <f>SUM(H157:H159)</f>
        <v>18011</v>
      </c>
      <c r="I160" s="223"/>
      <c r="J160" s="1548"/>
      <c r="K160" s="1375">
        <v>14982</v>
      </c>
      <c r="L160" s="1517">
        <v>9635</v>
      </c>
      <c r="M160" s="1571">
        <v>0.64</v>
      </c>
      <c r="N160" s="223"/>
    </row>
    <row r="161" spans="1:14" s="1479" customFormat="1" ht="14.25" customHeight="1" x14ac:dyDescent="0.2">
      <c r="A161" s="1550" t="s">
        <v>47</v>
      </c>
      <c r="B161" s="1551"/>
      <c r="C161" s="1551"/>
      <c r="D161" s="1551"/>
      <c r="E161" s="1552"/>
      <c r="F161" s="1551"/>
      <c r="G161" s="1551"/>
      <c r="H161" s="1551"/>
      <c r="I161" s="1551"/>
      <c r="J161" s="1551"/>
      <c r="K161" s="1553"/>
      <c r="L161" s="1554"/>
      <c r="M161" s="1555"/>
      <c r="N161" s="1556"/>
    </row>
    <row r="162" spans="1:14" s="1479" customFormat="1" ht="14.25" customHeight="1" x14ac:dyDescent="0.2">
      <c r="A162" s="1541"/>
      <c r="B162" s="1572"/>
      <c r="C162" s="1573"/>
      <c r="D162" s="1574"/>
      <c r="E162" s="1575"/>
      <c r="F162" s="1576"/>
      <c r="G162" s="1577"/>
      <c r="H162" s="224"/>
      <c r="I162" s="221"/>
      <c r="J162" s="221"/>
      <c r="K162" s="1538"/>
      <c r="L162" s="1539"/>
      <c r="M162" s="1540"/>
      <c r="N162" s="221"/>
    </row>
    <row r="163" spans="1:14" s="1479" customFormat="1" ht="13.5" x14ac:dyDescent="0.25">
      <c r="A163" s="1543"/>
      <c r="B163" s="1578"/>
      <c r="C163" s="1543"/>
      <c r="D163" s="1527" t="s">
        <v>0</v>
      </c>
      <c r="E163" s="1579"/>
      <c r="F163" s="1580"/>
      <c r="G163" s="1581"/>
      <c r="H163" s="225"/>
      <c r="I163" s="226"/>
      <c r="J163" s="1548"/>
      <c r="K163" s="1375"/>
      <c r="L163" s="1375"/>
      <c r="M163" s="1582"/>
      <c r="N163" s="226"/>
    </row>
    <row r="164" spans="1:14" s="1479" customFormat="1" x14ac:dyDescent="0.2">
      <c r="A164" s="1583" t="s">
        <v>45</v>
      </c>
      <c r="B164" s="1584"/>
      <c r="C164" s="1584"/>
      <c r="D164" s="1584"/>
      <c r="E164" s="1585"/>
      <c r="F164" s="1584"/>
      <c r="G164" s="1584"/>
      <c r="H164" s="1584"/>
      <c r="I164" s="1584"/>
      <c r="J164" s="1584"/>
      <c r="K164" s="1519"/>
      <c r="L164" s="1499"/>
      <c r="M164" s="1520"/>
      <c r="N164" s="1586"/>
    </row>
    <row r="165" spans="1:14" x14ac:dyDescent="0.2">
      <c r="A165" s="1566" t="s">
        <v>210</v>
      </c>
      <c r="B165" s="1587"/>
      <c r="C165" s="1559" t="s">
        <v>14</v>
      </c>
      <c r="D165" s="1512" t="s">
        <v>131</v>
      </c>
      <c r="E165" s="1588">
        <v>1</v>
      </c>
      <c r="F165" s="1589">
        <v>15625</v>
      </c>
      <c r="G165" s="1590">
        <v>1</v>
      </c>
      <c r="H165" s="234">
        <f>F165</f>
        <v>15625</v>
      </c>
      <c r="I165" s="227"/>
      <c r="J165" s="227"/>
      <c r="K165" s="1524"/>
      <c r="L165" s="1360"/>
      <c r="M165" s="1361"/>
      <c r="N165" s="227"/>
    </row>
    <row r="166" spans="1:14" s="1479" customFormat="1" ht="13.5" x14ac:dyDescent="0.25">
      <c r="A166" s="1543"/>
      <c r="B166" s="1591"/>
      <c r="C166" s="1573"/>
      <c r="D166" s="1527" t="s">
        <v>0</v>
      </c>
      <c r="E166" s="1579"/>
      <c r="F166" s="1580"/>
      <c r="G166" s="1581"/>
      <c r="H166" s="222">
        <f>H165</f>
        <v>15625</v>
      </c>
      <c r="I166" s="226"/>
      <c r="J166" s="1548"/>
      <c r="K166" s="1375">
        <v>15500</v>
      </c>
      <c r="L166" s="1517">
        <v>9175</v>
      </c>
      <c r="M166" s="1530">
        <v>0.59</v>
      </c>
      <c r="N166" s="226"/>
    </row>
    <row r="167" spans="1:14" s="1600" customFormat="1" ht="13.5" x14ac:dyDescent="0.25">
      <c r="A167" s="1592" t="s">
        <v>38</v>
      </c>
      <c r="B167" s="1593"/>
      <c r="C167" s="1594"/>
      <c r="D167" s="1484"/>
      <c r="E167" s="1595"/>
      <c r="F167" s="1596"/>
      <c r="G167" s="1597"/>
      <c r="H167" s="228">
        <f>H144+H147+H152+H160+H166</f>
        <v>78836</v>
      </c>
      <c r="I167" s="1598">
        <f>H167/H171</f>
        <v>0.32040217321662301</v>
      </c>
      <c r="J167" s="1599"/>
      <c r="K167" s="1489">
        <v>78836</v>
      </c>
      <c r="L167" s="1489">
        <f>L144+L147+L152+L155+L160+L163+L166</f>
        <v>72270</v>
      </c>
      <c r="M167" s="1490">
        <v>0.91669999999999996</v>
      </c>
      <c r="N167" s="229"/>
    </row>
    <row r="168" spans="1:14" x14ac:dyDescent="0.2">
      <c r="A168" s="1601"/>
      <c r="B168" s="1602"/>
      <c r="C168" s="1603"/>
      <c r="D168" s="1654" t="s">
        <v>37</v>
      </c>
      <c r="E168" s="1604"/>
      <c r="F168" s="1605"/>
      <c r="G168" s="1606"/>
      <c r="H168" s="1607" t="s">
        <v>211</v>
      </c>
      <c r="I168" s="1608"/>
      <c r="J168" s="1608"/>
      <c r="K168" s="1609" t="s">
        <v>764</v>
      </c>
      <c r="L168" s="1609"/>
      <c r="M168" s="1610"/>
      <c r="N168" s="1611"/>
    </row>
    <row r="169" spans="1:14" x14ac:dyDescent="0.2">
      <c r="A169" s="1612"/>
      <c r="B169" s="1613"/>
      <c r="C169" s="1614"/>
      <c r="D169" s="1655"/>
      <c r="E169" s="1604"/>
      <c r="F169" s="1605"/>
      <c r="G169" s="1606"/>
      <c r="H169" s="1615">
        <f>H138+H167</f>
        <v>229956.32</v>
      </c>
      <c r="I169" s="1608"/>
      <c r="J169" s="1616"/>
      <c r="K169" s="1617">
        <v>229956</v>
      </c>
      <c r="L169" s="1618">
        <f>L138+L167</f>
        <v>223389.82</v>
      </c>
      <c r="M169" s="1619">
        <f>L169/H169</f>
        <v>0.97144457695270126</v>
      </c>
      <c r="N169" s="1611"/>
    </row>
    <row r="170" spans="1:14" x14ac:dyDescent="0.2">
      <c r="A170" s="1620"/>
      <c r="B170" s="1621"/>
      <c r="C170" s="1622"/>
      <c r="D170" s="1623" t="s">
        <v>49</v>
      </c>
      <c r="E170" s="1624"/>
      <c r="F170" s="1625"/>
      <c r="G170" s="1626"/>
      <c r="H170" s="1627">
        <f>H169*0.07</f>
        <v>16096.942400000002</v>
      </c>
      <c r="I170" s="1628"/>
      <c r="J170" s="1628"/>
      <c r="K170" s="1629">
        <f>K169*0.07</f>
        <v>16096.920000000002</v>
      </c>
      <c r="L170" s="1618">
        <v>8712</v>
      </c>
      <c r="M170" s="1630">
        <f>L170/H170</f>
        <v>0.54122079731117123</v>
      </c>
      <c r="N170" s="1631"/>
    </row>
    <row r="171" spans="1:14" x14ac:dyDescent="0.2">
      <c r="A171" s="1632"/>
      <c r="B171" s="1633"/>
      <c r="C171" s="1633"/>
      <c r="D171" s="1634" t="s">
        <v>22</v>
      </c>
      <c r="E171" s="1635"/>
      <c r="F171" s="1636"/>
      <c r="G171" s="1637"/>
      <c r="H171" s="1627">
        <f>H169+H170</f>
        <v>246053.26240000001</v>
      </c>
      <c r="I171" s="1631"/>
      <c r="J171" s="1631"/>
      <c r="K171" s="1638">
        <f>K169+K170</f>
        <v>246052.92</v>
      </c>
      <c r="L171" s="1638">
        <f>L169+L170</f>
        <v>232101.82</v>
      </c>
      <c r="M171" s="1630">
        <f>L171/H171</f>
        <v>0.94329909604157314</v>
      </c>
      <c r="N171" s="1631"/>
    </row>
    <row r="172" spans="1:14" x14ac:dyDescent="0.2">
      <c r="I172" s="1641"/>
      <c r="K172" s="1642"/>
      <c r="L172" s="1642"/>
      <c r="M172" s="1642"/>
    </row>
    <row r="173" spans="1:14" x14ac:dyDescent="0.2">
      <c r="K173" s="1642"/>
      <c r="L173" s="1642"/>
      <c r="M173" s="1642"/>
      <c r="N173" s="1643"/>
    </row>
    <row r="174" spans="1:14" x14ac:dyDescent="0.2">
      <c r="G174" s="1309" t="s">
        <v>764</v>
      </c>
      <c r="H174" s="1644">
        <v>246053</v>
      </c>
      <c r="I174" s="1116"/>
      <c r="J174" s="1116"/>
      <c r="K174" s="1645"/>
      <c r="L174" s="1646">
        <f>L171</f>
        <v>232101.82</v>
      </c>
      <c r="M174" s="1647">
        <f>L174/H174</f>
        <v>0.94330010201054248</v>
      </c>
      <c r="N174" s="1648"/>
    </row>
    <row r="175" spans="1:14" x14ac:dyDescent="0.2">
      <c r="I175" s="1643"/>
      <c r="J175" s="1649"/>
      <c r="K175" s="1650"/>
      <c r="L175" s="1650"/>
      <c r="M175" s="1650"/>
    </row>
    <row r="176" spans="1:14" x14ac:dyDescent="0.2">
      <c r="I176" s="1643"/>
      <c r="K176" s="1650"/>
      <c r="L176" s="1650"/>
      <c r="M176" s="1650"/>
    </row>
    <row r="177" spans="1:13" x14ac:dyDescent="0.2">
      <c r="A177" s="1324"/>
      <c r="B177" s="1324"/>
      <c r="C177" s="1324"/>
      <c r="D177" s="1324"/>
      <c r="E177" s="1324"/>
      <c r="F177" s="1324"/>
      <c r="G177" s="1324"/>
      <c r="H177" s="1324"/>
      <c r="I177" s="1643"/>
      <c r="K177" s="1650"/>
      <c r="L177" s="1650"/>
      <c r="M177" s="1650"/>
    </row>
    <row r="178" spans="1:13" x14ac:dyDescent="0.2">
      <c r="A178" s="1324"/>
      <c r="B178" s="1324"/>
      <c r="C178" s="1324"/>
      <c r="D178" s="1324"/>
      <c r="E178" s="1324"/>
      <c r="F178" s="1324"/>
      <c r="G178" s="1324"/>
      <c r="H178" s="1324"/>
      <c r="L178" s="1651"/>
      <c r="M178" s="1324"/>
    </row>
    <row r="179" spans="1:13" x14ac:dyDescent="0.2">
      <c r="A179" s="1324"/>
      <c r="B179" s="1324"/>
      <c r="C179" s="1324"/>
      <c r="D179" s="1324"/>
      <c r="E179" s="1324"/>
      <c r="F179" s="1324"/>
      <c r="G179" s="1324"/>
      <c r="H179" s="1324"/>
      <c r="L179" s="1650"/>
      <c r="M179" s="1324"/>
    </row>
    <row r="180" spans="1:13" x14ac:dyDescent="0.2">
      <c r="A180" s="1324"/>
      <c r="B180" s="1324"/>
      <c r="C180" s="1324"/>
      <c r="D180" s="1324"/>
      <c r="E180" s="1324"/>
      <c r="F180" s="1324"/>
      <c r="G180" s="1324"/>
      <c r="H180" s="1324"/>
      <c r="L180" s="1650"/>
      <c r="M180" s="1324"/>
    </row>
    <row r="181" spans="1:13" x14ac:dyDescent="0.2">
      <c r="A181" s="1324"/>
      <c r="B181" s="1324"/>
      <c r="C181" s="1324"/>
      <c r="D181" s="1324"/>
      <c r="E181" s="1324"/>
      <c r="F181" s="1324"/>
      <c r="G181" s="1324"/>
      <c r="H181" s="1324"/>
      <c r="L181" s="1324"/>
      <c r="M181" s="1324"/>
    </row>
    <row r="182" spans="1:13" x14ac:dyDescent="0.2">
      <c r="A182" s="1324"/>
      <c r="B182" s="1324"/>
      <c r="C182" s="1324"/>
      <c r="D182" s="1324"/>
      <c r="E182" s="1324"/>
      <c r="F182" s="1324"/>
      <c r="G182" s="1324"/>
      <c r="H182" s="1324"/>
      <c r="L182" s="1324"/>
      <c r="M182" s="1324"/>
    </row>
    <row r="183" spans="1:13" x14ac:dyDescent="0.2">
      <c r="A183" s="1324"/>
      <c r="B183" s="1324"/>
      <c r="C183" s="1324"/>
      <c r="D183" s="1324"/>
      <c r="E183" s="1324"/>
      <c r="F183" s="1324"/>
      <c r="G183" s="1324"/>
      <c r="H183" s="1324"/>
      <c r="L183" s="1324"/>
      <c r="M183" s="1324"/>
    </row>
    <row r="184" spans="1:13" x14ac:dyDescent="0.2">
      <c r="A184" s="1324"/>
      <c r="B184" s="1324"/>
      <c r="C184" s="1324"/>
      <c r="D184" s="1324"/>
      <c r="E184" s="1324"/>
      <c r="F184" s="1324"/>
      <c r="G184" s="1324"/>
      <c r="H184" s="1324"/>
      <c r="L184" s="1324"/>
      <c r="M184" s="1324"/>
    </row>
    <row r="185" spans="1:13" x14ac:dyDescent="0.2">
      <c r="A185" s="1324"/>
      <c r="B185" s="1324"/>
      <c r="C185" s="1324"/>
      <c r="D185" s="1324"/>
      <c r="E185" s="1324"/>
      <c r="F185" s="1324"/>
      <c r="G185" s="1324"/>
      <c r="H185" s="1324"/>
      <c r="L185" s="1324"/>
      <c r="M185" s="1324"/>
    </row>
    <row r="186" spans="1:13" x14ac:dyDescent="0.2">
      <c r="A186" s="1324"/>
      <c r="B186" s="1324"/>
      <c r="C186" s="1324"/>
      <c r="D186" s="1324"/>
      <c r="E186" s="1324"/>
      <c r="F186" s="1324"/>
      <c r="G186" s="1324"/>
      <c r="H186" s="1324"/>
      <c r="L186" s="1324"/>
      <c r="M186" s="1324"/>
    </row>
    <row r="187" spans="1:13" x14ac:dyDescent="0.2">
      <c r="A187" s="1324"/>
      <c r="B187" s="1324"/>
      <c r="C187" s="1324"/>
      <c r="D187" s="1324"/>
      <c r="E187" s="1324"/>
      <c r="F187" s="1324"/>
      <c r="G187" s="1324"/>
      <c r="H187" s="1324"/>
      <c r="L187" s="1324"/>
      <c r="M187" s="1324"/>
    </row>
    <row r="188" spans="1:13" x14ac:dyDescent="0.2">
      <c r="A188" s="1324"/>
      <c r="B188" s="1324"/>
      <c r="C188" s="1324"/>
      <c r="D188" s="1324"/>
      <c r="E188" s="1324"/>
      <c r="F188" s="1324"/>
      <c r="G188" s="1324"/>
      <c r="H188" s="1324"/>
      <c r="L188" s="1324"/>
      <c r="M188" s="1324"/>
    </row>
    <row r="189" spans="1:13" x14ac:dyDescent="0.2">
      <c r="A189" s="1324"/>
      <c r="B189" s="1324"/>
      <c r="C189" s="1324"/>
      <c r="D189" s="1324"/>
      <c r="E189" s="1324"/>
      <c r="F189" s="1324"/>
      <c r="G189" s="1324"/>
      <c r="H189" s="1324"/>
      <c r="L189" s="1324"/>
      <c r="M189" s="1324"/>
    </row>
    <row r="190" spans="1:13" x14ac:dyDescent="0.2">
      <c r="A190" s="1324"/>
      <c r="B190" s="1324"/>
      <c r="C190" s="1324"/>
      <c r="D190" s="1324"/>
      <c r="E190" s="1324"/>
      <c r="F190" s="1324"/>
      <c r="G190" s="1324"/>
      <c r="H190" s="1324"/>
      <c r="L190" s="1324"/>
      <c r="M190" s="1324"/>
    </row>
    <row r="191" spans="1:13" x14ac:dyDescent="0.2">
      <c r="A191" s="1324"/>
      <c r="B191" s="1324"/>
      <c r="C191" s="1324"/>
      <c r="D191" s="1324"/>
      <c r="E191" s="1324"/>
      <c r="F191" s="1324"/>
      <c r="G191" s="1324"/>
      <c r="H191" s="1324"/>
      <c r="L191" s="1324"/>
      <c r="M191" s="1324"/>
    </row>
    <row r="192" spans="1:13" x14ac:dyDescent="0.2">
      <c r="A192" s="1324"/>
      <c r="B192" s="1324"/>
      <c r="C192" s="1324"/>
      <c r="D192" s="1324"/>
      <c r="E192" s="1324"/>
      <c r="F192" s="1324"/>
      <c r="G192" s="1324"/>
      <c r="H192" s="1324"/>
      <c r="L192" s="1324"/>
      <c r="M192" s="1324"/>
    </row>
    <row r="193" s="1324" customFormat="1" x14ac:dyDescent="0.2"/>
    <row r="194" s="1324" customFormat="1" x14ac:dyDescent="0.2"/>
    <row r="195" s="1324" customFormat="1" x14ac:dyDescent="0.2"/>
    <row r="196" s="1324" customFormat="1" x14ac:dyDescent="0.2"/>
    <row r="197" s="1324" customFormat="1" x14ac:dyDescent="0.2"/>
    <row r="198" s="1324" customFormat="1" x14ac:dyDescent="0.2"/>
    <row r="199" s="1324" customFormat="1" x14ac:dyDescent="0.2"/>
    <row r="200" s="1324" customFormat="1" x14ac:dyDescent="0.2"/>
    <row r="201" s="1324" customFormat="1" x14ac:dyDescent="0.2"/>
    <row r="202" s="1324" customFormat="1" x14ac:dyDescent="0.2"/>
    <row r="203" s="1324" customFormat="1" x14ac:dyDescent="0.2"/>
    <row r="204" s="1324" customFormat="1" x14ac:dyDescent="0.2"/>
    <row r="205" s="1324" customFormat="1" x14ac:dyDescent="0.2"/>
    <row r="206" s="1324" customFormat="1" x14ac:dyDescent="0.2"/>
    <row r="207" s="1324" customFormat="1" x14ac:dyDescent="0.2"/>
    <row r="208" s="1324" customFormat="1" x14ac:dyDescent="0.2"/>
    <row r="209" s="1324" customFormat="1" x14ac:dyDescent="0.2"/>
    <row r="210" s="1324" customFormat="1" x14ac:dyDescent="0.2"/>
    <row r="211" s="1324" customFormat="1" x14ac:dyDescent="0.2"/>
    <row r="212" s="1324" customFormat="1" x14ac:dyDescent="0.2"/>
    <row r="213" s="1324" customFormat="1" x14ac:dyDescent="0.2"/>
    <row r="214" s="1324" customFormat="1" x14ac:dyDescent="0.2"/>
    <row r="215" s="1324" customFormat="1" x14ac:dyDescent="0.2"/>
    <row r="216" s="1324" customFormat="1" x14ac:dyDescent="0.2"/>
    <row r="217" s="1324" customFormat="1" x14ac:dyDescent="0.2"/>
    <row r="218" s="1324" customFormat="1" x14ac:dyDescent="0.2"/>
    <row r="219" s="1324" customFormat="1" x14ac:dyDescent="0.2"/>
    <row r="220" s="1324" customFormat="1" x14ac:dyDescent="0.2"/>
    <row r="221" s="1324" customFormat="1" x14ac:dyDescent="0.2"/>
    <row r="222" s="1324" customFormat="1" x14ac:dyDescent="0.2"/>
    <row r="223" s="1324" customFormat="1" x14ac:dyDescent="0.2"/>
    <row r="224" s="1324" customFormat="1" x14ac:dyDescent="0.2"/>
    <row r="225" s="1324" customFormat="1" x14ac:dyDescent="0.2"/>
    <row r="226" s="1324" customFormat="1" x14ac:dyDescent="0.2"/>
    <row r="227" s="1324" customFormat="1" x14ac:dyDescent="0.2"/>
    <row r="228" s="1324" customFormat="1" x14ac:dyDescent="0.2"/>
    <row r="229" s="1324" customFormat="1" x14ac:dyDescent="0.2"/>
    <row r="230" s="1324" customFormat="1" x14ac:dyDescent="0.2"/>
    <row r="231" s="1324" customFormat="1" x14ac:dyDescent="0.2"/>
    <row r="232" s="1324" customFormat="1" x14ac:dyDescent="0.2"/>
    <row r="233" s="1324" customFormat="1" x14ac:dyDescent="0.2"/>
    <row r="234" s="1324" customFormat="1" x14ac:dyDescent="0.2"/>
    <row r="235" s="1324" customFormat="1" x14ac:dyDescent="0.2"/>
    <row r="236" s="1324" customFormat="1" x14ac:dyDescent="0.2"/>
    <row r="237" s="1324" customFormat="1" x14ac:dyDescent="0.2"/>
    <row r="238" s="1324" customFormat="1" x14ac:dyDescent="0.2"/>
    <row r="239" s="1324" customFormat="1" x14ac:dyDescent="0.2"/>
    <row r="240" s="1324" customFormat="1" x14ac:dyDescent="0.2"/>
    <row r="241" s="1324" customFormat="1" x14ac:dyDescent="0.2"/>
    <row r="242" s="1324" customFormat="1" x14ac:dyDescent="0.2"/>
    <row r="243" s="1324" customFormat="1" x14ac:dyDescent="0.2"/>
    <row r="244" s="1324" customFormat="1" x14ac:dyDescent="0.2"/>
    <row r="245" s="1324" customFormat="1" x14ac:dyDescent="0.2"/>
    <row r="246" s="1324" customFormat="1" x14ac:dyDescent="0.2"/>
    <row r="247" s="1324" customFormat="1" x14ac:dyDescent="0.2"/>
    <row r="248" s="1324" customFormat="1" x14ac:dyDescent="0.2"/>
    <row r="249" s="1324" customFormat="1" x14ac:dyDescent="0.2"/>
    <row r="250" s="1324" customFormat="1" x14ac:dyDescent="0.2"/>
    <row r="251" s="1324" customFormat="1" x14ac:dyDescent="0.2"/>
    <row r="252" s="1324" customFormat="1" x14ac:dyDescent="0.2"/>
    <row r="253" s="1324" customFormat="1" x14ac:dyDescent="0.2"/>
    <row r="254" s="1324" customFormat="1" x14ac:dyDescent="0.2"/>
    <row r="255" s="1324" customFormat="1" x14ac:dyDescent="0.2"/>
    <row r="256" s="1324" customFormat="1" x14ac:dyDescent="0.2"/>
    <row r="257" s="1324" customFormat="1" x14ac:dyDescent="0.2"/>
    <row r="258" s="1324" customFormat="1" x14ac:dyDescent="0.2"/>
    <row r="259" s="1324" customFormat="1" x14ac:dyDescent="0.2"/>
    <row r="260" s="1324" customFormat="1" x14ac:dyDescent="0.2"/>
    <row r="261" s="1324" customFormat="1" x14ac:dyDescent="0.2"/>
    <row r="262" s="1324" customFormat="1" x14ac:dyDescent="0.2"/>
    <row r="263" s="1324" customFormat="1" x14ac:dyDescent="0.2"/>
    <row r="264" s="1324" customFormat="1" x14ac:dyDescent="0.2"/>
    <row r="265" s="1324" customFormat="1" x14ac:dyDescent="0.2"/>
    <row r="266" s="1324" customFormat="1" x14ac:dyDescent="0.2"/>
    <row r="267" s="1324" customFormat="1" x14ac:dyDescent="0.2"/>
    <row r="268" s="1324" customFormat="1" x14ac:dyDescent="0.2"/>
    <row r="269" s="1324" customFormat="1" x14ac:dyDescent="0.2"/>
    <row r="270" s="1324" customFormat="1" x14ac:dyDescent="0.2"/>
    <row r="271" s="1324" customFormat="1" x14ac:dyDescent="0.2"/>
    <row r="272" s="1324" customFormat="1" x14ac:dyDescent="0.2"/>
    <row r="273" s="1324" customFormat="1" x14ac:dyDescent="0.2"/>
    <row r="274" s="1324" customFormat="1" x14ac:dyDescent="0.2"/>
    <row r="275" s="1324" customFormat="1" x14ac:dyDescent="0.2"/>
    <row r="276" s="1324" customFormat="1" x14ac:dyDescent="0.2"/>
    <row r="277" s="1324" customFormat="1" x14ac:dyDescent="0.2"/>
    <row r="278" s="1324" customFormat="1" x14ac:dyDescent="0.2"/>
    <row r="279" s="1324" customFormat="1" x14ac:dyDescent="0.2"/>
    <row r="280" s="1324" customFormat="1" x14ac:dyDescent="0.2"/>
    <row r="281" s="1324" customFormat="1" x14ac:dyDescent="0.2"/>
    <row r="282" s="1324" customFormat="1" x14ac:dyDescent="0.2"/>
    <row r="283" s="1324" customFormat="1" x14ac:dyDescent="0.2"/>
    <row r="284" s="1324" customFormat="1" x14ac:dyDescent="0.2"/>
    <row r="285" s="1324" customFormat="1" x14ac:dyDescent="0.2"/>
    <row r="286" s="1324" customFormat="1" x14ac:dyDescent="0.2"/>
    <row r="287" s="1324" customFormat="1" x14ac:dyDescent="0.2"/>
    <row r="288" s="1324" customFormat="1" x14ac:dyDescent="0.2"/>
    <row r="289" s="1324" customFormat="1" x14ac:dyDescent="0.2"/>
    <row r="290" s="1324" customFormat="1" x14ac:dyDescent="0.2"/>
    <row r="291" s="1324" customFormat="1" x14ac:dyDescent="0.2"/>
    <row r="292" s="1324" customFormat="1" x14ac:dyDescent="0.2"/>
    <row r="293" s="1324" customFormat="1" x14ac:dyDescent="0.2"/>
    <row r="294" s="1324" customFormat="1" x14ac:dyDescent="0.2"/>
    <row r="295" s="1324" customFormat="1" x14ac:dyDescent="0.2"/>
    <row r="296" s="1324" customFormat="1" x14ac:dyDescent="0.2"/>
    <row r="297" s="1324" customFormat="1" x14ac:dyDescent="0.2"/>
    <row r="298" s="1324" customFormat="1" x14ac:dyDescent="0.2"/>
    <row r="299" s="1324" customFormat="1" x14ac:dyDescent="0.2"/>
    <row r="300" s="1324" customFormat="1" x14ac:dyDescent="0.2"/>
    <row r="301" s="1324" customFormat="1" x14ac:dyDescent="0.2"/>
    <row r="302" s="1324" customFormat="1" x14ac:dyDescent="0.2"/>
    <row r="303" s="1324" customFormat="1" x14ac:dyDescent="0.2"/>
    <row r="304" s="1324" customFormat="1" x14ac:dyDescent="0.2"/>
    <row r="305" s="1324" customFormat="1" x14ac:dyDescent="0.2"/>
    <row r="306" s="1324" customFormat="1" x14ac:dyDescent="0.2"/>
    <row r="307" s="1324" customFormat="1" x14ac:dyDescent="0.2"/>
    <row r="308" s="1324" customFormat="1" x14ac:dyDescent="0.2"/>
    <row r="309" s="1324" customFormat="1" x14ac:dyDescent="0.2"/>
    <row r="310" s="1324" customFormat="1" x14ac:dyDescent="0.2"/>
    <row r="311" s="1324" customFormat="1" x14ac:dyDescent="0.2"/>
    <row r="312" s="1324" customFormat="1" x14ac:dyDescent="0.2"/>
    <row r="313" s="1324" customFormat="1" x14ac:dyDescent="0.2"/>
    <row r="314" s="1324" customFormat="1" x14ac:dyDescent="0.2"/>
    <row r="315" s="1324" customFormat="1" x14ac:dyDescent="0.2"/>
    <row r="316" s="1324" customFormat="1" x14ac:dyDescent="0.2"/>
    <row r="317" s="1324" customFormat="1" x14ac:dyDescent="0.2"/>
    <row r="318" s="1324" customFormat="1" x14ac:dyDescent="0.2"/>
    <row r="319" s="1324" customFormat="1" x14ac:dyDescent="0.2"/>
    <row r="320" s="1324" customFormat="1" x14ac:dyDescent="0.2"/>
    <row r="321" s="1324" customFormat="1" x14ac:dyDescent="0.2"/>
    <row r="322" s="1324" customFormat="1" x14ac:dyDescent="0.2"/>
    <row r="323" s="1324" customFormat="1" x14ac:dyDescent="0.2"/>
    <row r="324" s="1324" customFormat="1" x14ac:dyDescent="0.2"/>
    <row r="325" s="1324" customFormat="1" x14ac:dyDescent="0.2"/>
    <row r="326" s="1324" customFormat="1" x14ac:dyDescent="0.2"/>
    <row r="327" s="1324" customFormat="1" x14ac:dyDescent="0.2"/>
    <row r="328" s="1324" customFormat="1" x14ac:dyDescent="0.2"/>
    <row r="329" s="1324" customFormat="1" x14ac:dyDescent="0.2"/>
    <row r="330" s="1324" customFormat="1" x14ac:dyDescent="0.2"/>
    <row r="331" s="1324" customFormat="1" x14ac:dyDescent="0.2"/>
    <row r="332" s="1324" customFormat="1" x14ac:dyDescent="0.2"/>
    <row r="333" s="1324" customFormat="1" x14ac:dyDescent="0.2"/>
    <row r="334" s="1324" customFormat="1" x14ac:dyDescent="0.2"/>
    <row r="335" s="1324" customFormat="1" x14ac:dyDescent="0.2"/>
    <row r="336" s="1324" customFormat="1" x14ac:dyDescent="0.2"/>
    <row r="337" s="1324" customFormat="1" x14ac:dyDescent="0.2"/>
    <row r="338" s="1324" customFormat="1" x14ac:dyDescent="0.2"/>
    <row r="339" s="1324" customFormat="1" x14ac:dyDescent="0.2"/>
    <row r="340" s="1324" customFormat="1" x14ac:dyDescent="0.2"/>
    <row r="341" s="1324" customFormat="1" x14ac:dyDescent="0.2"/>
    <row r="342" s="1324" customFormat="1" x14ac:dyDescent="0.2"/>
    <row r="343" s="1324" customFormat="1" x14ac:dyDescent="0.2"/>
    <row r="344" s="1324" customFormat="1" x14ac:dyDescent="0.2"/>
    <row r="345" s="1324" customFormat="1" x14ac:dyDescent="0.2"/>
    <row r="346" s="1324" customFormat="1" x14ac:dyDescent="0.2"/>
    <row r="347" s="1324" customFormat="1" x14ac:dyDescent="0.2"/>
    <row r="348" s="1324" customFormat="1" x14ac:dyDescent="0.2"/>
    <row r="349" s="1324" customFormat="1" x14ac:dyDescent="0.2"/>
    <row r="350" s="1324" customFormat="1" x14ac:dyDescent="0.2"/>
    <row r="351" s="1324" customFormat="1" x14ac:dyDescent="0.2"/>
    <row r="352" s="1324" customFormat="1" x14ac:dyDescent="0.2"/>
    <row r="353" s="1324" customFormat="1" x14ac:dyDescent="0.2"/>
    <row r="354" s="1324" customFormat="1" x14ac:dyDescent="0.2"/>
    <row r="355" s="1324" customFormat="1" x14ac:dyDescent="0.2"/>
    <row r="356" s="1324" customFormat="1" x14ac:dyDescent="0.2"/>
    <row r="357" s="1324" customFormat="1" x14ac:dyDescent="0.2"/>
    <row r="358" s="1324" customFormat="1" x14ac:dyDescent="0.2"/>
    <row r="359" s="1324" customFormat="1" x14ac:dyDescent="0.2"/>
    <row r="360" s="1324" customFormat="1" x14ac:dyDescent="0.2"/>
    <row r="361" s="1324" customFormat="1" x14ac:dyDescent="0.2"/>
    <row r="362" s="1324" customFormat="1" x14ac:dyDescent="0.2"/>
    <row r="363" s="1324" customFormat="1" x14ac:dyDescent="0.2"/>
    <row r="364" s="1324" customFormat="1" x14ac:dyDescent="0.2"/>
    <row r="365" s="1324" customFormat="1" x14ac:dyDescent="0.2"/>
    <row r="366" s="1324" customFormat="1" x14ac:dyDescent="0.2"/>
    <row r="367" s="1324" customFormat="1" x14ac:dyDescent="0.2"/>
    <row r="368" s="1324" customFormat="1" x14ac:dyDescent="0.2"/>
    <row r="369" s="1324" customFormat="1" x14ac:dyDescent="0.2"/>
    <row r="370" s="1324" customFormat="1" x14ac:dyDescent="0.2"/>
    <row r="371" s="1324" customFormat="1" x14ac:dyDescent="0.2"/>
    <row r="372" s="1324" customFormat="1" x14ac:dyDescent="0.2"/>
    <row r="373" s="1324" customFormat="1" x14ac:dyDescent="0.2"/>
    <row r="374" s="1324" customFormat="1" x14ac:dyDescent="0.2"/>
    <row r="375" s="1324" customFormat="1" x14ac:dyDescent="0.2"/>
    <row r="376" s="1324" customFormat="1" x14ac:dyDescent="0.2"/>
    <row r="377" s="1324" customFormat="1" x14ac:dyDescent="0.2"/>
    <row r="378" s="1324" customFormat="1" x14ac:dyDescent="0.2"/>
    <row r="379" s="1324" customFormat="1" x14ac:dyDescent="0.2"/>
    <row r="380" s="1324" customFormat="1" x14ac:dyDescent="0.2"/>
    <row r="381" s="1324" customFormat="1" x14ac:dyDescent="0.2"/>
    <row r="382" s="1324" customFormat="1" x14ac:dyDescent="0.2"/>
    <row r="383" s="1324" customFormat="1" x14ac:dyDescent="0.2"/>
    <row r="384" s="1324" customFormat="1" x14ac:dyDescent="0.2"/>
    <row r="385" s="1324" customFormat="1" x14ac:dyDescent="0.2"/>
    <row r="386" s="1324" customFormat="1" x14ac:dyDescent="0.2"/>
    <row r="387" s="1324" customFormat="1" x14ac:dyDescent="0.2"/>
    <row r="388" s="1324" customFormat="1" x14ac:dyDescent="0.2"/>
    <row r="389" s="1324" customFormat="1" x14ac:dyDescent="0.2"/>
    <row r="390" s="1324" customFormat="1" x14ac:dyDescent="0.2"/>
    <row r="391" s="1324" customFormat="1" x14ac:dyDescent="0.2"/>
    <row r="392" s="1324" customFormat="1" x14ac:dyDescent="0.2"/>
    <row r="393" s="1324" customFormat="1" x14ac:dyDescent="0.2"/>
    <row r="394" s="1324" customFormat="1" x14ac:dyDescent="0.2"/>
    <row r="395" s="1324" customFormat="1" x14ac:dyDescent="0.2"/>
    <row r="396" s="1324" customFormat="1" x14ac:dyDescent="0.2"/>
    <row r="397" s="1324" customFormat="1" x14ac:dyDescent="0.2"/>
    <row r="398" s="1324" customFormat="1" x14ac:dyDescent="0.2"/>
    <row r="399" s="1324" customFormat="1" x14ac:dyDescent="0.2"/>
    <row r="400" s="1324" customFormat="1" x14ac:dyDescent="0.2"/>
    <row r="401" s="1324" customFormat="1" x14ac:dyDescent="0.2"/>
    <row r="402" s="1324" customFormat="1" x14ac:dyDescent="0.2"/>
    <row r="403" s="1324" customFormat="1" x14ac:dyDescent="0.2"/>
    <row r="404" s="1324" customFormat="1" x14ac:dyDescent="0.2"/>
    <row r="405" s="1324" customFormat="1" x14ac:dyDescent="0.2"/>
    <row r="406" s="1324" customFormat="1" x14ac:dyDescent="0.2"/>
    <row r="407" s="1324" customFormat="1" x14ac:dyDescent="0.2"/>
    <row r="408" s="1324" customFormat="1" x14ac:dyDescent="0.2"/>
    <row r="409" s="1324" customFormat="1" x14ac:dyDescent="0.2"/>
    <row r="410" s="1324" customFormat="1" x14ac:dyDescent="0.2"/>
    <row r="411" s="1324" customFormat="1" x14ac:dyDescent="0.2"/>
    <row r="412" s="1324" customFormat="1" x14ac:dyDescent="0.2"/>
    <row r="413" s="1324" customFormat="1" x14ac:dyDescent="0.2"/>
    <row r="414" s="1324" customFormat="1" x14ac:dyDescent="0.2"/>
    <row r="415" s="1324" customFormat="1" x14ac:dyDescent="0.2"/>
    <row r="416" s="1324" customFormat="1" x14ac:dyDescent="0.2"/>
    <row r="417" s="1324" customFormat="1" x14ac:dyDescent="0.2"/>
    <row r="418" s="1324" customFormat="1" x14ac:dyDescent="0.2"/>
    <row r="419" s="1324" customFormat="1" x14ac:dyDescent="0.2"/>
    <row r="420" s="1324" customFormat="1" x14ac:dyDescent="0.2"/>
    <row r="421" s="1324" customFormat="1" x14ac:dyDescent="0.2"/>
    <row r="422" s="1324" customFormat="1" x14ac:dyDescent="0.2"/>
    <row r="423" s="1324" customFormat="1" x14ac:dyDescent="0.2"/>
    <row r="424" s="1324" customFormat="1" x14ac:dyDescent="0.2"/>
    <row r="425" s="1324" customFormat="1" x14ac:dyDescent="0.2"/>
    <row r="426" s="1324" customFormat="1" x14ac:dyDescent="0.2"/>
    <row r="427" s="1324" customFormat="1" x14ac:dyDescent="0.2"/>
    <row r="428" s="1324" customFormat="1" x14ac:dyDescent="0.2"/>
    <row r="429" s="1324" customFormat="1" x14ac:dyDescent="0.2"/>
    <row r="430" s="1324" customFormat="1" x14ac:dyDescent="0.2"/>
    <row r="431" s="1324" customFormat="1" x14ac:dyDescent="0.2"/>
    <row r="432" s="1324" customFormat="1" x14ac:dyDescent="0.2"/>
    <row r="433" s="1324" customFormat="1" x14ac:dyDescent="0.2"/>
    <row r="434" s="1324" customFormat="1" x14ac:dyDescent="0.2"/>
    <row r="435" s="1324" customFormat="1" x14ac:dyDescent="0.2"/>
    <row r="436" s="1324" customFormat="1" x14ac:dyDescent="0.2"/>
    <row r="437" s="1324" customFormat="1" x14ac:dyDescent="0.2"/>
    <row r="438" s="1324" customFormat="1" x14ac:dyDescent="0.2"/>
    <row r="439" s="1324" customFormat="1" x14ac:dyDescent="0.2"/>
    <row r="440" s="1324" customFormat="1" x14ac:dyDescent="0.2"/>
    <row r="441" s="1324" customFormat="1" x14ac:dyDescent="0.2"/>
    <row r="442" s="1324" customFormat="1" x14ac:dyDescent="0.2"/>
    <row r="443" s="1324" customFormat="1" x14ac:dyDescent="0.2"/>
    <row r="444" s="1324" customFormat="1" x14ac:dyDescent="0.2"/>
    <row r="445" s="1324" customFormat="1" x14ac:dyDescent="0.2"/>
    <row r="446" s="1324" customFormat="1" x14ac:dyDescent="0.2"/>
    <row r="447" s="1324" customFormat="1" x14ac:dyDescent="0.2"/>
    <row r="448" s="1324" customFormat="1" x14ac:dyDescent="0.2"/>
    <row r="449" s="1324" customFormat="1" x14ac:dyDescent="0.2"/>
    <row r="450" s="1324" customFormat="1" x14ac:dyDescent="0.2"/>
    <row r="451" s="1324" customFormat="1" x14ac:dyDescent="0.2"/>
    <row r="452" s="1324" customFormat="1" x14ac:dyDescent="0.2"/>
    <row r="453" s="1324" customFormat="1" x14ac:dyDescent="0.2"/>
    <row r="454" s="1324" customFormat="1" x14ac:dyDescent="0.2"/>
    <row r="455" s="1324" customFormat="1" x14ac:dyDescent="0.2"/>
    <row r="456" s="1324" customFormat="1" x14ac:dyDescent="0.2"/>
    <row r="457" s="1324" customFormat="1" x14ac:dyDescent="0.2"/>
    <row r="458" s="1324" customFormat="1" x14ac:dyDescent="0.2"/>
    <row r="459" s="1324" customFormat="1" x14ac:dyDescent="0.2"/>
    <row r="460" s="1324" customFormat="1" x14ac:dyDescent="0.2"/>
    <row r="461" s="1324" customFormat="1" x14ac:dyDescent="0.2"/>
    <row r="462" s="1324" customFormat="1" x14ac:dyDescent="0.2"/>
    <row r="463" s="1324" customFormat="1" x14ac:dyDescent="0.2"/>
    <row r="464" s="1324" customFormat="1" x14ac:dyDescent="0.2"/>
    <row r="465" s="1324" customFormat="1" x14ac:dyDescent="0.2"/>
    <row r="466" s="1324" customFormat="1" x14ac:dyDescent="0.2"/>
    <row r="467" s="1324" customFormat="1" x14ac:dyDescent="0.2"/>
    <row r="468" s="1324" customFormat="1" x14ac:dyDescent="0.2"/>
    <row r="469" s="1324" customFormat="1" x14ac:dyDescent="0.2"/>
    <row r="470" s="1324" customFormat="1" x14ac:dyDescent="0.2"/>
    <row r="471" s="1324" customFormat="1" x14ac:dyDescent="0.2"/>
    <row r="472" s="1324" customFormat="1" x14ac:dyDescent="0.2"/>
    <row r="473" s="1324" customFormat="1" x14ac:dyDescent="0.2"/>
    <row r="474" s="1324" customFormat="1" x14ac:dyDescent="0.2"/>
    <row r="475" s="1324" customFormat="1" x14ac:dyDescent="0.2"/>
    <row r="476" s="1324" customFormat="1" x14ac:dyDescent="0.2"/>
    <row r="477" s="1324" customFormat="1" x14ac:dyDescent="0.2"/>
    <row r="478" s="1324" customFormat="1" x14ac:dyDescent="0.2"/>
    <row r="479" s="1324" customFormat="1" x14ac:dyDescent="0.2"/>
    <row r="480" s="1324" customFormat="1" x14ac:dyDescent="0.2"/>
    <row r="481" s="1324" customFormat="1" x14ac:dyDescent="0.2"/>
    <row r="482" s="1324" customFormat="1" x14ac:dyDescent="0.2"/>
    <row r="483" s="1324" customFormat="1" x14ac:dyDescent="0.2"/>
    <row r="484" s="1324" customFormat="1" x14ac:dyDescent="0.2"/>
    <row r="485" s="1324" customFormat="1" x14ac:dyDescent="0.2"/>
    <row r="486" s="1324" customFormat="1" x14ac:dyDescent="0.2"/>
    <row r="487" s="1324" customFormat="1" x14ac:dyDescent="0.2"/>
    <row r="488" s="1324" customFormat="1" x14ac:dyDescent="0.2"/>
    <row r="489" s="1324" customFormat="1" x14ac:dyDescent="0.2"/>
    <row r="490" s="1324" customFormat="1" x14ac:dyDescent="0.2"/>
    <row r="491" s="1324" customFormat="1" x14ac:dyDescent="0.2"/>
    <row r="492" s="1324" customFormat="1" x14ac:dyDescent="0.2"/>
    <row r="493" s="1324" customFormat="1" x14ac:dyDescent="0.2"/>
    <row r="494" s="1324" customFormat="1" x14ac:dyDescent="0.2"/>
    <row r="495" s="1324" customFormat="1" x14ac:dyDescent="0.2"/>
    <row r="496" s="1324" customFormat="1" x14ac:dyDescent="0.2"/>
    <row r="497" s="1324" customFormat="1" x14ac:dyDescent="0.2"/>
    <row r="498" s="1324" customFormat="1" x14ac:dyDescent="0.2"/>
    <row r="499" s="1324" customFormat="1" x14ac:dyDescent="0.2"/>
    <row r="500" s="1324" customFormat="1" x14ac:dyDescent="0.2"/>
    <row r="501" s="1324" customFormat="1" x14ac:dyDescent="0.2"/>
    <row r="502" s="1324" customFormat="1" x14ac:dyDescent="0.2"/>
    <row r="503" s="1324" customFormat="1" x14ac:dyDescent="0.2"/>
    <row r="504" s="1324" customFormat="1" x14ac:dyDescent="0.2"/>
    <row r="505" s="1324" customFormat="1" x14ac:dyDescent="0.2"/>
    <row r="506" s="1324" customFormat="1" x14ac:dyDescent="0.2"/>
    <row r="507" s="1324" customFormat="1" x14ac:dyDescent="0.2"/>
    <row r="508" s="1324" customFormat="1" x14ac:dyDescent="0.2"/>
    <row r="509" s="1324" customFormat="1" x14ac:dyDescent="0.2"/>
    <row r="510" s="1324" customFormat="1" x14ac:dyDescent="0.2"/>
    <row r="511" s="1324" customFormat="1" x14ac:dyDescent="0.2"/>
    <row r="512" s="1324" customFormat="1" x14ac:dyDescent="0.2"/>
    <row r="513" s="1324" customFormat="1" x14ac:dyDescent="0.2"/>
    <row r="514" s="1324" customFormat="1" x14ac:dyDescent="0.2"/>
    <row r="515" s="1324" customFormat="1" x14ac:dyDescent="0.2"/>
    <row r="516" s="1324" customFormat="1" x14ac:dyDescent="0.2"/>
    <row r="517" s="1324" customFormat="1" x14ac:dyDescent="0.2"/>
    <row r="518" s="1324" customFormat="1" x14ac:dyDescent="0.2"/>
    <row r="519" s="1324" customFormat="1" x14ac:dyDescent="0.2"/>
    <row r="520" s="1324" customFormat="1" x14ac:dyDescent="0.2"/>
    <row r="521" s="1324" customFormat="1" x14ac:dyDescent="0.2"/>
    <row r="522" s="1324" customFormat="1" x14ac:dyDescent="0.2"/>
    <row r="523" s="1324" customFormat="1" x14ac:dyDescent="0.2"/>
    <row r="524" s="1324" customFormat="1" x14ac:dyDescent="0.2"/>
    <row r="525" s="1324" customFormat="1" x14ac:dyDescent="0.2"/>
    <row r="526" s="1324" customFormat="1" x14ac:dyDescent="0.2"/>
    <row r="527" s="1324" customFormat="1" x14ac:dyDescent="0.2"/>
    <row r="528" s="1324" customFormat="1" x14ac:dyDescent="0.2"/>
    <row r="529" s="1324" customFormat="1" x14ac:dyDescent="0.2"/>
    <row r="530" s="1324" customFormat="1" x14ac:dyDescent="0.2"/>
    <row r="531" s="1324" customFormat="1" x14ac:dyDescent="0.2"/>
    <row r="532" s="1324" customFormat="1" x14ac:dyDescent="0.2"/>
    <row r="533" s="1324" customFormat="1" x14ac:dyDescent="0.2"/>
    <row r="534" s="1324" customFormat="1" x14ac:dyDescent="0.2"/>
    <row r="535" s="1324" customFormat="1" x14ac:dyDescent="0.2"/>
    <row r="536" s="1324" customFormat="1" x14ac:dyDescent="0.2"/>
    <row r="537" s="1324" customFormat="1" x14ac:dyDescent="0.2"/>
    <row r="538" s="1324" customFormat="1" x14ac:dyDescent="0.2"/>
    <row r="539" s="1324" customFormat="1" x14ac:dyDescent="0.2"/>
    <row r="540" s="1324" customFormat="1" x14ac:dyDescent="0.2"/>
    <row r="541" s="1324" customFormat="1" x14ac:dyDescent="0.2"/>
    <row r="542" s="1324" customFormat="1" x14ac:dyDescent="0.2"/>
    <row r="543" s="1324" customFormat="1" x14ac:dyDescent="0.2"/>
    <row r="544" s="1324" customFormat="1" x14ac:dyDescent="0.2"/>
    <row r="545" s="1324" customFormat="1" x14ac:dyDescent="0.2"/>
    <row r="546" s="1324" customFormat="1" x14ac:dyDescent="0.2"/>
    <row r="547" s="1324" customFormat="1" x14ac:dyDescent="0.2"/>
    <row r="548" s="1324" customFormat="1" x14ac:dyDescent="0.2"/>
    <row r="549" s="1324" customFormat="1" x14ac:dyDescent="0.2"/>
    <row r="550" s="1324" customFormat="1" x14ac:dyDescent="0.2"/>
    <row r="551" s="1324" customFormat="1" x14ac:dyDescent="0.2"/>
    <row r="552" s="1324" customFormat="1" x14ac:dyDescent="0.2"/>
    <row r="553" s="1324" customFormat="1" x14ac:dyDescent="0.2"/>
    <row r="554" s="1324" customFormat="1" x14ac:dyDescent="0.2"/>
    <row r="555" s="1324" customFormat="1" x14ac:dyDescent="0.2"/>
    <row r="556" s="1324" customFormat="1" x14ac:dyDescent="0.2"/>
    <row r="557" s="1324" customFormat="1" x14ac:dyDescent="0.2"/>
    <row r="558" s="1324" customFormat="1" x14ac:dyDescent="0.2"/>
    <row r="559" s="1324" customFormat="1" x14ac:dyDescent="0.2"/>
    <row r="560" s="1324" customFormat="1" x14ac:dyDescent="0.2"/>
    <row r="561" s="1324" customFormat="1" x14ac:dyDescent="0.2"/>
    <row r="562" s="1324" customFormat="1" x14ac:dyDescent="0.2"/>
    <row r="563" s="1324" customFormat="1" x14ac:dyDescent="0.2"/>
    <row r="564" s="1324" customFormat="1" x14ac:dyDescent="0.2"/>
    <row r="565" s="1324" customFormat="1" x14ac:dyDescent="0.2"/>
    <row r="566" s="1324" customFormat="1" x14ac:dyDescent="0.2"/>
    <row r="567" s="1324" customFormat="1" x14ac:dyDescent="0.2"/>
    <row r="568" s="1324" customFormat="1" x14ac:dyDescent="0.2"/>
    <row r="569" s="1324" customFormat="1" x14ac:dyDescent="0.2"/>
    <row r="570" s="1324" customFormat="1" x14ac:dyDescent="0.2"/>
    <row r="571" s="1324" customFormat="1" x14ac:dyDescent="0.2"/>
    <row r="572" s="1324" customFormat="1" x14ac:dyDescent="0.2"/>
    <row r="573" s="1324" customFormat="1" x14ac:dyDescent="0.2"/>
    <row r="574" s="1324" customFormat="1" x14ac:dyDescent="0.2"/>
    <row r="575" s="1324" customFormat="1" x14ac:dyDescent="0.2"/>
    <row r="576" s="1324" customFormat="1" x14ac:dyDescent="0.2"/>
    <row r="577" s="1324" customFormat="1" x14ac:dyDescent="0.2"/>
    <row r="578" s="1324" customFormat="1" x14ac:dyDescent="0.2"/>
    <row r="579" s="1324" customFormat="1" x14ac:dyDescent="0.2"/>
    <row r="580" s="1324" customFormat="1" x14ac:dyDescent="0.2"/>
    <row r="581" s="1324" customFormat="1" x14ac:dyDescent="0.2"/>
    <row r="582" s="1324" customFormat="1" x14ac:dyDescent="0.2"/>
    <row r="583" s="1324" customFormat="1" x14ac:dyDescent="0.2"/>
    <row r="584" s="1324" customFormat="1" x14ac:dyDescent="0.2"/>
    <row r="585" s="1324" customFormat="1" x14ac:dyDescent="0.2"/>
    <row r="586" s="1324" customFormat="1" x14ac:dyDescent="0.2"/>
    <row r="587" s="1324" customFormat="1" x14ac:dyDescent="0.2"/>
    <row r="588" s="1324" customFormat="1" x14ac:dyDescent="0.2"/>
    <row r="589" s="1324" customFormat="1" x14ac:dyDescent="0.2"/>
    <row r="590" s="1324" customFormat="1" x14ac:dyDescent="0.2"/>
    <row r="591" s="1324" customFormat="1" x14ac:dyDescent="0.2"/>
    <row r="592" s="1324" customFormat="1" x14ac:dyDescent="0.2"/>
    <row r="593" s="1324" customFormat="1" x14ac:dyDescent="0.2"/>
    <row r="594" s="1324" customFormat="1" x14ac:dyDescent="0.2"/>
    <row r="595" s="1324" customFormat="1" x14ac:dyDescent="0.2"/>
    <row r="596" s="1324" customFormat="1" x14ac:dyDescent="0.2"/>
    <row r="597" s="1324" customFormat="1" x14ac:dyDescent="0.2"/>
    <row r="598" s="1324" customFormat="1" x14ac:dyDescent="0.2"/>
    <row r="599" s="1324" customFormat="1" x14ac:dyDescent="0.2"/>
    <row r="600" s="1324" customFormat="1" x14ac:dyDescent="0.2"/>
    <row r="601" s="1324" customFormat="1" x14ac:dyDescent="0.2"/>
    <row r="602" s="1324" customFormat="1" x14ac:dyDescent="0.2"/>
    <row r="603" s="1324" customFormat="1" x14ac:dyDescent="0.2"/>
    <row r="604" s="1324" customFormat="1" x14ac:dyDescent="0.2"/>
    <row r="605" s="1324" customFormat="1" x14ac:dyDescent="0.2"/>
    <row r="606" s="1324" customFormat="1" x14ac:dyDescent="0.2"/>
    <row r="607" s="1324" customFormat="1" x14ac:dyDescent="0.2"/>
    <row r="608" s="1324" customFormat="1" x14ac:dyDescent="0.2"/>
    <row r="609" s="1324" customFormat="1" x14ac:dyDescent="0.2"/>
    <row r="610" s="1324" customFormat="1" x14ac:dyDescent="0.2"/>
    <row r="611" s="1324" customFormat="1" x14ac:dyDescent="0.2"/>
    <row r="612" s="1324" customFormat="1" x14ac:dyDescent="0.2"/>
    <row r="613" s="1324" customFormat="1" x14ac:dyDescent="0.2"/>
    <row r="614" s="1324" customFormat="1" x14ac:dyDescent="0.2"/>
    <row r="615" s="1324" customFormat="1" x14ac:dyDescent="0.2"/>
    <row r="616" s="1324" customFormat="1" x14ac:dyDescent="0.2"/>
    <row r="617" s="1324" customFormat="1" x14ac:dyDescent="0.2"/>
    <row r="618" s="1324" customFormat="1" x14ac:dyDescent="0.2"/>
    <row r="619" s="1324" customFormat="1" x14ac:dyDescent="0.2"/>
    <row r="620" s="1324" customFormat="1" x14ac:dyDescent="0.2"/>
    <row r="621" s="1324" customFormat="1" x14ac:dyDescent="0.2"/>
    <row r="622" s="1324" customFormat="1" x14ac:dyDescent="0.2"/>
    <row r="623" s="1324" customFormat="1" x14ac:dyDescent="0.2"/>
    <row r="624" s="1324" customFormat="1" x14ac:dyDescent="0.2"/>
    <row r="625" s="1324" customFormat="1" x14ac:dyDescent="0.2"/>
    <row r="626" s="1324" customFormat="1" x14ac:dyDescent="0.2"/>
    <row r="627" s="1324" customFormat="1" x14ac:dyDescent="0.2"/>
    <row r="628" s="1324" customFormat="1" x14ac:dyDescent="0.2"/>
    <row r="629" s="1324" customFormat="1" x14ac:dyDescent="0.2"/>
    <row r="630" s="1324" customFormat="1" x14ac:dyDescent="0.2"/>
    <row r="631" s="1324" customFormat="1" x14ac:dyDescent="0.2"/>
    <row r="632" s="1324" customFormat="1" x14ac:dyDescent="0.2"/>
    <row r="633" s="1324" customFormat="1" x14ac:dyDescent="0.2"/>
    <row r="634" s="1324" customFormat="1" x14ac:dyDescent="0.2"/>
    <row r="635" s="1324" customFormat="1" x14ac:dyDescent="0.2"/>
    <row r="636" s="1324" customFormat="1" x14ac:dyDescent="0.2"/>
    <row r="637" s="1324" customFormat="1" x14ac:dyDescent="0.2"/>
    <row r="638" s="1324" customFormat="1" x14ac:dyDescent="0.2"/>
    <row r="639" s="1324" customFormat="1" x14ac:dyDescent="0.2"/>
    <row r="640" s="1324" customFormat="1" x14ac:dyDescent="0.2"/>
    <row r="641" s="1324" customFormat="1" x14ac:dyDescent="0.2"/>
    <row r="642" s="1324" customFormat="1" x14ac:dyDescent="0.2"/>
    <row r="643" s="1324" customFormat="1" x14ac:dyDescent="0.2"/>
    <row r="644" s="1324" customFormat="1" x14ac:dyDescent="0.2"/>
    <row r="645" s="1324" customFormat="1" x14ac:dyDescent="0.2"/>
    <row r="646" s="1324" customFormat="1" x14ac:dyDescent="0.2"/>
    <row r="647" s="1324" customFormat="1" x14ac:dyDescent="0.2"/>
    <row r="648" s="1324" customFormat="1" x14ac:dyDescent="0.2"/>
    <row r="649" s="1324" customFormat="1" x14ac:dyDescent="0.2"/>
    <row r="650" s="1324" customFormat="1" x14ac:dyDescent="0.2"/>
    <row r="651" s="1324" customFormat="1" x14ac:dyDescent="0.2"/>
    <row r="652" s="1324" customFormat="1" x14ac:dyDescent="0.2"/>
    <row r="653" s="1324" customFormat="1" x14ac:dyDescent="0.2"/>
    <row r="654" s="1324" customFormat="1" x14ac:dyDescent="0.2"/>
    <row r="655" s="1324" customFormat="1" x14ac:dyDescent="0.2"/>
    <row r="656" s="1324" customFormat="1" x14ac:dyDescent="0.2"/>
    <row r="657" s="1324" customFormat="1" x14ac:dyDescent="0.2"/>
    <row r="658" s="1324" customFormat="1" x14ac:dyDescent="0.2"/>
    <row r="659" s="1324" customFormat="1" x14ac:dyDescent="0.2"/>
    <row r="660" s="1324" customFormat="1" x14ac:dyDescent="0.2"/>
    <row r="661" s="1324" customFormat="1" x14ac:dyDescent="0.2"/>
    <row r="662" s="1324" customFormat="1" x14ac:dyDescent="0.2"/>
    <row r="663" s="1324" customFormat="1" x14ac:dyDescent="0.2"/>
    <row r="664" s="1324" customFormat="1" x14ac:dyDescent="0.2"/>
    <row r="665" s="1324" customFormat="1" x14ac:dyDescent="0.2"/>
    <row r="666" s="1324" customFormat="1" x14ac:dyDescent="0.2"/>
    <row r="667" s="1324" customFormat="1" x14ac:dyDescent="0.2"/>
    <row r="668" s="1324" customFormat="1" x14ac:dyDescent="0.2"/>
    <row r="669" s="1324" customFormat="1" x14ac:dyDescent="0.2"/>
    <row r="670" s="1324" customFormat="1" x14ac:dyDescent="0.2"/>
    <row r="671" s="1324" customFormat="1" x14ac:dyDescent="0.2"/>
    <row r="672" s="1324" customFormat="1" x14ac:dyDescent="0.2"/>
    <row r="673" s="1324" customFormat="1" x14ac:dyDescent="0.2"/>
    <row r="674" s="1324" customFormat="1" x14ac:dyDescent="0.2"/>
    <row r="675" s="1324" customFormat="1" x14ac:dyDescent="0.2"/>
    <row r="676" s="1324" customFormat="1" x14ac:dyDescent="0.2"/>
    <row r="677" s="1324" customFormat="1" x14ac:dyDescent="0.2"/>
    <row r="678" s="1324" customFormat="1" x14ac:dyDescent="0.2"/>
    <row r="679" s="1324" customFormat="1" x14ac:dyDescent="0.2"/>
    <row r="680" s="1324" customFormat="1" x14ac:dyDescent="0.2"/>
    <row r="681" s="1324" customFormat="1" x14ac:dyDescent="0.2"/>
    <row r="682" s="1324" customFormat="1" x14ac:dyDescent="0.2"/>
    <row r="683" s="1324" customFormat="1" x14ac:dyDescent="0.2"/>
    <row r="684" s="1324" customFormat="1" x14ac:dyDescent="0.2"/>
    <row r="685" s="1324" customFormat="1" x14ac:dyDescent="0.2"/>
    <row r="686" s="1324" customFormat="1" x14ac:dyDescent="0.2"/>
    <row r="687" s="1324" customFormat="1" x14ac:dyDescent="0.2"/>
    <row r="688" s="1324" customFormat="1" x14ac:dyDescent="0.2"/>
    <row r="689" s="1324" customFormat="1" x14ac:dyDescent="0.2"/>
    <row r="690" s="1324" customFormat="1" x14ac:dyDescent="0.2"/>
    <row r="691" s="1324" customFormat="1" x14ac:dyDescent="0.2"/>
    <row r="692" s="1324" customFormat="1" x14ac:dyDescent="0.2"/>
    <row r="693" s="1324" customFormat="1" x14ac:dyDescent="0.2"/>
    <row r="694" s="1324" customFormat="1" x14ac:dyDescent="0.2"/>
    <row r="695" s="1324" customFormat="1" x14ac:dyDescent="0.2"/>
    <row r="696" s="1324" customFormat="1" x14ac:dyDescent="0.2"/>
    <row r="697" s="1324" customFormat="1" x14ac:dyDescent="0.2"/>
    <row r="698" s="1324" customFormat="1" x14ac:dyDescent="0.2"/>
    <row r="699" s="1324" customFormat="1" x14ac:dyDescent="0.2"/>
    <row r="700" s="1324" customFormat="1" x14ac:dyDescent="0.2"/>
    <row r="701" s="1324" customFormat="1" x14ac:dyDescent="0.2"/>
    <row r="702" s="1324" customFormat="1" x14ac:dyDescent="0.2"/>
    <row r="703" s="1324" customFormat="1" x14ac:dyDescent="0.2"/>
    <row r="704" s="1324" customFormat="1" x14ac:dyDescent="0.2"/>
    <row r="705" s="1324" customFormat="1" x14ac:dyDescent="0.2"/>
    <row r="706" s="1324" customFormat="1" x14ac:dyDescent="0.2"/>
    <row r="707" s="1324" customFormat="1" x14ac:dyDescent="0.2"/>
    <row r="708" s="1324" customFormat="1" x14ac:dyDescent="0.2"/>
    <row r="709" s="1324" customFormat="1" x14ac:dyDescent="0.2"/>
    <row r="710" s="1324" customFormat="1" x14ac:dyDescent="0.2"/>
    <row r="711" s="1324" customFormat="1" x14ac:dyDescent="0.2"/>
    <row r="712" s="1324" customFormat="1" x14ac:dyDescent="0.2"/>
    <row r="713" s="1324" customFormat="1" x14ac:dyDescent="0.2"/>
    <row r="714" s="1324" customFormat="1" x14ac:dyDescent="0.2"/>
    <row r="715" s="1324" customFormat="1" x14ac:dyDescent="0.2"/>
    <row r="716" s="1324" customFormat="1" x14ac:dyDescent="0.2"/>
    <row r="717" s="1324" customFormat="1" x14ac:dyDescent="0.2"/>
    <row r="718" s="1324" customFormat="1" x14ac:dyDescent="0.2"/>
    <row r="719" s="1324" customFormat="1" x14ac:dyDescent="0.2"/>
    <row r="720" s="1324" customFormat="1" x14ac:dyDescent="0.2"/>
    <row r="721" s="1324" customFormat="1" x14ac:dyDescent="0.2"/>
    <row r="722" s="1324" customFormat="1" x14ac:dyDescent="0.2"/>
    <row r="723" s="1324" customFormat="1" x14ac:dyDescent="0.2"/>
    <row r="724" s="1324" customFormat="1" x14ac:dyDescent="0.2"/>
    <row r="725" s="1324" customFormat="1" x14ac:dyDescent="0.2"/>
    <row r="726" s="1324" customFormat="1" x14ac:dyDescent="0.2"/>
    <row r="727" s="1324" customFormat="1" x14ac:dyDescent="0.2"/>
    <row r="728" s="1324" customFormat="1" x14ac:dyDescent="0.2"/>
    <row r="729" s="1324" customFormat="1" x14ac:dyDescent="0.2"/>
    <row r="730" s="1324" customFormat="1" x14ac:dyDescent="0.2"/>
    <row r="731" s="1324" customFormat="1" x14ac:dyDescent="0.2"/>
    <row r="732" s="1324" customFormat="1" x14ac:dyDescent="0.2"/>
    <row r="733" s="1324" customFormat="1" x14ac:dyDescent="0.2"/>
    <row r="734" s="1324" customFormat="1" x14ac:dyDescent="0.2"/>
    <row r="735" s="1324" customFormat="1" x14ac:dyDescent="0.2"/>
    <row r="736" s="1324" customFormat="1" x14ac:dyDescent="0.2"/>
    <row r="737" s="1324" customFormat="1" x14ac:dyDescent="0.2"/>
    <row r="738" s="1324" customFormat="1" x14ac:dyDescent="0.2"/>
    <row r="739" s="1324" customFormat="1" x14ac:dyDescent="0.2"/>
    <row r="740" s="1324" customFormat="1" x14ac:dyDescent="0.2"/>
    <row r="741" s="1324" customFormat="1" x14ac:dyDescent="0.2"/>
    <row r="742" s="1324" customFormat="1" x14ac:dyDescent="0.2"/>
    <row r="743" s="1324" customFormat="1" x14ac:dyDescent="0.2"/>
    <row r="744" s="1324" customFormat="1" x14ac:dyDescent="0.2"/>
    <row r="745" s="1324" customFormat="1" x14ac:dyDescent="0.2"/>
    <row r="746" s="1324" customFormat="1" x14ac:dyDescent="0.2"/>
    <row r="747" s="1324" customFormat="1" x14ac:dyDescent="0.2"/>
    <row r="748" s="1324" customFormat="1" x14ac:dyDescent="0.2"/>
    <row r="749" s="1324" customFormat="1" x14ac:dyDescent="0.2"/>
    <row r="750" s="1324" customFormat="1" x14ac:dyDescent="0.2"/>
    <row r="751" s="1324" customFormat="1" x14ac:dyDescent="0.2"/>
    <row r="752" s="1324" customFormat="1" x14ac:dyDescent="0.2"/>
    <row r="753" s="1324" customFormat="1" x14ac:dyDescent="0.2"/>
    <row r="754" s="1324" customFormat="1" x14ac:dyDescent="0.2"/>
    <row r="755" s="1324" customFormat="1" x14ac:dyDescent="0.2"/>
    <row r="756" s="1324" customFormat="1" x14ac:dyDescent="0.2"/>
    <row r="757" s="1324" customFormat="1" x14ac:dyDescent="0.2"/>
    <row r="758" s="1324" customFormat="1" x14ac:dyDescent="0.2"/>
    <row r="759" s="1324" customFormat="1" x14ac:dyDescent="0.2"/>
    <row r="760" s="1324" customFormat="1" x14ac:dyDescent="0.2"/>
    <row r="761" s="1324" customFormat="1" x14ac:dyDescent="0.2"/>
    <row r="762" s="1324" customFormat="1" x14ac:dyDescent="0.2"/>
    <row r="763" s="1324" customFormat="1" x14ac:dyDescent="0.2"/>
    <row r="764" s="1324" customFormat="1" x14ac:dyDescent="0.2"/>
    <row r="765" s="1324" customFormat="1" x14ac:dyDescent="0.2"/>
    <row r="766" s="1324" customFormat="1" x14ac:dyDescent="0.2"/>
    <row r="767" s="1324" customFormat="1" x14ac:dyDescent="0.2"/>
    <row r="768" s="1324" customFormat="1" x14ac:dyDescent="0.2"/>
    <row r="769" s="1324" customFormat="1" x14ac:dyDescent="0.2"/>
    <row r="770" s="1324" customFormat="1" x14ac:dyDescent="0.2"/>
    <row r="771" s="1324" customFormat="1" x14ac:dyDescent="0.2"/>
    <row r="772" s="1324" customFormat="1" x14ac:dyDescent="0.2"/>
    <row r="773" s="1324" customFormat="1" x14ac:dyDescent="0.2"/>
    <row r="774" s="1324" customFormat="1" x14ac:dyDescent="0.2"/>
    <row r="775" s="1324" customFormat="1" x14ac:dyDescent="0.2"/>
    <row r="776" s="1324" customFormat="1" x14ac:dyDescent="0.2"/>
    <row r="777" s="1324" customFormat="1" x14ac:dyDescent="0.2"/>
    <row r="778" s="1324" customFormat="1" x14ac:dyDescent="0.2"/>
    <row r="779" s="1324" customFormat="1" x14ac:dyDescent="0.2"/>
    <row r="780" s="1324" customFormat="1" x14ac:dyDescent="0.2"/>
    <row r="781" s="1324" customFormat="1" x14ac:dyDescent="0.2"/>
    <row r="782" s="1324" customFormat="1" x14ac:dyDescent="0.2"/>
    <row r="783" s="1324" customFormat="1" x14ac:dyDescent="0.2"/>
    <row r="784" s="1324" customFormat="1" x14ac:dyDescent="0.2"/>
    <row r="785" s="1324" customFormat="1" x14ac:dyDescent="0.2"/>
    <row r="786" s="1324" customFormat="1" x14ac:dyDescent="0.2"/>
    <row r="787" s="1324" customFormat="1" x14ac:dyDescent="0.2"/>
    <row r="788" s="1324" customFormat="1" x14ac:dyDescent="0.2"/>
    <row r="789" s="1324" customFormat="1" x14ac:dyDescent="0.2"/>
    <row r="790" s="1324" customFormat="1" x14ac:dyDescent="0.2"/>
    <row r="791" s="1324" customFormat="1" x14ac:dyDescent="0.2"/>
    <row r="792" s="1324" customFormat="1" x14ac:dyDescent="0.2"/>
    <row r="793" s="1324" customFormat="1" x14ac:dyDescent="0.2"/>
    <row r="794" s="1324" customFormat="1" x14ac:dyDescent="0.2"/>
    <row r="795" s="1324" customFormat="1" x14ac:dyDescent="0.2"/>
    <row r="796" s="1324" customFormat="1" x14ac:dyDescent="0.2"/>
    <row r="797" s="1324" customFormat="1" x14ac:dyDescent="0.2"/>
    <row r="798" s="1324" customFormat="1" x14ac:dyDescent="0.2"/>
    <row r="799" s="1324" customFormat="1" x14ac:dyDescent="0.2"/>
    <row r="800" s="1324" customFormat="1" x14ac:dyDescent="0.2"/>
    <row r="801" s="1324" customFormat="1" x14ac:dyDescent="0.2"/>
    <row r="802" s="1324" customFormat="1" x14ac:dyDescent="0.2"/>
    <row r="803" s="1324" customFormat="1" x14ac:dyDescent="0.2"/>
    <row r="804" s="1324" customFormat="1" x14ac:dyDescent="0.2"/>
    <row r="805" s="1324" customFormat="1" x14ac:dyDescent="0.2"/>
    <row r="806" s="1324" customFormat="1" x14ac:dyDescent="0.2"/>
    <row r="807" s="1324" customFormat="1" x14ac:dyDescent="0.2"/>
    <row r="808" s="1324" customFormat="1" x14ac:dyDescent="0.2"/>
    <row r="809" s="1324" customFormat="1" x14ac:dyDescent="0.2"/>
    <row r="810" s="1324" customFormat="1" x14ac:dyDescent="0.2"/>
    <row r="811" s="1324" customFormat="1" x14ac:dyDescent="0.2"/>
    <row r="812" s="1324" customFormat="1" x14ac:dyDescent="0.2"/>
    <row r="813" s="1324" customFormat="1" x14ac:dyDescent="0.2"/>
    <row r="814" s="1324" customFormat="1" x14ac:dyDescent="0.2"/>
    <row r="815" s="1324" customFormat="1" x14ac:dyDescent="0.2"/>
    <row r="816" s="1324" customFormat="1" x14ac:dyDescent="0.2"/>
    <row r="817" s="1324" customFormat="1" x14ac:dyDescent="0.2"/>
    <row r="818" s="1324" customFormat="1" x14ac:dyDescent="0.2"/>
    <row r="819" s="1324" customFormat="1" x14ac:dyDescent="0.2"/>
    <row r="820" s="1324" customFormat="1" x14ac:dyDescent="0.2"/>
    <row r="821" s="1324" customFormat="1" x14ac:dyDescent="0.2"/>
    <row r="822" s="1324" customFormat="1" x14ac:dyDescent="0.2"/>
    <row r="823" s="1324" customFormat="1" x14ac:dyDescent="0.2"/>
    <row r="824" s="1324" customFormat="1" x14ac:dyDescent="0.2"/>
    <row r="825" s="1324" customFormat="1" x14ac:dyDescent="0.2"/>
    <row r="826" s="1324" customFormat="1" x14ac:dyDescent="0.2"/>
    <row r="827" s="1324" customFormat="1" x14ac:dyDescent="0.2"/>
    <row r="828" s="1324" customFormat="1" x14ac:dyDescent="0.2"/>
    <row r="829" s="1324" customFormat="1" x14ac:dyDescent="0.2"/>
    <row r="830" s="1324" customFormat="1" x14ac:dyDescent="0.2"/>
    <row r="831" s="1324" customFormat="1" x14ac:dyDescent="0.2"/>
    <row r="832" s="1324" customFormat="1" x14ac:dyDescent="0.2"/>
    <row r="833" s="1324" customFormat="1" x14ac:dyDescent="0.2"/>
    <row r="834" s="1324" customFormat="1" x14ac:dyDescent="0.2"/>
    <row r="835" s="1324" customFormat="1" x14ac:dyDescent="0.2"/>
    <row r="836" s="1324" customFormat="1" x14ac:dyDescent="0.2"/>
    <row r="837" s="1324" customFormat="1" x14ac:dyDescent="0.2"/>
    <row r="838" s="1324" customFormat="1" x14ac:dyDescent="0.2"/>
    <row r="839" s="1324" customFormat="1" x14ac:dyDescent="0.2"/>
    <row r="840" s="1324" customFormat="1" x14ac:dyDescent="0.2"/>
    <row r="841" s="1324" customFormat="1" x14ac:dyDescent="0.2"/>
    <row r="842" s="1324" customFormat="1" x14ac:dyDescent="0.2"/>
    <row r="843" s="1324" customFormat="1" x14ac:dyDescent="0.2"/>
    <row r="844" s="1324" customFormat="1" x14ac:dyDescent="0.2"/>
    <row r="845" s="1324" customFormat="1" x14ac:dyDescent="0.2"/>
    <row r="846" s="1324" customFormat="1" x14ac:dyDescent="0.2"/>
    <row r="847" s="1324" customFormat="1" x14ac:dyDescent="0.2"/>
    <row r="848" s="1324" customFormat="1" x14ac:dyDescent="0.2"/>
    <row r="849" s="1324" customFormat="1" x14ac:dyDescent="0.2"/>
    <row r="850" s="1324" customFormat="1" x14ac:dyDescent="0.2"/>
    <row r="851" s="1324" customFormat="1" x14ac:dyDescent="0.2"/>
    <row r="852" s="1324" customFormat="1" x14ac:dyDescent="0.2"/>
    <row r="853" s="1324" customFormat="1" x14ac:dyDescent="0.2"/>
    <row r="854" s="1324" customFormat="1" x14ac:dyDescent="0.2"/>
    <row r="855" s="1324" customFormat="1" x14ac:dyDescent="0.2"/>
    <row r="856" s="1324" customFormat="1" x14ac:dyDescent="0.2"/>
    <row r="857" s="1324" customFormat="1" x14ac:dyDescent="0.2"/>
    <row r="858" s="1324" customFormat="1" x14ac:dyDescent="0.2"/>
    <row r="859" s="1324" customFormat="1" x14ac:dyDescent="0.2"/>
    <row r="860" s="1324" customFormat="1" x14ac:dyDescent="0.2"/>
    <row r="861" s="1324" customFormat="1" x14ac:dyDescent="0.2"/>
    <row r="862" s="1324" customFormat="1" x14ac:dyDescent="0.2"/>
    <row r="863" s="1324" customFormat="1" x14ac:dyDescent="0.2"/>
    <row r="864" s="1324" customFormat="1" x14ac:dyDescent="0.2"/>
    <row r="865" s="1324" customFormat="1" x14ac:dyDescent="0.2"/>
    <row r="866" s="1324" customFormat="1" x14ac:dyDescent="0.2"/>
    <row r="867" s="1324" customFormat="1" x14ac:dyDescent="0.2"/>
    <row r="868" s="1324" customFormat="1" x14ac:dyDescent="0.2"/>
    <row r="869" s="1324" customFormat="1" x14ac:dyDescent="0.2"/>
    <row r="870" s="1324" customFormat="1" x14ac:dyDescent="0.2"/>
    <row r="871" s="1324" customFormat="1" x14ac:dyDescent="0.2"/>
    <row r="872" s="1324" customFormat="1" x14ac:dyDescent="0.2"/>
    <row r="873" s="1324" customFormat="1" x14ac:dyDescent="0.2"/>
    <row r="874" s="1324" customFormat="1" x14ac:dyDescent="0.2"/>
    <row r="875" s="1324" customFormat="1" x14ac:dyDescent="0.2"/>
    <row r="876" s="1324" customFormat="1" x14ac:dyDescent="0.2"/>
    <row r="877" s="1324" customFormat="1" x14ac:dyDescent="0.2"/>
    <row r="878" s="1324" customFormat="1" x14ac:dyDescent="0.2"/>
    <row r="879" s="1324" customFormat="1" x14ac:dyDescent="0.2"/>
    <row r="880" s="1324" customFormat="1" x14ac:dyDescent="0.2"/>
    <row r="881" s="1324" customFormat="1" x14ac:dyDescent="0.2"/>
    <row r="882" s="1324" customFormat="1" x14ac:dyDescent="0.2"/>
    <row r="883" s="1324" customFormat="1" x14ac:dyDescent="0.2"/>
    <row r="884" s="1324" customFormat="1" x14ac:dyDescent="0.2"/>
    <row r="885" s="1324" customFormat="1" x14ac:dyDescent="0.2"/>
    <row r="886" s="1324" customFormat="1" x14ac:dyDescent="0.2"/>
    <row r="887" s="1324" customFormat="1" x14ac:dyDescent="0.2"/>
    <row r="888" s="1324" customFormat="1" x14ac:dyDescent="0.2"/>
    <row r="889" s="1324" customFormat="1" x14ac:dyDescent="0.2"/>
    <row r="890" s="1324" customFormat="1" x14ac:dyDescent="0.2"/>
    <row r="891" s="1324" customFormat="1" x14ac:dyDescent="0.2"/>
    <row r="892" s="1324" customFormat="1" x14ac:dyDescent="0.2"/>
    <row r="893" s="1324" customFormat="1" x14ac:dyDescent="0.2"/>
    <row r="894" s="1324" customFormat="1" x14ac:dyDescent="0.2"/>
    <row r="895" s="1324" customFormat="1" x14ac:dyDescent="0.2"/>
    <row r="896" s="1324" customFormat="1" x14ac:dyDescent="0.2"/>
    <row r="897" s="1324" customFormat="1" x14ac:dyDescent="0.2"/>
    <row r="898" s="1324" customFormat="1" x14ac:dyDescent="0.2"/>
    <row r="899" s="1324" customFormat="1" x14ac:dyDescent="0.2"/>
    <row r="900" s="1324" customFormat="1" x14ac:dyDescent="0.2"/>
    <row r="901" s="1324" customFormat="1" x14ac:dyDescent="0.2"/>
    <row r="902" s="1324" customFormat="1" x14ac:dyDescent="0.2"/>
    <row r="903" s="1324" customFormat="1" x14ac:dyDescent="0.2"/>
    <row r="904" s="1324" customFormat="1" x14ac:dyDescent="0.2"/>
    <row r="905" s="1324" customFormat="1" x14ac:dyDescent="0.2"/>
    <row r="906" s="1324" customFormat="1" x14ac:dyDescent="0.2"/>
    <row r="907" s="1324" customFormat="1" x14ac:dyDescent="0.2"/>
    <row r="908" s="1324" customFormat="1" x14ac:dyDescent="0.2"/>
    <row r="909" s="1324" customFormat="1" x14ac:dyDescent="0.2"/>
    <row r="910" s="1324" customFormat="1" x14ac:dyDescent="0.2"/>
    <row r="911" s="1324" customFormat="1" x14ac:dyDescent="0.2"/>
    <row r="912" s="1324" customFormat="1" x14ac:dyDescent="0.2"/>
    <row r="913" s="1324" customFormat="1" x14ac:dyDescent="0.2"/>
    <row r="914" s="1324" customFormat="1" x14ac:dyDescent="0.2"/>
    <row r="915" s="1324" customFormat="1" x14ac:dyDescent="0.2"/>
    <row r="916" s="1324" customFormat="1" x14ac:dyDescent="0.2"/>
    <row r="917" s="1324" customFormat="1" x14ac:dyDescent="0.2"/>
    <row r="918" s="1324" customFormat="1" x14ac:dyDescent="0.2"/>
    <row r="919" s="1324" customFormat="1" x14ac:dyDescent="0.2"/>
    <row r="920" s="1324" customFormat="1" x14ac:dyDescent="0.2"/>
    <row r="921" s="1324" customFormat="1" x14ac:dyDescent="0.2"/>
    <row r="922" s="1324" customFormat="1" x14ac:dyDescent="0.2"/>
    <row r="923" s="1324" customFormat="1" x14ac:dyDescent="0.2"/>
    <row r="924" s="1324" customFormat="1" x14ac:dyDescent="0.2"/>
    <row r="925" s="1324" customFormat="1" x14ac:dyDescent="0.2"/>
    <row r="926" s="1324" customFormat="1" x14ac:dyDescent="0.2"/>
    <row r="927" s="1324" customFormat="1" x14ac:dyDescent="0.2"/>
    <row r="928" s="1324" customFormat="1" x14ac:dyDescent="0.2"/>
    <row r="929" s="1324" customFormat="1" x14ac:dyDescent="0.2"/>
    <row r="930" s="1324" customFormat="1" x14ac:dyDescent="0.2"/>
    <row r="931" s="1324" customFormat="1" x14ac:dyDescent="0.2"/>
    <row r="932" s="1324" customFormat="1" x14ac:dyDescent="0.2"/>
    <row r="933" s="1324" customFormat="1" x14ac:dyDescent="0.2"/>
    <row r="934" s="1324" customFormat="1" x14ac:dyDescent="0.2"/>
    <row r="935" s="1324" customFormat="1" x14ac:dyDescent="0.2"/>
    <row r="936" s="1324" customFormat="1" x14ac:dyDescent="0.2"/>
    <row r="937" s="1324" customFormat="1" x14ac:dyDescent="0.2"/>
    <row r="938" s="1324" customFormat="1" x14ac:dyDescent="0.2"/>
    <row r="939" s="1324" customFormat="1" x14ac:dyDescent="0.2"/>
    <row r="940" s="1324" customFormat="1" x14ac:dyDescent="0.2"/>
    <row r="941" s="1324" customFormat="1" x14ac:dyDescent="0.2"/>
    <row r="942" s="1324" customFormat="1" x14ac:dyDescent="0.2"/>
    <row r="943" s="1324" customFormat="1" x14ac:dyDescent="0.2"/>
    <row r="944" s="1324" customFormat="1" x14ac:dyDescent="0.2"/>
    <row r="945" s="1324" customFormat="1" x14ac:dyDescent="0.2"/>
    <row r="946" s="1324" customFormat="1" x14ac:dyDescent="0.2"/>
    <row r="947" s="1324" customFormat="1" x14ac:dyDescent="0.2"/>
    <row r="948" s="1324" customFormat="1" x14ac:dyDescent="0.2"/>
    <row r="949" s="1324" customFormat="1" x14ac:dyDescent="0.2"/>
    <row r="950" s="1324" customFormat="1" x14ac:dyDescent="0.2"/>
    <row r="951" s="1324" customFormat="1" x14ac:dyDescent="0.2"/>
    <row r="952" s="1324" customFormat="1" x14ac:dyDescent="0.2"/>
    <row r="953" s="1324" customFormat="1" x14ac:dyDescent="0.2"/>
    <row r="954" s="1324" customFormat="1" x14ac:dyDescent="0.2"/>
    <row r="955" s="1324" customFormat="1" x14ac:dyDescent="0.2"/>
    <row r="956" s="1324" customFormat="1" x14ac:dyDescent="0.2"/>
    <row r="957" s="1324" customFormat="1" x14ac:dyDescent="0.2"/>
    <row r="958" s="1324" customFormat="1" x14ac:dyDescent="0.2"/>
    <row r="959" s="1324" customFormat="1" x14ac:dyDescent="0.2"/>
    <row r="960" s="1324" customFormat="1" x14ac:dyDescent="0.2"/>
    <row r="961" s="1324" customFormat="1" x14ac:dyDescent="0.2"/>
    <row r="962" s="1324" customFormat="1" x14ac:dyDescent="0.2"/>
    <row r="963" s="1324" customFormat="1" x14ac:dyDescent="0.2"/>
    <row r="964" s="1324" customFormat="1" x14ac:dyDescent="0.2"/>
    <row r="965" s="1324" customFormat="1" x14ac:dyDescent="0.2"/>
    <row r="966" s="1324" customFormat="1" x14ac:dyDescent="0.2"/>
    <row r="967" s="1324" customFormat="1" x14ac:dyDescent="0.2"/>
    <row r="968" s="1324" customFormat="1" x14ac:dyDescent="0.2"/>
    <row r="969" s="1324" customFormat="1" x14ac:dyDescent="0.2"/>
    <row r="970" s="1324" customFormat="1" x14ac:dyDescent="0.2"/>
    <row r="971" s="1324" customFormat="1" x14ac:dyDescent="0.2"/>
    <row r="972" s="1324" customFormat="1" x14ac:dyDescent="0.2"/>
    <row r="973" s="1324" customFormat="1" x14ac:dyDescent="0.2"/>
    <row r="974" s="1324" customFormat="1" x14ac:dyDescent="0.2"/>
    <row r="975" s="1324" customFormat="1" x14ac:dyDescent="0.2"/>
    <row r="976" s="1324" customFormat="1" x14ac:dyDescent="0.2"/>
    <row r="977" s="1324" customFormat="1" x14ac:dyDescent="0.2"/>
    <row r="978" s="1324" customFormat="1" x14ac:dyDescent="0.2"/>
    <row r="979" s="1324" customFormat="1" x14ac:dyDescent="0.2"/>
    <row r="980" s="1324" customFormat="1" x14ac:dyDescent="0.2"/>
    <row r="981" s="1324" customFormat="1" x14ac:dyDescent="0.2"/>
    <row r="982" s="1324" customFormat="1" x14ac:dyDescent="0.2"/>
    <row r="983" s="1324" customFormat="1" x14ac:dyDescent="0.2"/>
    <row r="984" s="1324" customFormat="1" x14ac:dyDescent="0.2"/>
    <row r="985" s="1324" customFormat="1" x14ac:dyDescent="0.2"/>
    <row r="986" s="1324" customFormat="1" x14ac:dyDescent="0.2"/>
    <row r="987" s="1324" customFormat="1" x14ac:dyDescent="0.2"/>
    <row r="988" s="1324" customFormat="1" x14ac:dyDescent="0.2"/>
    <row r="989" s="1324" customFormat="1" x14ac:dyDescent="0.2"/>
    <row r="990" s="1324" customFormat="1" x14ac:dyDescent="0.2"/>
    <row r="991" s="1324" customFormat="1" x14ac:dyDescent="0.2"/>
    <row r="992" s="1324" customFormat="1" x14ac:dyDescent="0.2"/>
    <row r="993" s="1324" customFormat="1" x14ac:dyDescent="0.2"/>
    <row r="994" s="1324" customFormat="1" x14ac:dyDescent="0.2"/>
    <row r="995" s="1324" customFormat="1" x14ac:dyDescent="0.2"/>
    <row r="996" s="1324" customFormat="1" x14ac:dyDescent="0.2"/>
    <row r="997" s="1324" customFormat="1" x14ac:dyDescent="0.2"/>
    <row r="998" s="1324" customFormat="1" x14ac:dyDescent="0.2"/>
    <row r="999" s="1324" customFormat="1" x14ac:dyDescent="0.2"/>
    <row r="1000" s="1324" customFormat="1" x14ac:dyDescent="0.2"/>
    <row r="1001" s="1324" customFormat="1" x14ac:dyDescent="0.2"/>
    <row r="1002" s="1324" customFormat="1" x14ac:dyDescent="0.2"/>
    <row r="1003" s="1324" customFormat="1" x14ac:dyDescent="0.2"/>
    <row r="1004" s="1324" customFormat="1" x14ac:dyDescent="0.2"/>
    <row r="1005" s="1324" customFormat="1" x14ac:dyDescent="0.2"/>
    <row r="1006" s="1324" customFormat="1" x14ac:dyDescent="0.2"/>
    <row r="1007" s="1324" customFormat="1" x14ac:dyDescent="0.2"/>
    <row r="1008" s="1324" customFormat="1" x14ac:dyDescent="0.2"/>
    <row r="1009" s="1324" customFormat="1" x14ac:dyDescent="0.2"/>
    <row r="1010" s="1324" customFormat="1" x14ac:dyDescent="0.2"/>
    <row r="1011" s="1324" customFormat="1" x14ac:dyDescent="0.2"/>
    <row r="1012" s="1324" customFormat="1" x14ac:dyDescent="0.2"/>
    <row r="1013" s="1324" customFormat="1" x14ac:dyDescent="0.2"/>
    <row r="1014" s="1324" customFormat="1" x14ac:dyDescent="0.2"/>
    <row r="1015" s="1324" customFormat="1" x14ac:dyDescent="0.2"/>
    <row r="1016" s="1324" customFormat="1" x14ac:dyDescent="0.2"/>
    <row r="1017" s="1324" customFormat="1" x14ac:dyDescent="0.2"/>
    <row r="1018" s="1324" customFormat="1" x14ac:dyDescent="0.2"/>
    <row r="1019" s="1324" customFormat="1" x14ac:dyDescent="0.2"/>
    <row r="1020" s="1324" customFormat="1" x14ac:dyDescent="0.2"/>
    <row r="1021" s="1324" customFormat="1" x14ac:dyDescent="0.2"/>
    <row r="1022" s="1324" customFormat="1" x14ac:dyDescent="0.2"/>
    <row r="1023" s="1324" customFormat="1" x14ac:dyDescent="0.2"/>
    <row r="1024" s="1324" customFormat="1" x14ac:dyDescent="0.2"/>
    <row r="1025" s="1324" customFormat="1" x14ac:dyDescent="0.2"/>
    <row r="1026" s="1324" customFormat="1" x14ac:dyDescent="0.2"/>
    <row r="1027" s="1324" customFormat="1" x14ac:dyDescent="0.2"/>
    <row r="1028" s="1324" customFormat="1" x14ac:dyDescent="0.2"/>
    <row r="1029" s="1324" customFormat="1" x14ac:dyDescent="0.2"/>
    <row r="1030" s="1324" customFormat="1" x14ac:dyDescent="0.2"/>
    <row r="1031" s="1324" customFormat="1" x14ac:dyDescent="0.2"/>
    <row r="1032" s="1324" customFormat="1" x14ac:dyDescent="0.2"/>
    <row r="1033" s="1324" customFormat="1" x14ac:dyDescent="0.2"/>
    <row r="1034" s="1324" customFormat="1" x14ac:dyDescent="0.2"/>
    <row r="1035" s="1324" customFormat="1" x14ac:dyDescent="0.2"/>
    <row r="1036" s="1324" customFormat="1" x14ac:dyDescent="0.2"/>
    <row r="1037" s="1324" customFormat="1" x14ac:dyDescent="0.2"/>
    <row r="1038" s="1324" customFormat="1" x14ac:dyDescent="0.2"/>
    <row r="1039" s="1324" customFormat="1" x14ac:dyDescent="0.2"/>
    <row r="1040" s="1324" customFormat="1" x14ac:dyDescent="0.2"/>
    <row r="1041" s="1324" customFormat="1" x14ac:dyDescent="0.2"/>
    <row r="1042" s="1324" customFormat="1" x14ac:dyDescent="0.2"/>
    <row r="1043" s="1324" customFormat="1" x14ac:dyDescent="0.2"/>
    <row r="1044" s="1324" customFormat="1" x14ac:dyDescent="0.2"/>
    <row r="1045" s="1324" customFormat="1" x14ac:dyDescent="0.2"/>
    <row r="1046" s="1324" customFormat="1" x14ac:dyDescent="0.2"/>
    <row r="1047" s="1324" customFormat="1" x14ac:dyDescent="0.2"/>
    <row r="1048" s="1324" customFormat="1" x14ac:dyDescent="0.2"/>
    <row r="1049" s="1324" customFormat="1" x14ac:dyDescent="0.2"/>
    <row r="1050" s="1324" customFormat="1" x14ac:dyDescent="0.2"/>
    <row r="1051" s="1324" customFormat="1" x14ac:dyDescent="0.2"/>
    <row r="1052" s="1324" customFormat="1" x14ac:dyDescent="0.2"/>
    <row r="1053" s="1324" customFormat="1" x14ac:dyDescent="0.2"/>
    <row r="1054" s="1324" customFormat="1" x14ac:dyDescent="0.2"/>
    <row r="1055" s="1324" customFormat="1" x14ac:dyDescent="0.2"/>
    <row r="1056" s="1324" customFormat="1" x14ac:dyDescent="0.2"/>
    <row r="1057" s="1324" customFormat="1" x14ac:dyDescent="0.2"/>
    <row r="1058" s="1324" customFormat="1" x14ac:dyDescent="0.2"/>
    <row r="1059" s="1324" customFormat="1" x14ac:dyDescent="0.2"/>
    <row r="1060" s="1324" customFormat="1" x14ac:dyDescent="0.2"/>
    <row r="1061" s="1324" customFormat="1" x14ac:dyDescent="0.2"/>
    <row r="1062" s="1324" customFormat="1" x14ac:dyDescent="0.2"/>
    <row r="1063" s="1324" customFormat="1" x14ac:dyDescent="0.2"/>
    <row r="1064" s="1324" customFormat="1" x14ac:dyDescent="0.2"/>
    <row r="1065" s="1324" customFormat="1" x14ac:dyDescent="0.2"/>
    <row r="1066" s="1324" customFormat="1" x14ac:dyDescent="0.2"/>
    <row r="1067" s="1324" customFormat="1" x14ac:dyDescent="0.2"/>
    <row r="1068" s="1324" customFormat="1" x14ac:dyDescent="0.2"/>
    <row r="1069" s="1324" customFormat="1" x14ac:dyDescent="0.2"/>
    <row r="1070" s="1324" customFormat="1" x14ac:dyDescent="0.2"/>
    <row r="1071" s="1324" customFormat="1" x14ac:dyDescent="0.2"/>
    <row r="1072" s="1324" customFormat="1" x14ac:dyDescent="0.2"/>
    <row r="1073" s="1324" customFormat="1" x14ac:dyDescent="0.2"/>
    <row r="1074" s="1324" customFormat="1" x14ac:dyDescent="0.2"/>
    <row r="1075" s="1324" customFormat="1" x14ac:dyDescent="0.2"/>
    <row r="1076" s="1324" customFormat="1" x14ac:dyDescent="0.2"/>
    <row r="1077" s="1324" customFormat="1" x14ac:dyDescent="0.2"/>
    <row r="1078" s="1324" customFormat="1" x14ac:dyDescent="0.2"/>
    <row r="1079" s="1324" customFormat="1" x14ac:dyDescent="0.2"/>
    <row r="1080" s="1324" customFormat="1" x14ac:dyDescent="0.2"/>
    <row r="1081" s="1324" customFormat="1" x14ac:dyDescent="0.2"/>
    <row r="1082" s="1324" customFormat="1" x14ac:dyDescent="0.2"/>
    <row r="1083" s="1324" customFormat="1" x14ac:dyDescent="0.2"/>
    <row r="1084" s="1324" customFormat="1" x14ac:dyDescent="0.2"/>
    <row r="1085" s="1324" customFormat="1" x14ac:dyDescent="0.2"/>
    <row r="1086" s="1324" customFormat="1" x14ac:dyDescent="0.2"/>
    <row r="1087" s="1324" customFormat="1" x14ac:dyDescent="0.2"/>
    <row r="1088" s="1324" customFormat="1" x14ac:dyDescent="0.2"/>
    <row r="1089" s="1324" customFormat="1" x14ac:dyDescent="0.2"/>
    <row r="1090" s="1324" customFormat="1" x14ac:dyDescent="0.2"/>
    <row r="1091" s="1324" customFormat="1" x14ac:dyDescent="0.2"/>
  </sheetData>
  <autoFilter ref="B8:J152" xr:uid="{00000000-0009-0000-0000-000000000000}"/>
  <dataConsolidate/>
  <mergeCells count="6">
    <mergeCell ref="D168:D169"/>
    <mergeCell ref="A12:A87"/>
    <mergeCell ref="A89:A130"/>
    <mergeCell ref="A131:A135"/>
    <mergeCell ref="A137:B137"/>
    <mergeCell ref="A139:B139"/>
  </mergeCells>
  <dataValidations count="1">
    <dataValidation type="list" allowBlank="1" showInputMessage="1" showErrorMessage="1" sqref="C12:C166" xr:uid="{00000000-0002-0000-0000-000000000000}">
      <formula1>#REF!</formula1>
    </dataValidation>
  </dataValidations>
  <pageMargins left="0.4" right="0.24" top="0.91" bottom="0.65" header="0" footer="0"/>
  <pageSetup scale="52" orientation="portrait" horizontalDpi="4294967294" r:id="rId1"/>
  <headerFooter alignWithMargins="0">
    <oddFooter>Página &amp;P</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BK337"/>
  <sheetViews>
    <sheetView topLeftCell="H286" zoomScale="113" zoomScaleNormal="113" workbookViewId="0">
      <selection activeCell="K291" sqref="K291"/>
    </sheetView>
  </sheetViews>
  <sheetFormatPr defaultColWidth="11.42578125" defaultRowHeight="12.75" x14ac:dyDescent="0.2"/>
  <cols>
    <col min="1" max="1" width="5.85546875" style="817" customWidth="1"/>
    <col min="2" max="2" width="42.42578125" style="817" hidden="1" customWidth="1"/>
    <col min="3" max="3" width="25" style="817" customWidth="1"/>
    <col min="4" max="4" width="58.7109375" style="817" customWidth="1"/>
    <col min="5" max="5" width="30.85546875" style="817" customWidth="1"/>
    <col min="6" max="6" width="26.42578125" style="817" hidden="1" customWidth="1"/>
    <col min="7" max="7" width="23.7109375" style="817" hidden="1" customWidth="1"/>
    <col min="8" max="8" width="12.5703125" style="817" customWidth="1"/>
    <col min="9" max="10" width="10.7109375" style="817" customWidth="1"/>
    <col min="11" max="11" width="11.28515625" style="817" customWidth="1"/>
    <col min="12" max="12" width="16.42578125" style="817" customWidth="1"/>
    <col min="13" max="13" width="11.42578125" style="817" customWidth="1"/>
    <col min="14" max="14" width="15.140625" style="817" customWidth="1"/>
    <col min="15" max="15" width="19" style="817" customWidth="1"/>
    <col min="16" max="16" width="17.140625" style="818" customWidth="1"/>
    <col min="17" max="17" width="15.140625" style="817" customWidth="1"/>
    <col min="18" max="18" width="53.85546875" style="817" hidden="1" customWidth="1"/>
    <col min="19" max="19" width="12.42578125" style="817" hidden="1" customWidth="1"/>
    <col min="20" max="20" width="11.42578125" style="817" hidden="1" customWidth="1"/>
    <col min="21" max="21" width="13.42578125" style="817" hidden="1" customWidth="1"/>
    <col min="22" max="22" width="14.42578125" style="817" hidden="1" customWidth="1"/>
    <col min="23" max="23" width="11.42578125" style="817" hidden="1" customWidth="1"/>
    <col min="24" max="24" width="15.7109375" style="817" hidden="1" customWidth="1"/>
    <col min="25" max="26" width="11.42578125" style="817" hidden="1" customWidth="1"/>
    <col min="27" max="27" width="70.140625" style="817" hidden="1" customWidth="1"/>
    <col min="28" max="16384" width="11.42578125" style="817"/>
  </cols>
  <sheetData>
    <row r="2" spans="3:63" ht="33.75" x14ac:dyDescent="0.5">
      <c r="C2" s="819" t="s">
        <v>652</v>
      </c>
    </row>
    <row r="4" spans="3:63" ht="18" customHeight="1" x14ac:dyDescent="0.2">
      <c r="H4" s="820" t="s">
        <v>121</v>
      </c>
      <c r="I4" s="820"/>
      <c r="J4" s="820"/>
      <c r="K4" s="820"/>
    </row>
    <row r="5" spans="3:63" x14ac:dyDescent="0.2">
      <c r="C5" s="821" t="s">
        <v>17</v>
      </c>
      <c r="D5" s="821" t="s">
        <v>653</v>
      </c>
      <c r="E5" s="822"/>
      <c r="F5" s="822"/>
      <c r="G5" s="822"/>
    </row>
    <row r="6" spans="3:63" x14ac:dyDescent="0.2">
      <c r="C6" s="821" t="s">
        <v>18</v>
      </c>
      <c r="D6" s="821" t="s">
        <v>654</v>
      </c>
      <c r="AA6" s="823"/>
    </row>
    <row r="7" spans="3:63" ht="12.75" customHeight="1" x14ac:dyDescent="0.2">
      <c r="C7" s="821" t="s">
        <v>15</v>
      </c>
      <c r="D7" s="821" t="s">
        <v>655</v>
      </c>
      <c r="H7" s="824"/>
      <c r="I7" s="824"/>
      <c r="J7" s="824"/>
      <c r="K7" s="824"/>
      <c r="L7" s="824"/>
    </row>
    <row r="8" spans="3:63" ht="12.75" customHeight="1" x14ac:dyDescent="0.25">
      <c r="C8" s="821" t="s">
        <v>656</v>
      </c>
      <c r="D8" s="825"/>
      <c r="H8" s="824"/>
      <c r="I8" s="824"/>
      <c r="J8" s="824"/>
      <c r="K8" s="824"/>
      <c r="L8" s="824"/>
    </row>
    <row r="9" spans="3:63" ht="12.75" customHeight="1" x14ac:dyDescent="0.2">
      <c r="C9" s="820" t="s">
        <v>28</v>
      </c>
      <c r="D9" s="825"/>
      <c r="E9" s="825"/>
      <c r="F9" s="825"/>
      <c r="G9" s="825"/>
      <c r="H9" s="824"/>
      <c r="I9" s="824"/>
      <c r="J9" s="824"/>
      <c r="K9" s="824"/>
      <c r="L9" s="824"/>
    </row>
    <row r="10" spans="3:63" ht="12.75" customHeight="1" x14ac:dyDescent="0.25">
      <c r="C10" s="820" t="s">
        <v>657</v>
      </c>
      <c r="D10" s="825"/>
      <c r="E10" s="825"/>
      <c r="F10" s="825"/>
      <c r="G10" s="825"/>
      <c r="H10" s="824"/>
      <c r="I10" s="824"/>
      <c r="J10" s="824"/>
      <c r="K10" s="824"/>
      <c r="L10" s="824"/>
    </row>
    <row r="11" spans="3:63" ht="13.15" customHeight="1" x14ac:dyDescent="0.2">
      <c r="Q11" s="826"/>
    </row>
    <row r="12" spans="3:63" ht="38.25" x14ac:dyDescent="0.2">
      <c r="C12" s="827" t="s">
        <v>6</v>
      </c>
      <c r="D12" s="827" t="s">
        <v>7</v>
      </c>
      <c r="E12" s="827" t="s">
        <v>31</v>
      </c>
      <c r="F12" s="827"/>
      <c r="G12" s="827"/>
      <c r="H12" s="827" t="s">
        <v>26</v>
      </c>
      <c r="I12" s="827" t="s">
        <v>3</v>
      </c>
      <c r="J12" s="827" t="s">
        <v>4</v>
      </c>
      <c r="K12" s="827" t="s">
        <v>5</v>
      </c>
      <c r="L12" s="255" t="s">
        <v>8</v>
      </c>
      <c r="M12" s="256" t="s">
        <v>21</v>
      </c>
      <c r="N12" s="256" t="s">
        <v>212</v>
      </c>
      <c r="O12" s="828" t="s">
        <v>658</v>
      </c>
      <c r="P12" s="829" t="s">
        <v>643</v>
      </c>
      <c r="Q12" s="830" t="s">
        <v>642</v>
      </c>
      <c r="R12" s="831" t="s">
        <v>30</v>
      </c>
      <c r="S12" s="832" t="s">
        <v>3</v>
      </c>
      <c r="T12" s="832" t="s">
        <v>4</v>
      </c>
      <c r="U12" s="832" t="s">
        <v>5</v>
      </c>
      <c r="V12" s="198" t="s">
        <v>9</v>
      </c>
      <c r="W12" s="198" t="s">
        <v>20</v>
      </c>
      <c r="X12" s="198" t="s">
        <v>10</v>
      </c>
      <c r="Y12" s="198" t="s">
        <v>21</v>
      </c>
      <c r="Z12" s="198" t="s">
        <v>52</v>
      </c>
      <c r="AA12" s="198" t="s">
        <v>30</v>
      </c>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row>
    <row r="13" spans="3:63" s="834" customFormat="1" ht="13.15" customHeight="1" x14ac:dyDescent="0.2">
      <c r="C13" s="835" t="s">
        <v>39</v>
      </c>
      <c r="D13" s="836"/>
      <c r="E13" s="836"/>
      <c r="F13" s="836"/>
      <c r="G13" s="836"/>
      <c r="H13" s="836"/>
      <c r="I13" s="836"/>
      <c r="J13" s="836"/>
      <c r="K13" s="836"/>
      <c r="L13" s="837"/>
      <c r="M13" s="837"/>
      <c r="N13" s="837"/>
      <c r="O13" s="837"/>
      <c r="P13" s="837"/>
      <c r="Q13" s="837"/>
      <c r="R13" s="836"/>
      <c r="S13" s="838"/>
      <c r="T13" s="838"/>
      <c r="U13" s="838"/>
      <c r="V13" s="838"/>
      <c r="W13" s="838"/>
      <c r="X13" s="838"/>
      <c r="Y13" s="838"/>
      <c r="Z13" s="838"/>
      <c r="AA13" s="838"/>
      <c r="AB13" s="839"/>
      <c r="AC13" s="840"/>
      <c r="AD13" s="840"/>
      <c r="AE13" s="840"/>
      <c r="AF13" s="840"/>
      <c r="AG13" s="840"/>
      <c r="AH13" s="840"/>
      <c r="AI13" s="840"/>
      <c r="AJ13" s="840"/>
      <c r="AK13" s="840"/>
      <c r="AL13" s="840"/>
      <c r="AM13" s="840"/>
      <c r="AN13" s="840"/>
      <c r="AO13" s="840"/>
      <c r="AP13" s="840"/>
      <c r="AQ13" s="840"/>
      <c r="AR13" s="840"/>
      <c r="AS13" s="840"/>
      <c r="AT13" s="840"/>
      <c r="AU13" s="840"/>
      <c r="AV13" s="840"/>
      <c r="AW13" s="840"/>
      <c r="AX13" s="840"/>
      <c r="AY13" s="840"/>
      <c r="AZ13" s="840"/>
      <c r="BA13" s="840"/>
      <c r="BB13" s="840"/>
      <c r="BC13" s="840"/>
      <c r="BD13" s="840"/>
      <c r="BE13" s="840"/>
      <c r="BF13" s="840"/>
      <c r="BG13" s="840"/>
      <c r="BH13" s="840"/>
      <c r="BI13" s="840"/>
      <c r="BJ13" s="840"/>
      <c r="BK13" s="840"/>
    </row>
    <row r="14" spans="3:63" ht="13.9" customHeight="1" x14ac:dyDescent="0.2">
      <c r="C14" s="1668" t="s">
        <v>213</v>
      </c>
      <c r="D14" s="1669"/>
      <c r="E14" s="841"/>
      <c r="F14" s="841"/>
      <c r="G14" s="841"/>
      <c r="H14" s="841"/>
      <c r="I14" s="841"/>
      <c r="J14" s="841"/>
      <c r="K14" s="841"/>
      <c r="L14" s="841"/>
      <c r="M14" s="841"/>
      <c r="N14" s="841"/>
      <c r="O14" s="841"/>
      <c r="P14" s="842"/>
      <c r="Q14" s="843"/>
      <c r="R14" s="841"/>
      <c r="S14" s="844"/>
      <c r="T14" s="844"/>
      <c r="U14" s="844"/>
      <c r="V14" s="844"/>
      <c r="W14" s="844"/>
      <c r="X14" s="844"/>
      <c r="Y14" s="844"/>
      <c r="Z14" s="844"/>
      <c r="AA14" s="845"/>
      <c r="AB14" s="833"/>
      <c r="AC14" s="833"/>
      <c r="AD14" s="833"/>
      <c r="AE14" s="833"/>
      <c r="AF14" s="833"/>
      <c r="AG14" s="833"/>
      <c r="AH14" s="833"/>
      <c r="AI14" s="833"/>
      <c r="AJ14" s="833"/>
      <c r="AK14" s="833"/>
      <c r="AL14" s="833"/>
      <c r="AM14" s="833"/>
      <c r="AN14" s="833"/>
      <c r="AO14" s="833"/>
      <c r="AP14" s="833"/>
      <c r="AQ14" s="833"/>
      <c r="AR14" s="833"/>
      <c r="AS14" s="833"/>
      <c r="AT14" s="833"/>
      <c r="AU14" s="833"/>
      <c r="AV14" s="833"/>
      <c r="AW14" s="833"/>
      <c r="AX14" s="833"/>
      <c r="AY14" s="833"/>
      <c r="AZ14" s="833"/>
      <c r="BA14" s="833"/>
      <c r="BB14" s="833"/>
      <c r="BC14" s="833"/>
      <c r="BD14" s="833"/>
      <c r="BE14" s="833"/>
      <c r="BF14" s="833"/>
      <c r="BG14" s="833"/>
      <c r="BH14" s="833"/>
      <c r="BI14" s="833"/>
      <c r="BJ14" s="833"/>
      <c r="BK14" s="833"/>
    </row>
    <row r="15" spans="3:63" ht="14.45" customHeight="1" x14ac:dyDescent="0.2">
      <c r="C15" s="846" t="s">
        <v>214</v>
      </c>
      <c r="D15" s="847" t="s">
        <v>215</v>
      </c>
      <c r="E15" s="848"/>
      <c r="F15" s="848"/>
      <c r="G15" s="848"/>
      <c r="H15" s="848"/>
      <c r="I15" s="848"/>
      <c r="J15" s="848"/>
      <c r="K15" s="848"/>
      <c r="L15" s="849"/>
      <c r="M15" s="833"/>
      <c r="N15" s="833"/>
      <c r="O15" s="833"/>
      <c r="P15" s="850"/>
      <c r="Q15" s="851"/>
      <c r="R15" s="1673"/>
      <c r="S15" s="844"/>
      <c r="T15" s="844"/>
      <c r="U15" s="844"/>
      <c r="V15" s="844"/>
      <c r="W15" s="844"/>
      <c r="X15" s="844"/>
      <c r="Y15" s="844"/>
      <c r="Z15" s="844"/>
      <c r="AA15" s="844"/>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3"/>
      <c r="AY15" s="833"/>
      <c r="AZ15" s="833"/>
      <c r="BA15" s="833"/>
      <c r="BB15" s="833"/>
      <c r="BC15" s="833"/>
      <c r="BD15" s="833"/>
      <c r="BE15" s="833"/>
      <c r="BF15" s="833"/>
      <c r="BG15" s="833"/>
      <c r="BH15" s="833"/>
      <c r="BI15" s="833"/>
      <c r="BJ15" s="833"/>
      <c r="BK15" s="833"/>
    </row>
    <row r="16" spans="3:63" x14ac:dyDescent="0.2">
      <c r="C16" s="852"/>
      <c r="D16" s="853" t="s">
        <v>216</v>
      </c>
      <c r="E16" s="853" t="s">
        <v>34</v>
      </c>
      <c r="F16" s="853"/>
      <c r="G16" s="853"/>
      <c r="H16" s="854" t="s">
        <v>659</v>
      </c>
      <c r="I16" s="855">
        <v>1</v>
      </c>
      <c r="J16" s="856">
        <v>800</v>
      </c>
      <c r="K16" s="857">
        <v>12</v>
      </c>
      <c r="L16" s="858">
        <f>I16*J16*K16</f>
        <v>9600</v>
      </c>
      <c r="M16" s="844"/>
      <c r="N16" s="859"/>
      <c r="O16" s="859"/>
      <c r="P16" s="859"/>
      <c r="Q16" s="844"/>
      <c r="R16" s="1674"/>
      <c r="S16" s="844"/>
      <c r="T16" s="844"/>
      <c r="U16" s="844"/>
      <c r="V16" s="844"/>
      <c r="W16" s="844"/>
      <c r="X16" s="844"/>
      <c r="Y16" s="844"/>
      <c r="Z16" s="844"/>
      <c r="AA16" s="844"/>
      <c r="AB16" s="833"/>
      <c r="AC16" s="833"/>
      <c r="AD16" s="833"/>
      <c r="AE16" s="833"/>
      <c r="AF16" s="833"/>
      <c r="AG16" s="833"/>
      <c r="AH16" s="833"/>
      <c r="AI16" s="833"/>
      <c r="AJ16" s="833"/>
      <c r="AK16" s="833"/>
      <c r="AL16" s="833"/>
      <c r="AM16" s="833"/>
      <c r="AN16" s="833"/>
      <c r="AO16" s="833"/>
      <c r="AP16" s="833"/>
      <c r="AQ16" s="833"/>
      <c r="AR16" s="833"/>
      <c r="AS16" s="833"/>
      <c r="AT16" s="833"/>
      <c r="AU16" s="833"/>
      <c r="AV16" s="833"/>
      <c r="AW16" s="833"/>
      <c r="AX16" s="833"/>
      <c r="AY16" s="833"/>
      <c r="AZ16" s="833"/>
      <c r="BA16" s="833"/>
      <c r="BB16" s="833"/>
      <c r="BC16" s="833"/>
      <c r="BD16" s="833"/>
      <c r="BE16" s="833"/>
      <c r="BF16" s="833"/>
      <c r="BG16" s="833"/>
      <c r="BH16" s="833"/>
      <c r="BI16" s="833"/>
      <c r="BJ16" s="833"/>
      <c r="BK16" s="833"/>
    </row>
    <row r="17" spans="2:63" x14ac:dyDescent="0.2">
      <c r="C17" s="852"/>
      <c r="D17" s="853" t="s">
        <v>218</v>
      </c>
      <c r="E17" s="853" t="s">
        <v>34</v>
      </c>
      <c r="F17" s="853"/>
      <c r="G17" s="853"/>
      <c r="H17" s="854" t="s">
        <v>659</v>
      </c>
      <c r="I17" s="855">
        <v>11</v>
      </c>
      <c r="J17" s="856">
        <v>25</v>
      </c>
      <c r="K17" s="857">
        <v>1</v>
      </c>
      <c r="L17" s="858">
        <f t="shared" ref="L17:L27" si="0">I17*J17*K17</f>
        <v>275</v>
      </c>
      <c r="M17" s="844"/>
      <c r="N17" s="859"/>
      <c r="O17" s="860"/>
      <c r="P17" s="861"/>
      <c r="Q17" s="862"/>
      <c r="R17" s="1674"/>
      <c r="S17" s="844"/>
      <c r="T17" s="844"/>
      <c r="U17" s="844"/>
      <c r="V17" s="844"/>
      <c r="W17" s="844"/>
      <c r="X17" s="844"/>
      <c r="Y17" s="844"/>
      <c r="Z17" s="844"/>
      <c r="AA17" s="844"/>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833"/>
      <c r="AZ17" s="833"/>
      <c r="BA17" s="833"/>
      <c r="BB17" s="833"/>
      <c r="BC17" s="833"/>
      <c r="BD17" s="833"/>
      <c r="BE17" s="833"/>
      <c r="BF17" s="833"/>
      <c r="BG17" s="833"/>
      <c r="BH17" s="833"/>
      <c r="BI17" s="833"/>
      <c r="BJ17" s="833"/>
      <c r="BK17" s="833"/>
    </row>
    <row r="18" spans="2:63" x14ac:dyDescent="0.2">
      <c r="C18" s="852"/>
      <c r="D18" s="853" t="s">
        <v>219</v>
      </c>
      <c r="E18" s="853" t="s">
        <v>34</v>
      </c>
      <c r="F18" s="853"/>
      <c r="G18" s="853"/>
      <c r="H18" s="854" t="s">
        <v>659</v>
      </c>
      <c r="I18" s="855">
        <v>100</v>
      </c>
      <c r="J18" s="856">
        <v>6</v>
      </c>
      <c r="K18" s="857">
        <v>11</v>
      </c>
      <c r="L18" s="858">
        <f t="shared" si="0"/>
        <v>6600</v>
      </c>
      <c r="M18" s="844"/>
      <c r="N18" s="859"/>
      <c r="O18" s="860"/>
      <c r="P18" s="861"/>
      <c r="Q18" s="862"/>
      <c r="R18" s="1674"/>
      <c r="S18" s="844"/>
      <c r="T18" s="844"/>
      <c r="U18" s="844"/>
      <c r="V18" s="844"/>
      <c r="W18" s="844"/>
      <c r="X18" s="844"/>
      <c r="Y18" s="844"/>
      <c r="Z18" s="844"/>
      <c r="AA18" s="844"/>
      <c r="AB18" s="833"/>
      <c r="AC18" s="833"/>
      <c r="AD18" s="833"/>
      <c r="AE18" s="833"/>
      <c r="AF18" s="833"/>
      <c r="AG18" s="833"/>
      <c r="AH18" s="833"/>
      <c r="AI18" s="833"/>
      <c r="AJ18" s="833"/>
      <c r="AK18" s="833"/>
      <c r="AL18" s="833"/>
      <c r="AM18" s="833"/>
      <c r="AN18" s="833"/>
      <c r="AO18" s="833"/>
      <c r="AP18" s="833"/>
      <c r="AQ18" s="833"/>
      <c r="AR18" s="833"/>
      <c r="AS18" s="833"/>
      <c r="AT18" s="833"/>
      <c r="AU18" s="833"/>
      <c r="AV18" s="833"/>
      <c r="AW18" s="833"/>
      <c r="AX18" s="833"/>
      <c r="AY18" s="833"/>
      <c r="AZ18" s="833"/>
      <c r="BA18" s="833"/>
      <c r="BB18" s="833"/>
      <c r="BC18" s="833"/>
      <c r="BD18" s="833"/>
      <c r="BE18" s="833"/>
      <c r="BF18" s="833"/>
      <c r="BG18" s="833"/>
      <c r="BH18" s="833"/>
      <c r="BI18" s="833"/>
      <c r="BJ18" s="833"/>
      <c r="BK18" s="833"/>
    </row>
    <row r="19" spans="2:63" ht="13.9" customHeight="1" x14ac:dyDescent="0.2">
      <c r="C19" s="852"/>
      <c r="D19" s="853" t="s">
        <v>220</v>
      </c>
      <c r="E19" s="853" t="s">
        <v>34</v>
      </c>
      <c r="F19" s="853"/>
      <c r="G19" s="853"/>
      <c r="H19" s="854" t="s">
        <v>659</v>
      </c>
      <c r="I19" s="855">
        <v>1</v>
      </c>
      <c r="J19" s="856">
        <v>40</v>
      </c>
      <c r="K19" s="857">
        <v>11</v>
      </c>
      <c r="L19" s="858">
        <f t="shared" si="0"/>
        <v>440</v>
      </c>
      <c r="M19" s="844"/>
      <c r="N19" s="859"/>
      <c r="O19" s="860"/>
      <c r="P19" s="861"/>
      <c r="Q19" s="862"/>
      <c r="R19" s="1674"/>
      <c r="S19" s="844"/>
      <c r="T19" s="844"/>
      <c r="U19" s="844"/>
      <c r="V19" s="844"/>
      <c r="W19" s="844"/>
      <c r="X19" s="844"/>
      <c r="Y19" s="844"/>
      <c r="Z19" s="844"/>
      <c r="AA19" s="844"/>
      <c r="AB19" s="833"/>
      <c r="AC19" s="833"/>
      <c r="AD19" s="833"/>
      <c r="AE19" s="833"/>
      <c r="AF19" s="833"/>
      <c r="AG19" s="833"/>
      <c r="AH19" s="833"/>
      <c r="AI19" s="833"/>
      <c r="AJ19" s="833"/>
      <c r="AK19" s="833"/>
      <c r="AL19" s="833"/>
      <c r="AM19" s="833"/>
      <c r="AN19" s="833"/>
      <c r="AO19" s="833"/>
      <c r="AP19" s="833"/>
      <c r="AQ19" s="833"/>
      <c r="AR19" s="833"/>
      <c r="AS19" s="833"/>
      <c r="AT19" s="833"/>
      <c r="AU19" s="833"/>
      <c r="AV19" s="833"/>
      <c r="AW19" s="833"/>
      <c r="AX19" s="833"/>
      <c r="AY19" s="833"/>
      <c r="AZ19" s="833"/>
      <c r="BA19" s="833"/>
      <c r="BB19" s="833"/>
      <c r="BC19" s="833"/>
      <c r="BD19" s="833"/>
      <c r="BE19" s="833"/>
      <c r="BF19" s="833"/>
      <c r="BG19" s="833"/>
      <c r="BH19" s="833"/>
      <c r="BI19" s="833"/>
      <c r="BJ19" s="833"/>
      <c r="BK19" s="833"/>
    </row>
    <row r="20" spans="2:63" x14ac:dyDescent="0.2">
      <c r="C20" s="852"/>
      <c r="D20" s="853" t="s">
        <v>221</v>
      </c>
      <c r="E20" s="853" t="s">
        <v>34</v>
      </c>
      <c r="F20" s="853"/>
      <c r="G20" s="853"/>
      <c r="H20" s="854" t="s">
        <v>659</v>
      </c>
      <c r="I20" s="863">
        <v>100</v>
      </c>
      <c r="J20" s="864">
        <v>1</v>
      </c>
      <c r="K20" s="865">
        <v>11</v>
      </c>
      <c r="L20" s="858">
        <f t="shared" si="0"/>
        <v>1100</v>
      </c>
      <c r="M20" s="844"/>
      <c r="N20" s="859"/>
      <c r="O20" s="860"/>
      <c r="P20" s="861"/>
      <c r="Q20" s="862"/>
      <c r="R20" s="1674"/>
      <c r="S20" s="844"/>
      <c r="T20" s="844"/>
      <c r="U20" s="844"/>
      <c r="V20" s="844"/>
      <c r="W20" s="844"/>
      <c r="X20" s="844"/>
      <c r="Y20" s="844"/>
      <c r="Z20" s="844"/>
      <c r="AA20" s="844"/>
      <c r="AB20" s="833"/>
      <c r="AC20" s="833"/>
      <c r="AD20" s="833"/>
      <c r="AE20" s="833"/>
      <c r="AF20" s="833"/>
      <c r="AG20" s="833"/>
      <c r="AH20" s="833"/>
      <c r="AI20" s="833"/>
      <c r="AJ20" s="833"/>
      <c r="AK20" s="833"/>
      <c r="AL20" s="833"/>
      <c r="AM20" s="833"/>
      <c r="AN20" s="833"/>
      <c r="AO20" s="833"/>
      <c r="AP20" s="833"/>
      <c r="AQ20" s="833"/>
      <c r="AR20" s="833"/>
      <c r="AS20" s="833"/>
      <c r="AT20" s="833"/>
      <c r="AU20" s="833"/>
      <c r="AV20" s="833"/>
      <c r="AW20" s="833"/>
      <c r="AX20" s="833"/>
      <c r="AY20" s="833"/>
      <c r="AZ20" s="833"/>
      <c r="BA20" s="833"/>
      <c r="BB20" s="833"/>
      <c r="BC20" s="833"/>
      <c r="BD20" s="833"/>
      <c r="BE20" s="833"/>
      <c r="BF20" s="833"/>
      <c r="BG20" s="833"/>
      <c r="BH20" s="833"/>
      <c r="BI20" s="833"/>
      <c r="BJ20" s="833"/>
      <c r="BK20" s="833"/>
    </row>
    <row r="21" spans="2:63" x14ac:dyDescent="0.2">
      <c r="C21" s="852"/>
      <c r="D21" s="853" t="s">
        <v>222</v>
      </c>
      <c r="E21" s="853" t="s">
        <v>34</v>
      </c>
      <c r="F21" s="853"/>
      <c r="G21" s="853"/>
      <c r="H21" s="854" t="s">
        <v>659</v>
      </c>
      <c r="I21" s="863">
        <v>4</v>
      </c>
      <c r="J21" s="864">
        <v>20</v>
      </c>
      <c r="K21" s="865">
        <v>14</v>
      </c>
      <c r="L21" s="858">
        <f t="shared" si="0"/>
        <v>1120</v>
      </c>
      <c r="M21" s="844"/>
      <c r="N21" s="859"/>
      <c r="O21" s="860"/>
      <c r="P21" s="861"/>
      <c r="Q21" s="862"/>
      <c r="R21" s="1674"/>
      <c r="S21" s="844"/>
      <c r="T21" s="844"/>
      <c r="U21" s="844"/>
      <c r="V21" s="844"/>
      <c r="W21" s="844"/>
      <c r="X21" s="844"/>
      <c r="Y21" s="844"/>
      <c r="Z21" s="844"/>
      <c r="AA21" s="844"/>
      <c r="AB21" s="833"/>
      <c r="AC21" s="833"/>
      <c r="AD21" s="833"/>
      <c r="AE21" s="833"/>
      <c r="AF21" s="833"/>
      <c r="AG21" s="833"/>
      <c r="AH21" s="833"/>
      <c r="AI21" s="833"/>
      <c r="AJ21" s="833"/>
      <c r="AK21" s="833"/>
      <c r="AL21" s="833"/>
      <c r="AM21" s="833"/>
      <c r="AN21" s="833"/>
      <c r="AO21" s="833"/>
      <c r="AP21" s="833"/>
      <c r="AQ21" s="833"/>
      <c r="AR21" s="833"/>
      <c r="AS21" s="833"/>
      <c r="AT21" s="833"/>
      <c r="AU21" s="833"/>
      <c r="AV21" s="833"/>
      <c r="AW21" s="833"/>
      <c r="AX21" s="833"/>
      <c r="AY21" s="833"/>
      <c r="AZ21" s="833"/>
      <c r="BA21" s="833"/>
      <c r="BB21" s="833"/>
      <c r="BC21" s="833"/>
      <c r="BD21" s="833"/>
      <c r="BE21" s="833"/>
      <c r="BF21" s="833"/>
      <c r="BG21" s="833"/>
      <c r="BH21" s="833"/>
      <c r="BI21" s="833"/>
      <c r="BJ21" s="833"/>
      <c r="BK21" s="833"/>
    </row>
    <row r="22" spans="2:63" x14ac:dyDescent="0.2">
      <c r="C22" s="852"/>
      <c r="D22" s="853" t="s">
        <v>223</v>
      </c>
      <c r="E22" s="853" t="s">
        <v>34</v>
      </c>
      <c r="F22" s="853"/>
      <c r="G22" s="853"/>
      <c r="H22" s="854" t="s">
        <v>659</v>
      </c>
      <c r="I22" s="863">
        <v>160</v>
      </c>
      <c r="J22" s="864">
        <v>1.2</v>
      </c>
      <c r="K22" s="865">
        <v>2</v>
      </c>
      <c r="L22" s="858">
        <f t="shared" si="0"/>
        <v>384</v>
      </c>
      <c r="M22" s="844"/>
      <c r="N22" s="859"/>
      <c r="O22" s="860"/>
      <c r="P22" s="861"/>
      <c r="Q22" s="862"/>
      <c r="R22" s="1674"/>
      <c r="S22" s="844"/>
      <c r="T22" s="844"/>
      <c r="U22" s="844"/>
      <c r="V22" s="844"/>
      <c r="W22" s="844"/>
      <c r="X22" s="844"/>
      <c r="Y22" s="844"/>
      <c r="Z22" s="844"/>
      <c r="AA22" s="844"/>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3"/>
      <c r="AY22" s="833"/>
      <c r="AZ22" s="833"/>
      <c r="BA22" s="833"/>
      <c r="BB22" s="833"/>
      <c r="BC22" s="833"/>
      <c r="BD22" s="833"/>
      <c r="BE22" s="833"/>
      <c r="BF22" s="833"/>
      <c r="BG22" s="833"/>
      <c r="BH22" s="833"/>
      <c r="BI22" s="833"/>
      <c r="BJ22" s="833"/>
      <c r="BK22" s="833"/>
    </row>
    <row r="23" spans="2:63" x14ac:dyDescent="0.2">
      <c r="C23" s="852"/>
      <c r="D23" s="853" t="s">
        <v>224</v>
      </c>
      <c r="E23" s="853" t="s">
        <v>34</v>
      </c>
      <c r="F23" s="853"/>
      <c r="G23" s="853"/>
      <c r="H23" s="854" t="s">
        <v>659</v>
      </c>
      <c r="I23" s="863">
        <v>50</v>
      </c>
      <c r="J23" s="864">
        <v>1.2</v>
      </c>
      <c r="K23" s="865">
        <v>1</v>
      </c>
      <c r="L23" s="858">
        <f t="shared" si="0"/>
        <v>60</v>
      </c>
      <c r="M23" s="844"/>
      <c r="N23" s="859"/>
      <c r="O23" s="860"/>
      <c r="P23" s="861"/>
      <c r="Q23" s="862"/>
      <c r="R23" s="1674"/>
      <c r="S23" s="844"/>
      <c r="T23" s="844"/>
      <c r="U23" s="844"/>
      <c r="V23" s="844"/>
      <c r="W23" s="844"/>
      <c r="X23" s="844"/>
      <c r="Y23" s="844"/>
      <c r="Z23" s="844"/>
      <c r="AA23" s="844"/>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833"/>
      <c r="BB23" s="833"/>
      <c r="BC23" s="833"/>
      <c r="BD23" s="833"/>
      <c r="BE23" s="833"/>
      <c r="BF23" s="833"/>
      <c r="BG23" s="833"/>
      <c r="BH23" s="833"/>
      <c r="BI23" s="833"/>
      <c r="BJ23" s="833"/>
      <c r="BK23" s="833"/>
    </row>
    <row r="24" spans="2:63" x14ac:dyDescent="0.2">
      <c r="C24" s="852"/>
      <c r="D24" s="853" t="s">
        <v>225</v>
      </c>
      <c r="E24" s="853" t="s">
        <v>34</v>
      </c>
      <c r="F24" s="853"/>
      <c r="G24" s="853"/>
      <c r="H24" s="854" t="s">
        <v>659</v>
      </c>
      <c r="I24" s="863">
        <v>1</v>
      </c>
      <c r="J24" s="864">
        <v>40</v>
      </c>
      <c r="K24" s="865">
        <v>6</v>
      </c>
      <c r="L24" s="858">
        <f t="shared" si="0"/>
        <v>240</v>
      </c>
      <c r="M24" s="844"/>
      <c r="N24" s="859"/>
      <c r="O24" s="860"/>
      <c r="P24" s="861"/>
      <c r="Q24" s="862"/>
      <c r="R24" s="1674"/>
      <c r="S24" s="844"/>
      <c r="T24" s="844"/>
      <c r="U24" s="844"/>
      <c r="V24" s="844"/>
      <c r="W24" s="844"/>
      <c r="X24" s="844"/>
      <c r="Y24" s="844"/>
      <c r="Z24" s="844"/>
      <c r="AA24" s="844"/>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833"/>
      <c r="BB24" s="833"/>
      <c r="BC24" s="833"/>
      <c r="BD24" s="833"/>
      <c r="BE24" s="833"/>
      <c r="BF24" s="833"/>
      <c r="BG24" s="833"/>
      <c r="BH24" s="833"/>
      <c r="BI24" s="833"/>
      <c r="BJ24" s="833"/>
      <c r="BK24" s="833"/>
    </row>
    <row r="25" spans="2:63" x14ac:dyDescent="0.2">
      <c r="C25" s="852"/>
      <c r="D25" s="853" t="s">
        <v>226</v>
      </c>
      <c r="E25" s="853" t="s">
        <v>34</v>
      </c>
      <c r="F25" s="853"/>
      <c r="G25" s="853"/>
      <c r="H25" s="854" t="s">
        <v>659</v>
      </c>
      <c r="I25" s="863">
        <v>5</v>
      </c>
      <c r="J25" s="864">
        <v>10</v>
      </c>
      <c r="K25" s="865">
        <v>1</v>
      </c>
      <c r="L25" s="858">
        <f t="shared" si="0"/>
        <v>50</v>
      </c>
      <c r="M25" s="844"/>
      <c r="N25" s="859"/>
      <c r="O25" s="860"/>
      <c r="P25" s="861"/>
      <c r="Q25" s="862"/>
      <c r="R25" s="1674"/>
      <c r="S25" s="844"/>
      <c r="T25" s="844"/>
      <c r="U25" s="844"/>
      <c r="V25" s="844"/>
      <c r="W25" s="844"/>
      <c r="X25" s="844"/>
      <c r="Y25" s="844"/>
      <c r="Z25" s="844"/>
      <c r="AA25" s="844"/>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833"/>
      <c r="BK25" s="833"/>
    </row>
    <row r="26" spans="2:63" x14ac:dyDescent="0.2">
      <c r="C26" s="852"/>
      <c r="D26" s="853" t="s">
        <v>227</v>
      </c>
      <c r="E26" s="853" t="s">
        <v>34</v>
      </c>
      <c r="F26" s="853"/>
      <c r="G26" s="853"/>
      <c r="H26" s="854" t="s">
        <v>659</v>
      </c>
      <c r="I26" s="863">
        <v>1</v>
      </c>
      <c r="J26" s="866">
        <v>1000</v>
      </c>
      <c r="K26" s="867">
        <v>12</v>
      </c>
      <c r="L26" s="868">
        <f t="shared" si="0"/>
        <v>12000</v>
      </c>
      <c r="M26" s="844"/>
      <c r="N26" s="859"/>
      <c r="O26" s="860"/>
      <c r="P26" s="861"/>
      <c r="Q26" s="862"/>
      <c r="R26" s="1674"/>
      <c r="S26" s="844"/>
      <c r="T26" s="844"/>
      <c r="U26" s="844"/>
      <c r="V26" s="844"/>
      <c r="W26" s="844"/>
      <c r="X26" s="844"/>
      <c r="Y26" s="844"/>
      <c r="Z26" s="844"/>
      <c r="AA26" s="844"/>
      <c r="AB26" s="833"/>
      <c r="AC26" s="833"/>
      <c r="AD26" s="833"/>
      <c r="AE26" s="833"/>
      <c r="AF26" s="833"/>
      <c r="AG26" s="833"/>
      <c r="AH26" s="833"/>
      <c r="AI26" s="833"/>
      <c r="AJ26" s="833"/>
      <c r="AK26" s="833"/>
      <c r="AL26" s="833"/>
      <c r="AM26" s="833"/>
      <c r="AN26" s="833"/>
      <c r="AO26" s="833"/>
      <c r="AP26" s="833"/>
      <c r="AQ26" s="833"/>
      <c r="AR26" s="833"/>
      <c r="AS26" s="833"/>
      <c r="AT26" s="833"/>
      <c r="AU26" s="833"/>
      <c r="AV26" s="833"/>
      <c r="AW26" s="833"/>
      <c r="AX26" s="833"/>
      <c r="AY26" s="833"/>
      <c r="AZ26" s="833"/>
      <c r="BA26" s="833"/>
      <c r="BB26" s="833"/>
      <c r="BC26" s="833"/>
      <c r="BD26" s="833"/>
      <c r="BE26" s="833"/>
      <c r="BF26" s="833"/>
      <c r="BG26" s="833"/>
      <c r="BH26" s="833"/>
      <c r="BI26" s="833"/>
      <c r="BJ26" s="833"/>
      <c r="BK26" s="833"/>
    </row>
    <row r="27" spans="2:63" x14ac:dyDescent="0.2">
      <c r="C27" s="852"/>
      <c r="D27" s="853" t="s">
        <v>228</v>
      </c>
      <c r="E27" s="853" t="s">
        <v>34</v>
      </c>
      <c r="F27" s="853"/>
      <c r="G27" s="853"/>
      <c r="H27" s="854" t="s">
        <v>659</v>
      </c>
      <c r="I27" s="863">
        <v>1</v>
      </c>
      <c r="J27" s="866">
        <v>600</v>
      </c>
      <c r="K27" s="867">
        <v>12</v>
      </c>
      <c r="L27" s="868">
        <f t="shared" si="0"/>
        <v>7200</v>
      </c>
      <c r="M27" s="844"/>
      <c r="N27" s="859"/>
      <c r="O27" s="860"/>
      <c r="P27" s="861"/>
      <c r="Q27" s="862"/>
      <c r="R27" s="1674"/>
      <c r="S27" s="844"/>
      <c r="T27" s="844"/>
      <c r="U27" s="844"/>
      <c r="V27" s="844"/>
      <c r="W27" s="844"/>
      <c r="X27" s="844"/>
      <c r="Y27" s="844"/>
      <c r="Z27" s="844"/>
      <c r="AA27" s="844"/>
      <c r="AB27" s="833"/>
      <c r="AC27" s="833"/>
      <c r="AD27" s="833"/>
      <c r="AE27" s="833"/>
      <c r="AF27" s="833"/>
      <c r="AG27" s="833"/>
      <c r="AH27" s="833"/>
      <c r="AI27" s="833"/>
      <c r="AJ27" s="833"/>
      <c r="AK27" s="833"/>
      <c r="AL27" s="833"/>
      <c r="AM27" s="833"/>
      <c r="AN27" s="833"/>
      <c r="AO27" s="833"/>
      <c r="AP27" s="833"/>
      <c r="AQ27" s="833"/>
      <c r="AR27" s="833"/>
      <c r="AS27" s="833"/>
      <c r="AT27" s="833"/>
      <c r="AU27" s="833"/>
      <c r="AV27" s="833"/>
      <c r="AW27" s="833"/>
      <c r="AX27" s="833"/>
      <c r="AY27" s="833"/>
      <c r="AZ27" s="833"/>
      <c r="BA27" s="833"/>
      <c r="BB27" s="833"/>
      <c r="BC27" s="833"/>
      <c r="BD27" s="833"/>
      <c r="BE27" s="833"/>
      <c r="BF27" s="833"/>
      <c r="BG27" s="833"/>
      <c r="BH27" s="833"/>
      <c r="BI27" s="833"/>
      <c r="BJ27" s="833"/>
      <c r="BK27" s="833"/>
    </row>
    <row r="28" spans="2:63" ht="30" customHeight="1" x14ac:dyDescent="0.2">
      <c r="B28" s="869" t="s">
        <v>660</v>
      </c>
      <c r="C28" s="852"/>
      <c r="D28" s="870"/>
      <c r="E28" s="870"/>
      <c r="F28" s="870"/>
      <c r="G28" s="870"/>
      <c r="H28" s="871" t="s">
        <v>0</v>
      </c>
      <c r="I28" s="871"/>
      <c r="J28" s="871"/>
      <c r="K28" s="871"/>
      <c r="L28" s="872">
        <f>SUM(L16:L27)</f>
        <v>39069</v>
      </c>
      <c r="M28" s="873">
        <v>30</v>
      </c>
      <c r="N28" s="874">
        <f>L28*M28/100</f>
        <v>11720.7</v>
      </c>
      <c r="O28" s="875"/>
      <c r="P28" s="876">
        <v>35982.26999999999</v>
      </c>
      <c r="Q28" s="877">
        <f>P28/L28</f>
        <v>0.9209928587882974</v>
      </c>
      <c r="R28" s="1675"/>
      <c r="S28" s="844"/>
      <c r="T28" s="844"/>
      <c r="U28" s="844"/>
      <c r="V28" s="844"/>
      <c r="W28" s="844"/>
      <c r="X28" s="844"/>
      <c r="Y28" s="844"/>
      <c r="Z28" s="844"/>
      <c r="AA28" s="878" t="s">
        <v>661</v>
      </c>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833"/>
      <c r="AZ28" s="833"/>
      <c r="BA28" s="833"/>
      <c r="BB28" s="833"/>
      <c r="BC28" s="833"/>
      <c r="BD28" s="833"/>
      <c r="BE28" s="833"/>
      <c r="BF28" s="833"/>
      <c r="BG28" s="833"/>
      <c r="BH28" s="833"/>
      <c r="BI28" s="833"/>
      <c r="BJ28" s="833"/>
      <c r="BK28" s="833"/>
    </row>
    <row r="29" spans="2:63" ht="12.75" customHeight="1" x14ac:dyDescent="0.2">
      <c r="C29" s="852"/>
      <c r="D29" s="847" t="s">
        <v>229</v>
      </c>
      <c r="E29" s="848"/>
      <c r="F29" s="848"/>
      <c r="G29" s="848"/>
      <c r="H29" s="848"/>
      <c r="I29" s="848"/>
      <c r="J29" s="848"/>
      <c r="K29" s="848"/>
      <c r="L29" s="849"/>
      <c r="M29" s="844"/>
      <c r="N29" s="859"/>
      <c r="O29" s="879"/>
      <c r="P29" s="880"/>
      <c r="Q29" s="881"/>
      <c r="R29" s="1676"/>
      <c r="S29" s="844"/>
      <c r="T29" s="844"/>
      <c r="U29" s="844"/>
      <c r="V29" s="844"/>
      <c r="W29" s="844"/>
      <c r="X29" s="844"/>
      <c r="Y29" s="844"/>
      <c r="Z29" s="844"/>
      <c r="AA29" s="844"/>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row>
    <row r="30" spans="2:63" x14ac:dyDescent="0.2">
      <c r="C30" s="852"/>
      <c r="D30" s="853" t="s">
        <v>230</v>
      </c>
      <c r="E30" s="853" t="s">
        <v>34</v>
      </c>
      <c r="F30" s="853"/>
      <c r="G30" s="853"/>
      <c r="H30" s="854" t="s">
        <v>659</v>
      </c>
      <c r="I30" s="855">
        <v>2</v>
      </c>
      <c r="J30" s="882">
        <v>450</v>
      </c>
      <c r="K30" s="857">
        <v>12</v>
      </c>
      <c r="L30" s="868">
        <f>I30*J30*K30</f>
        <v>10800</v>
      </c>
      <c r="M30" s="844"/>
      <c r="N30" s="859"/>
      <c r="O30" s="860"/>
      <c r="P30" s="861"/>
      <c r="Q30" s="862"/>
      <c r="R30" s="1677"/>
      <c r="S30" s="844"/>
      <c r="T30" s="844"/>
      <c r="U30" s="844"/>
      <c r="V30" s="844"/>
      <c r="W30" s="844"/>
      <c r="X30" s="844"/>
      <c r="Y30" s="844"/>
      <c r="Z30" s="844"/>
      <c r="AA30" s="844"/>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3"/>
      <c r="BI30" s="833"/>
      <c r="BJ30" s="833"/>
      <c r="BK30" s="833"/>
    </row>
    <row r="31" spans="2:63" x14ac:dyDescent="0.2">
      <c r="C31" s="852"/>
      <c r="D31" s="853" t="s">
        <v>231</v>
      </c>
      <c r="E31" s="853" t="s">
        <v>34</v>
      </c>
      <c r="F31" s="853"/>
      <c r="G31" s="853"/>
      <c r="H31" s="854" t="s">
        <v>659</v>
      </c>
      <c r="I31" s="855">
        <v>20</v>
      </c>
      <c r="J31" s="883">
        <v>20</v>
      </c>
      <c r="K31" s="857">
        <v>10</v>
      </c>
      <c r="L31" s="868">
        <f t="shared" ref="L31:L40" si="1">I31*J31*K31</f>
        <v>4000</v>
      </c>
      <c r="M31" s="844"/>
      <c r="N31" s="859"/>
      <c r="O31" s="860"/>
      <c r="P31" s="861"/>
      <c r="Q31" s="862"/>
      <c r="R31" s="1677"/>
      <c r="S31" s="844"/>
      <c r="T31" s="844"/>
      <c r="U31" s="844"/>
      <c r="V31" s="844"/>
      <c r="W31" s="844"/>
      <c r="X31" s="844"/>
      <c r="Y31" s="844"/>
      <c r="Z31" s="844"/>
      <c r="AA31" s="844"/>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row>
    <row r="32" spans="2:63" x14ac:dyDescent="0.2">
      <c r="C32" s="852"/>
      <c r="D32" s="853" t="s">
        <v>232</v>
      </c>
      <c r="E32" s="853" t="s">
        <v>34</v>
      </c>
      <c r="F32" s="853"/>
      <c r="G32" s="853"/>
      <c r="H32" s="854" t="s">
        <v>659</v>
      </c>
      <c r="I32" s="855">
        <v>4</v>
      </c>
      <c r="J32" s="883">
        <v>15</v>
      </c>
      <c r="K32" s="857">
        <v>5</v>
      </c>
      <c r="L32" s="868">
        <f t="shared" si="1"/>
        <v>300</v>
      </c>
      <c r="M32" s="844"/>
      <c r="N32" s="859"/>
      <c r="O32" s="860"/>
      <c r="P32" s="861"/>
      <c r="Q32" s="862"/>
      <c r="R32" s="1677"/>
      <c r="S32" s="844"/>
      <c r="T32" s="844"/>
      <c r="U32" s="844"/>
      <c r="V32" s="844"/>
      <c r="W32" s="844"/>
      <c r="X32" s="844"/>
      <c r="Y32" s="844"/>
      <c r="Z32" s="844"/>
      <c r="AA32" s="844"/>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833"/>
      <c r="AZ32" s="833"/>
      <c r="BA32" s="833"/>
      <c r="BB32" s="833"/>
      <c r="BC32" s="833"/>
      <c r="BD32" s="833"/>
      <c r="BE32" s="833"/>
      <c r="BF32" s="833"/>
      <c r="BG32" s="833"/>
      <c r="BH32" s="833"/>
      <c r="BI32" s="833"/>
      <c r="BJ32" s="833"/>
      <c r="BK32" s="833"/>
    </row>
    <row r="33" spans="2:63" x14ac:dyDescent="0.2">
      <c r="C33" s="852"/>
      <c r="D33" s="853" t="s">
        <v>233</v>
      </c>
      <c r="E33" s="853" t="s">
        <v>34</v>
      </c>
      <c r="F33" s="853"/>
      <c r="G33" s="853"/>
      <c r="H33" s="854" t="s">
        <v>659</v>
      </c>
      <c r="I33" s="855">
        <v>40</v>
      </c>
      <c r="J33" s="883">
        <v>7.5</v>
      </c>
      <c r="K33" s="857">
        <v>5</v>
      </c>
      <c r="L33" s="868">
        <f t="shared" si="1"/>
        <v>1500</v>
      </c>
      <c r="M33" s="844"/>
      <c r="N33" s="859"/>
      <c r="O33" s="860"/>
      <c r="P33" s="861"/>
      <c r="Q33" s="862"/>
      <c r="R33" s="1677"/>
      <c r="S33" s="844"/>
      <c r="T33" s="844"/>
      <c r="U33" s="844"/>
      <c r="V33" s="844"/>
      <c r="W33" s="844"/>
      <c r="X33" s="844"/>
      <c r="Y33" s="844"/>
      <c r="Z33" s="844"/>
      <c r="AA33" s="844"/>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row>
    <row r="34" spans="2:63" x14ac:dyDescent="0.2">
      <c r="C34" s="852"/>
      <c r="D34" s="853" t="s">
        <v>594</v>
      </c>
      <c r="E34" s="452" t="s">
        <v>34</v>
      </c>
      <c r="F34" s="452"/>
      <c r="G34" s="452"/>
      <c r="H34" s="884" t="s">
        <v>659</v>
      </c>
      <c r="I34" s="885">
        <v>40</v>
      </c>
      <c r="J34" s="886">
        <v>1.5</v>
      </c>
      <c r="K34" s="887">
        <v>5</v>
      </c>
      <c r="L34" s="868">
        <f t="shared" si="1"/>
        <v>300</v>
      </c>
      <c r="M34" s="844"/>
      <c r="N34" s="859"/>
      <c r="O34" s="860"/>
      <c r="P34" s="861"/>
      <c r="Q34" s="862"/>
      <c r="R34" s="1677"/>
      <c r="S34" s="844"/>
      <c r="T34" s="844"/>
      <c r="U34" s="844"/>
      <c r="V34" s="844"/>
      <c r="W34" s="844"/>
      <c r="X34" s="844"/>
      <c r="Y34" s="844"/>
      <c r="Z34" s="844"/>
      <c r="AA34" s="844"/>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row>
    <row r="35" spans="2:63" x14ac:dyDescent="0.2">
      <c r="C35" s="852"/>
      <c r="D35" s="853" t="s">
        <v>234</v>
      </c>
      <c r="E35" s="853" t="s">
        <v>34</v>
      </c>
      <c r="F35" s="853"/>
      <c r="G35" s="853"/>
      <c r="H35" s="854" t="s">
        <v>659</v>
      </c>
      <c r="I35" s="863">
        <v>160</v>
      </c>
      <c r="J35" s="888">
        <v>1.2</v>
      </c>
      <c r="K35" s="865">
        <v>5</v>
      </c>
      <c r="L35" s="868">
        <f t="shared" si="1"/>
        <v>960</v>
      </c>
      <c r="M35" s="844"/>
      <c r="N35" s="859"/>
      <c r="O35" s="860"/>
      <c r="P35" s="861"/>
      <c r="Q35" s="862"/>
      <c r="R35" s="1677"/>
      <c r="S35" s="844"/>
      <c r="T35" s="844"/>
      <c r="U35" s="844"/>
      <c r="V35" s="844"/>
      <c r="W35" s="844"/>
      <c r="X35" s="844"/>
      <c r="Y35" s="844"/>
      <c r="Z35" s="844"/>
      <c r="AA35" s="844"/>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833"/>
      <c r="AZ35" s="833"/>
      <c r="BA35" s="833"/>
      <c r="BB35" s="833"/>
      <c r="BC35" s="833"/>
      <c r="BD35" s="833"/>
      <c r="BE35" s="833"/>
      <c r="BF35" s="833"/>
      <c r="BG35" s="833"/>
      <c r="BH35" s="833"/>
      <c r="BI35" s="833"/>
      <c r="BJ35" s="833"/>
      <c r="BK35" s="833"/>
    </row>
    <row r="36" spans="2:63" x14ac:dyDescent="0.2">
      <c r="C36" s="852"/>
      <c r="D36" s="853" t="s">
        <v>235</v>
      </c>
      <c r="E36" s="853" t="s">
        <v>34</v>
      </c>
      <c r="F36" s="853"/>
      <c r="G36" s="853"/>
      <c r="H36" s="854" t="s">
        <v>659</v>
      </c>
      <c r="I36" s="863">
        <v>36</v>
      </c>
      <c r="J36" s="888">
        <v>20</v>
      </c>
      <c r="K36" s="865">
        <v>5</v>
      </c>
      <c r="L36" s="868">
        <f t="shared" si="1"/>
        <v>3600</v>
      </c>
      <c r="M36" s="844"/>
      <c r="N36" s="859"/>
      <c r="O36" s="860"/>
      <c r="P36" s="861"/>
      <c r="Q36" s="862"/>
      <c r="R36" s="1677"/>
      <c r="S36" s="844"/>
      <c r="T36" s="844"/>
      <c r="U36" s="844"/>
      <c r="V36" s="844"/>
      <c r="W36" s="844"/>
      <c r="X36" s="844"/>
      <c r="Y36" s="844"/>
      <c r="Z36" s="844"/>
      <c r="AA36" s="844"/>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3"/>
      <c r="AZ36" s="833"/>
      <c r="BA36" s="833"/>
      <c r="BB36" s="833"/>
      <c r="BC36" s="833"/>
      <c r="BD36" s="833"/>
      <c r="BE36" s="833"/>
      <c r="BF36" s="833"/>
      <c r="BG36" s="833"/>
      <c r="BH36" s="833"/>
      <c r="BI36" s="833"/>
      <c r="BJ36" s="833"/>
      <c r="BK36" s="833"/>
    </row>
    <row r="37" spans="2:63" x14ac:dyDescent="0.2">
      <c r="C37" s="852"/>
      <c r="D37" s="853" t="s">
        <v>236</v>
      </c>
      <c r="E37" s="853" t="s">
        <v>34</v>
      </c>
      <c r="F37" s="853"/>
      <c r="G37" s="853"/>
      <c r="H37" s="854" t="s">
        <v>659</v>
      </c>
      <c r="I37" s="863">
        <v>4</v>
      </c>
      <c r="J37" s="888">
        <v>40</v>
      </c>
      <c r="K37" s="867">
        <v>5</v>
      </c>
      <c r="L37" s="868">
        <f t="shared" si="1"/>
        <v>800</v>
      </c>
      <c r="M37" s="844"/>
      <c r="N37" s="859"/>
      <c r="O37" s="860"/>
      <c r="P37" s="861"/>
      <c r="Q37" s="862"/>
      <c r="R37" s="1677"/>
      <c r="S37" s="844"/>
      <c r="T37" s="844"/>
      <c r="U37" s="844"/>
      <c r="V37" s="844"/>
      <c r="W37" s="844"/>
      <c r="X37" s="844"/>
      <c r="Y37" s="844"/>
      <c r="Z37" s="844"/>
      <c r="AA37" s="844"/>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833"/>
      <c r="BD37" s="833"/>
      <c r="BE37" s="833"/>
      <c r="BF37" s="833"/>
      <c r="BG37" s="833"/>
      <c r="BH37" s="833"/>
      <c r="BI37" s="833"/>
      <c r="BJ37" s="833"/>
      <c r="BK37" s="833"/>
    </row>
    <row r="38" spans="2:63" x14ac:dyDescent="0.2">
      <c r="C38" s="852"/>
      <c r="D38" s="853" t="s">
        <v>226</v>
      </c>
      <c r="E38" s="853" t="s">
        <v>34</v>
      </c>
      <c r="F38" s="853"/>
      <c r="G38" s="853"/>
      <c r="H38" s="854" t="s">
        <v>659</v>
      </c>
      <c r="I38" s="863">
        <v>1</v>
      </c>
      <c r="J38" s="888">
        <v>40</v>
      </c>
      <c r="K38" s="867">
        <v>5</v>
      </c>
      <c r="L38" s="868">
        <f t="shared" si="1"/>
        <v>200</v>
      </c>
      <c r="M38" s="844"/>
      <c r="N38" s="859"/>
      <c r="O38" s="860"/>
      <c r="P38" s="861"/>
      <c r="Q38" s="862"/>
      <c r="R38" s="1677"/>
      <c r="S38" s="844"/>
      <c r="T38" s="844"/>
      <c r="U38" s="844"/>
      <c r="V38" s="844"/>
      <c r="W38" s="844"/>
      <c r="X38" s="844"/>
      <c r="Y38" s="844"/>
      <c r="Z38" s="844"/>
      <c r="AA38" s="844"/>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row>
    <row r="39" spans="2:63" x14ac:dyDescent="0.2">
      <c r="C39" s="852"/>
      <c r="D39" s="853" t="s">
        <v>227</v>
      </c>
      <c r="E39" s="853" t="s">
        <v>34</v>
      </c>
      <c r="F39" s="853"/>
      <c r="G39" s="853"/>
      <c r="H39" s="854" t="s">
        <v>659</v>
      </c>
      <c r="I39" s="863">
        <v>1</v>
      </c>
      <c r="J39" s="866">
        <v>1000</v>
      </c>
      <c r="K39" s="867">
        <v>12</v>
      </c>
      <c r="L39" s="868">
        <f t="shared" si="1"/>
        <v>12000</v>
      </c>
      <c r="M39" s="844"/>
      <c r="N39" s="859"/>
      <c r="O39" s="860"/>
      <c r="P39" s="861"/>
      <c r="Q39" s="862"/>
      <c r="R39" s="1677"/>
      <c r="S39" s="844"/>
      <c r="T39" s="844"/>
      <c r="U39" s="844"/>
      <c r="V39" s="844"/>
      <c r="W39" s="844"/>
      <c r="X39" s="844"/>
      <c r="Y39" s="844"/>
      <c r="Z39" s="844"/>
      <c r="AA39" s="844"/>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833"/>
      <c r="AZ39" s="833"/>
      <c r="BA39" s="833"/>
      <c r="BB39" s="833"/>
      <c r="BC39" s="833"/>
      <c r="BD39" s="833"/>
      <c r="BE39" s="833"/>
      <c r="BF39" s="833"/>
      <c r="BG39" s="833"/>
      <c r="BH39" s="833"/>
      <c r="BI39" s="833"/>
      <c r="BJ39" s="833"/>
      <c r="BK39" s="833"/>
    </row>
    <row r="40" spans="2:63" x14ac:dyDescent="0.2">
      <c r="C40" s="852"/>
      <c r="D40" s="853" t="s">
        <v>237</v>
      </c>
      <c r="E40" s="853" t="s">
        <v>34</v>
      </c>
      <c r="F40" s="853"/>
      <c r="G40" s="853"/>
      <c r="H40" s="854" t="s">
        <v>659</v>
      </c>
      <c r="I40" s="863">
        <v>1</v>
      </c>
      <c r="J40" s="866">
        <v>600</v>
      </c>
      <c r="K40" s="867">
        <v>12</v>
      </c>
      <c r="L40" s="868">
        <f t="shared" si="1"/>
        <v>7200</v>
      </c>
      <c r="M40" s="844"/>
      <c r="N40" s="859"/>
      <c r="O40" s="860"/>
      <c r="P40" s="861"/>
      <c r="Q40" s="862"/>
      <c r="R40" s="1677"/>
      <c r="S40" s="844"/>
      <c r="T40" s="844"/>
      <c r="U40" s="844"/>
      <c r="V40" s="844"/>
      <c r="W40" s="844"/>
      <c r="X40" s="844"/>
      <c r="Y40" s="844"/>
      <c r="Z40" s="844"/>
      <c r="AA40" s="844"/>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3"/>
      <c r="BJ40" s="833"/>
      <c r="BK40" s="833"/>
    </row>
    <row r="41" spans="2:63" ht="34.5" customHeight="1" x14ac:dyDescent="0.2">
      <c r="B41" s="869" t="s">
        <v>662</v>
      </c>
      <c r="C41" s="852"/>
      <c r="D41" s="870"/>
      <c r="E41" s="870"/>
      <c r="F41" s="870"/>
      <c r="G41" s="870"/>
      <c r="H41" s="871"/>
      <c r="I41" s="871"/>
      <c r="J41" s="871"/>
      <c r="K41" s="871"/>
      <c r="L41" s="872">
        <f>SUM(L30:L40)</f>
        <v>41660</v>
      </c>
      <c r="M41" s="873">
        <v>50</v>
      </c>
      <c r="N41" s="874">
        <f>L41*M41/100</f>
        <v>20830</v>
      </c>
      <c r="O41" s="875"/>
      <c r="P41" s="876">
        <v>34255.040000000001</v>
      </c>
      <c r="Q41" s="889">
        <f>P41/L41</f>
        <v>0.82225252040326458</v>
      </c>
      <c r="R41" s="1678"/>
      <c r="S41" s="844"/>
      <c r="T41" s="844"/>
      <c r="U41" s="844"/>
      <c r="V41" s="844"/>
      <c r="W41" s="844"/>
      <c r="X41" s="844"/>
      <c r="Y41" s="844"/>
      <c r="Z41" s="844"/>
      <c r="AA41" s="878" t="s">
        <v>661</v>
      </c>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row>
    <row r="42" spans="2:63" x14ac:dyDescent="0.2">
      <c r="C42" s="852"/>
      <c r="D42" s="847" t="s">
        <v>238</v>
      </c>
      <c r="E42" s="848"/>
      <c r="F42" s="848"/>
      <c r="G42" s="848"/>
      <c r="H42" s="848"/>
      <c r="I42" s="848"/>
      <c r="J42" s="848"/>
      <c r="K42" s="848"/>
      <c r="L42" s="849"/>
      <c r="M42" s="844"/>
      <c r="N42" s="859"/>
      <c r="O42" s="879"/>
      <c r="P42" s="880"/>
      <c r="Q42" s="881"/>
      <c r="R42" s="1673"/>
      <c r="S42" s="844"/>
      <c r="T42" s="844"/>
      <c r="U42" s="844"/>
      <c r="V42" s="844"/>
      <c r="W42" s="844"/>
      <c r="X42" s="844"/>
      <c r="Y42" s="844"/>
      <c r="Z42" s="844"/>
      <c r="AA42" s="844"/>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833"/>
      <c r="AZ42" s="833"/>
      <c r="BA42" s="833"/>
      <c r="BB42" s="833"/>
      <c r="BC42" s="833"/>
      <c r="BD42" s="833"/>
      <c r="BE42" s="833"/>
      <c r="BF42" s="833"/>
      <c r="BG42" s="833"/>
      <c r="BH42" s="833"/>
      <c r="BI42" s="833"/>
      <c r="BJ42" s="833"/>
      <c r="BK42" s="833"/>
    </row>
    <row r="43" spans="2:63" x14ac:dyDescent="0.2">
      <c r="C43" s="852"/>
      <c r="D43" s="890" t="s">
        <v>239</v>
      </c>
      <c r="E43" s="452" t="s">
        <v>34</v>
      </c>
      <c r="F43" s="452"/>
      <c r="G43" s="452"/>
      <c r="H43" s="884" t="s">
        <v>659</v>
      </c>
      <c r="I43" s="891">
        <v>2</v>
      </c>
      <c r="J43" s="892">
        <v>300</v>
      </c>
      <c r="K43" s="893">
        <v>12</v>
      </c>
      <c r="L43" s="894">
        <f>I43*J43*K43</f>
        <v>7200</v>
      </c>
      <c r="M43" s="455"/>
      <c r="N43" s="456"/>
      <c r="O43" s="895"/>
      <c r="P43" s="861"/>
      <c r="Q43" s="896"/>
      <c r="R43" s="1679"/>
      <c r="S43" s="844"/>
      <c r="T43" s="844"/>
      <c r="U43" s="844"/>
      <c r="V43" s="844"/>
      <c r="W43" s="844"/>
      <c r="X43" s="844"/>
      <c r="Y43" s="844"/>
      <c r="Z43" s="844"/>
      <c r="AA43" s="844"/>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row>
    <row r="44" spans="2:63" x14ac:dyDescent="0.2">
      <c r="C44" s="852"/>
      <c r="D44" s="890" t="s">
        <v>240</v>
      </c>
      <c r="E44" s="452" t="s">
        <v>34</v>
      </c>
      <c r="F44" s="452"/>
      <c r="G44" s="452"/>
      <c r="H44" s="884" t="s">
        <v>659</v>
      </c>
      <c r="I44" s="891">
        <v>2</v>
      </c>
      <c r="J44" s="892">
        <v>250</v>
      </c>
      <c r="K44" s="893">
        <v>12</v>
      </c>
      <c r="L44" s="894">
        <f t="shared" ref="L44:L52" si="2">I44*J44*K44</f>
        <v>6000</v>
      </c>
      <c r="M44" s="455"/>
      <c r="N44" s="456"/>
      <c r="O44" s="895"/>
      <c r="P44" s="861"/>
      <c r="Q44" s="896"/>
      <c r="R44" s="1679"/>
      <c r="S44" s="844"/>
      <c r="T44" s="844"/>
      <c r="U44" s="844"/>
      <c r="V44" s="844"/>
      <c r="W44" s="844"/>
      <c r="X44" s="844"/>
      <c r="Y44" s="844"/>
      <c r="Z44" s="844"/>
      <c r="AA44" s="844"/>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833"/>
      <c r="AZ44" s="833"/>
      <c r="BA44" s="833"/>
      <c r="BB44" s="833"/>
      <c r="BC44" s="833"/>
      <c r="BD44" s="833"/>
      <c r="BE44" s="833"/>
      <c r="BF44" s="833"/>
      <c r="BG44" s="833"/>
      <c r="BH44" s="833"/>
      <c r="BI44" s="833"/>
      <c r="BJ44" s="833"/>
      <c r="BK44" s="833"/>
    </row>
    <row r="45" spans="2:63" x14ac:dyDescent="0.2">
      <c r="C45" s="852"/>
      <c r="D45" s="890" t="s">
        <v>241</v>
      </c>
      <c r="E45" s="452" t="s">
        <v>34</v>
      </c>
      <c r="F45" s="452"/>
      <c r="G45" s="452"/>
      <c r="H45" s="884" t="s">
        <v>659</v>
      </c>
      <c r="I45" s="891">
        <v>11</v>
      </c>
      <c r="J45" s="892">
        <v>10</v>
      </c>
      <c r="K45" s="893">
        <v>2</v>
      </c>
      <c r="L45" s="894">
        <f t="shared" si="2"/>
        <v>220</v>
      </c>
      <c r="M45" s="455"/>
      <c r="N45" s="456"/>
      <c r="O45" s="895"/>
      <c r="P45" s="861"/>
      <c r="Q45" s="896"/>
      <c r="R45" s="1679"/>
      <c r="S45" s="844"/>
      <c r="T45" s="844"/>
      <c r="U45" s="844"/>
      <c r="V45" s="844"/>
      <c r="W45" s="844"/>
      <c r="X45" s="844"/>
      <c r="Y45" s="844"/>
      <c r="Z45" s="844"/>
      <c r="AA45" s="844"/>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row>
    <row r="46" spans="2:63" x14ac:dyDescent="0.2">
      <c r="C46" s="852"/>
      <c r="D46" s="890" t="s">
        <v>242</v>
      </c>
      <c r="E46" s="452" t="s">
        <v>34</v>
      </c>
      <c r="F46" s="452"/>
      <c r="G46" s="452"/>
      <c r="H46" s="884" t="s">
        <v>659</v>
      </c>
      <c r="I46" s="891">
        <v>15</v>
      </c>
      <c r="J46" s="892">
        <v>5</v>
      </c>
      <c r="K46" s="893">
        <v>22</v>
      </c>
      <c r="L46" s="894">
        <f t="shared" si="2"/>
        <v>1650</v>
      </c>
      <c r="M46" s="455"/>
      <c r="N46" s="456"/>
      <c r="O46" s="895"/>
      <c r="P46" s="861"/>
      <c r="Q46" s="896"/>
      <c r="R46" s="1679"/>
      <c r="S46" s="844"/>
      <c r="T46" s="844"/>
      <c r="U46" s="844"/>
      <c r="V46" s="844"/>
      <c r="W46" s="844"/>
      <c r="X46" s="844"/>
      <c r="Y46" s="844"/>
      <c r="Z46" s="844"/>
      <c r="AA46" s="844"/>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833"/>
      <c r="AZ46" s="833"/>
      <c r="BA46" s="833"/>
      <c r="BB46" s="833"/>
      <c r="BC46" s="833"/>
      <c r="BD46" s="833"/>
      <c r="BE46" s="833"/>
      <c r="BF46" s="833"/>
      <c r="BG46" s="833"/>
      <c r="BH46" s="833"/>
      <c r="BI46" s="833"/>
      <c r="BJ46" s="833"/>
      <c r="BK46" s="833"/>
    </row>
    <row r="47" spans="2:63" x14ac:dyDescent="0.2">
      <c r="C47" s="852"/>
      <c r="D47" s="890" t="s">
        <v>595</v>
      </c>
      <c r="E47" s="452" t="s">
        <v>34</v>
      </c>
      <c r="F47" s="452"/>
      <c r="G47" s="452"/>
      <c r="H47" s="884" t="s">
        <v>659</v>
      </c>
      <c r="I47" s="891">
        <v>15</v>
      </c>
      <c r="J47" s="892">
        <v>7.5</v>
      </c>
      <c r="K47" s="893">
        <v>22</v>
      </c>
      <c r="L47" s="894">
        <f t="shared" si="2"/>
        <v>2475</v>
      </c>
      <c r="M47" s="455"/>
      <c r="N47" s="456"/>
      <c r="O47" s="895"/>
      <c r="P47" s="861"/>
      <c r="Q47" s="896"/>
      <c r="R47" s="1679"/>
      <c r="S47" s="844"/>
      <c r="T47" s="844"/>
      <c r="U47" s="844"/>
      <c r="V47" s="844"/>
      <c r="W47" s="844"/>
      <c r="X47" s="844"/>
      <c r="Y47" s="844"/>
      <c r="Z47" s="844"/>
      <c r="AA47" s="844"/>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3"/>
      <c r="AZ47" s="833"/>
      <c r="BA47" s="833"/>
      <c r="BB47" s="833"/>
      <c r="BC47" s="833"/>
      <c r="BD47" s="833"/>
      <c r="BE47" s="833"/>
      <c r="BF47" s="833"/>
      <c r="BG47" s="833"/>
      <c r="BH47" s="833"/>
      <c r="BI47" s="833"/>
      <c r="BJ47" s="833"/>
      <c r="BK47" s="833"/>
    </row>
    <row r="48" spans="2:63" x14ac:dyDescent="0.2">
      <c r="C48" s="852"/>
      <c r="D48" s="890" t="s">
        <v>273</v>
      </c>
      <c r="E48" s="452" t="s">
        <v>34</v>
      </c>
      <c r="F48" s="452"/>
      <c r="G48" s="452"/>
      <c r="H48" s="884" t="s">
        <v>659</v>
      </c>
      <c r="I48" s="891">
        <v>150</v>
      </c>
      <c r="J48" s="892">
        <v>1.2</v>
      </c>
      <c r="K48" s="893">
        <v>2</v>
      </c>
      <c r="L48" s="894">
        <f t="shared" si="2"/>
        <v>360</v>
      </c>
      <c r="M48" s="455"/>
      <c r="N48" s="456"/>
      <c r="O48" s="895"/>
      <c r="P48" s="861"/>
      <c r="Q48" s="896"/>
      <c r="R48" s="1679"/>
      <c r="S48" s="844"/>
      <c r="T48" s="844"/>
      <c r="U48" s="844"/>
      <c r="V48" s="844"/>
      <c r="W48" s="844"/>
      <c r="X48" s="844"/>
      <c r="Y48" s="844"/>
      <c r="Z48" s="844"/>
      <c r="AA48" s="844"/>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3"/>
      <c r="BE48" s="833"/>
      <c r="BF48" s="833"/>
      <c r="BG48" s="833"/>
      <c r="BH48" s="833"/>
      <c r="BI48" s="833"/>
      <c r="BJ48" s="833"/>
      <c r="BK48" s="833"/>
    </row>
    <row r="49" spans="2:63" x14ac:dyDescent="0.2">
      <c r="C49" s="852"/>
      <c r="D49" s="890" t="s">
        <v>244</v>
      </c>
      <c r="E49" s="452" t="s">
        <v>34</v>
      </c>
      <c r="F49" s="452"/>
      <c r="G49" s="452"/>
      <c r="H49" s="884" t="s">
        <v>659</v>
      </c>
      <c r="I49" s="891">
        <v>2</v>
      </c>
      <c r="J49" s="892">
        <v>20</v>
      </c>
      <c r="K49" s="893">
        <v>26</v>
      </c>
      <c r="L49" s="894">
        <f t="shared" si="2"/>
        <v>1040</v>
      </c>
      <c r="M49" s="455"/>
      <c r="N49" s="456"/>
      <c r="O49" s="895"/>
      <c r="P49" s="861"/>
      <c r="Q49" s="896"/>
      <c r="R49" s="1679"/>
      <c r="S49" s="844"/>
      <c r="T49" s="844"/>
      <c r="U49" s="844"/>
      <c r="V49" s="844"/>
      <c r="W49" s="844"/>
      <c r="X49" s="844"/>
      <c r="Y49" s="844"/>
      <c r="Z49" s="844"/>
      <c r="AA49" s="844"/>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3"/>
      <c r="BA49" s="833"/>
      <c r="BB49" s="833"/>
      <c r="BC49" s="833"/>
      <c r="BD49" s="833"/>
      <c r="BE49" s="833"/>
      <c r="BF49" s="833"/>
      <c r="BG49" s="833"/>
      <c r="BH49" s="833"/>
      <c r="BI49" s="833"/>
      <c r="BJ49" s="833"/>
      <c r="BK49" s="833"/>
    </row>
    <row r="50" spans="2:63" x14ac:dyDescent="0.2">
      <c r="C50" s="852"/>
      <c r="D50" s="890" t="s">
        <v>245</v>
      </c>
      <c r="E50" s="452" t="s">
        <v>34</v>
      </c>
      <c r="F50" s="452"/>
      <c r="G50" s="452"/>
      <c r="H50" s="884" t="s">
        <v>659</v>
      </c>
      <c r="I50" s="891">
        <v>1</v>
      </c>
      <c r="J50" s="892">
        <v>40</v>
      </c>
      <c r="K50" s="893">
        <v>10</v>
      </c>
      <c r="L50" s="894">
        <f t="shared" si="2"/>
        <v>400</v>
      </c>
      <c r="M50" s="455"/>
      <c r="N50" s="456"/>
      <c r="O50" s="895"/>
      <c r="P50" s="861"/>
      <c r="Q50" s="896"/>
      <c r="R50" s="1679"/>
      <c r="S50" s="844"/>
      <c r="T50" s="844"/>
      <c r="U50" s="844"/>
      <c r="V50" s="844"/>
      <c r="W50" s="844"/>
      <c r="X50" s="844"/>
      <c r="Y50" s="844"/>
      <c r="Z50" s="844"/>
      <c r="AA50" s="844"/>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833"/>
      <c r="AZ50" s="833"/>
      <c r="BA50" s="833"/>
      <c r="BB50" s="833"/>
      <c r="BC50" s="833"/>
      <c r="BD50" s="833"/>
      <c r="BE50" s="833"/>
      <c r="BF50" s="833"/>
      <c r="BG50" s="833"/>
      <c r="BH50" s="833"/>
      <c r="BI50" s="833"/>
      <c r="BJ50" s="833"/>
      <c r="BK50" s="833"/>
    </row>
    <row r="51" spans="2:63" x14ac:dyDescent="0.2">
      <c r="C51" s="852"/>
      <c r="D51" s="890" t="s">
        <v>226</v>
      </c>
      <c r="E51" s="452" t="s">
        <v>34</v>
      </c>
      <c r="F51" s="452"/>
      <c r="G51" s="452"/>
      <c r="H51" s="884" t="s">
        <v>659</v>
      </c>
      <c r="I51" s="891">
        <v>3</v>
      </c>
      <c r="J51" s="892">
        <v>10</v>
      </c>
      <c r="K51" s="893">
        <v>2</v>
      </c>
      <c r="L51" s="894">
        <f t="shared" si="2"/>
        <v>60</v>
      </c>
      <c r="M51" s="455"/>
      <c r="N51" s="456"/>
      <c r="O51" s="897"/>
      <c r="P51" s="898"/>
      <c r="Q51" s="899"/>
      <c r="R51" s="1680"/>
      <c r="S51" s="844"/>
      <c r="T51" s="844"/>
      <c r="U51" s="844"/>
      <c r="V51" s="844"/>
      <c r="W51" s="844"/>
      <c r="X51" s="844"/>
      <c r="Y51" s="844"/>
      <c r="Z51" s="844"/>
      <c r="AA51" s="844"/>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833"/>
      <c r="AZ51" s="833"/>
      <c r="BA51" s="833"/>
      <c r="BB51" s="833"/>
      <c r="BC51" s="833"/>
      <c r="BD51" s="833"/>
      <c r="BE51" s="833"/>
      <c r="BF51" s="833"/>
      <c r="BG51" s="833"/>
      <c r="BH51" s="833"/>
      <c r="BI51" s="833"/>
      <c r="BJ51" s="833"/>
      <c r="BK51" s="833"/>
    </row>
    <row r="52" spans="2:63" x14ac:dyDescent="0.2">
      <c r="C52" s="852"/>
      <c r="D52" s="462" t="s">
        <v>596</v>
      </c>
      <c r="E52" s="462" t="s">
        <v>34</v>
      </c>
      <c r="F52" s="462"/>
      <c r="G52" s="462"/>
      <c r="H52" s="493" t="s">
        <v>659</v>
      </c>
      <c r="I52" s="463">
        <v>1</v>
      </c>
      <c r="J52" s="900">
        <v>600</v>
      </c>
      <c r="K52" s="901">
        <v>12</v>
      </c>
      <c r="L52" s="894">
        <f t="shared" si="2"/>
        <v>7200</v>
      </c>
      <c r="M52" s="455"/>
      <c r="N52" s="456"/>
      <c r="O52" s="897"/>
      <c r="P52" s="898"/>
      <c r="Q52" s="899"/>
      <c r="R52" s="902"/>
      <c r="S52" s="844"/>
      <c r="T52" s="844"/>
      <c r="U52" s="844"/>
      <c r="V52" s="844"/>
      <c r="W52" s="844"/>
      <c r="X52" s="844"/>
      <c r="Y52" s="844"/>
      <c r="Z52" s="844"/>
      <c r="AA52" s="844"/>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833"/>
      <c r="AZ52" s="833"/>
      <c r="BA52" s="833"/>
      <c r="BB52" s="833"/>
      <c r="BC52" s="833"/>
      <c r="BD52" s="833"/>
      <c r="BE52" s="833"/>
      <c r="BF52" s="833"/>
      <c r="BG52" s="833"/>
      <c r="BH52" s="833"/>
      <c r="BI52" s="833"/>
      <c r="BJ52" s="833"/>
      <c r="BK52" s="833"/>
    </row>
    <row r="53" spans="2:63" ht="45" customHeight="1" x14ac:dyDescent="0.2">
      <c r="B53" s="869" t="s">
        <v>663</v>
      </c>
      <c r="C53" s="852"/>
      <c r="D53" s="457" t="s">
        <v>246</v>
      </c>
      <c r="E53" s="457"/>
      <c r="F53" s="457"/>
      <c r="G53" s="457"/>
      <c r="H53" s="458"/>
      <c r="I53" s="459"/>
      <c r="J53" s="903"/>
      <c r="K53" s="903"/>
      <c r="L53" s="904">
        <f>SUM(L43:L52)</f>
        <v>26605</v>
      </c>
      <c r="M53" s="460">
        <v>30</v>
      </c>
      <c r="N53" s="461">
        <f>L53*M53/100</f>
        <v>7981.5</v>
      </c>
      <c r="O53" s="461"/>
      <c r="P53" s="876">
        <v>22761.149999999998</v>
      </c>
      <c r="Q53" s="905">
        <f>P53/L53</f>
        <v>0.85552151851155789</v>
      </c>
      <c r="R53" s="906"/>
      <c r="S53" s="844"/>
      <c r="T53" s="844"/>
      <c r="U53" s="844"/>
      <c r="V53" s="844"/>
      <c r="W53" s="844"/>
      <c r="X53" s="844"/>
      <c r="Y53" s="844"/>
      <c r="Z53" s="844"/>
      <c r="AA53" s="878" t="s">
        <v>661</v>
      </c>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3"/>
      <c r="AY53" s="833"/>
      <c r="AZ53" s="833"/>
      <c r="BA53" s="833"/>
      <c r="BB53" s="833"/>
      <c r="BC53" s="833"/>
      <c r="BD53" s="833"/>
      <c r="BE53" s="833"/>
      <c r="BF53" s="833"/>
      <c r="BG53" s="833"/>
      <c r="BH53" s="833"/>
      <c r="BI53" s="833"/>
      <c r="BJ53" s="833"/>
      <c r="BK53" s="833"/>
    </row>
    <row r="54" spans="2:63" ht="13.9" customHeight="1" x14ac:dyDescent="0.2">
      <c r="C54" s="852"/>
      <c r="D54" s="847" t="s">
        <v>247</v>
      </c>
      <c r="E54" s="848"/>
      <c r="F54" s="848"/>
      <c r="G54" s="848"/>
      <c r="H54" s="848"/>
      <c r="I54" s="848"/>
      <c r="J54" s="848"/>
      <c r="K54" s="848"/>
      <c r="L54" s="849"/>
      <c r="M54" s="844"/>
      <c r="N54" s="859"/>
      <c r="O54" s="879"/>
      <c r="P54" s="880"/>
      <c r="Q54" s="881"/>
      <c r="R54" s="1673"/>
      <c r="S54" s="844"/>
      <c r="T54" s="844"/>
      <c r="U54" s="844"/>
      <c r="V54" s="844"/>
      <c r="W54" s="844"/>
      <c r="X54" s="844"/>
      <c r="Y54" s="844"/>
      <c r="Z54" s="844"/>
      <c r="AA54" s="844"/>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833"/>
      <c r="AZ54" s="833"/>
      <c r="BA54" s="833"/>
      <c r="BB54" s="833"/>
      <c r="BC54" s="833"/>
      <c r="BD54" s="833"/>
      <c r="BE54" s="833"/>
      <c r="BF54" s="833"/>
      <c r="BG54" s="833"/>
      <c r="BH54" s="833"/>
      <c r="BI54" s="833"/>
      <c r="BJ54" s="833"/>
      <c r="BK54" s="833"/>
    </row>
    <row r="55" spans="2:63" ht="22.9" customHeight="1" x14ac:dyDescent="0.2">
      <c r="C55" s="852"/>
      <c r="D55" s="890" t="s">
        <v>248</v>
      </c>
      <c r="E55" s="452" t="s">
        <v>34</v>
      </c>
      <c r="F55" s="452"/>
      <c r="G55" s="452"/>
      <c r="H55" s="884" t="s">
        <v>659</v>
      </c>
      <c r="I55" s="891">
        <v>11</v>
      </c>
      <c r="J55" s="892">
        <v>40</v>
      </c>
      <c r="K55" s="893">
        <v>2.5</v>
      </c>
      <c r="L55" s="907">
        <f>I55*J55*K55</f>
        <v>1100</v>
      </c>
      <c r="M55" s="455"/>
      <c r="N55" s="456"/>
      <c r="O55" s="895"/>
      <c r="P55" s="861"/>
      <c r="Q55" s="896"/>
      <c r="R55" s="1679"/>
      <c r="S55" s="844"/>
      <c r="T55" s="844"/>
      <c r="U55" s="844"/>
      <c r="V55" s="844"/>
      <c r="W55" s="844"/>
      <c r="X55" s="844"/>
      <c r="Y55" s="844"/>
      <c r="Z55" s="844"/>
      <c r="AA55" s="844"/>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833"/>
      <c r="AZ55" s="833"/>
      <c r="BA55" s="833"/>
      <c r="BB55" s="833"/>
      <c r="BC55" s="833"/>
      <c r="BD55" s="833"/>
      <c r="BE55" s="833"/>
      <c r="BF55" s="833"/>
      <c r="BG55" s="833"/>
      <c r="BH55" s="833"/>
      <c r="BI55" s="833"/>
      <c r="BJ55" s="833"/>
      <c r="BK55" s="833"/>
    </row>
    <row r="56" spans="2:63" ht="20.45" customHeight="1" x14ac:dyDescent="0.2">
      <c r="C56" s="852"/>
      <c r="D56" s="890" t="s">
        <v>244</v>
      </c>
      <c r="E56" s="452" t="s">
        <v>34</v>
      </c>
      <c r="F56" s="452"/>
      <c r="G56" s="452"/>
      <c r="H56" s="884" t="s">
        <v>659</v>
      </c>
      <c r="I56" s="891">
        <v>2</v>
      </c>
      <c r="J56" s="892">
        <v>20</v>
      </c>
      <c r="K56" s="893">
        <v>2</v>
      </c>
      <c r="L56" s="907">
        <f t="shared" ref="L56:L59" si="3">I56*J56*K56</f>
        <v>80</v>
      </c>
      <c r="M56" s="455"/>
      <c r="N56" s="456"/>
      <c r="O56" s="895"/>
      <c r="P56" s="861"/>
      <c r="Q56" s="896"/>
      <c r="R56" s="1679"/>
      <c r="S56" s="844"/>
      <c r="T56" s="844"/>
      <c r="U56" s="844"/>
      <c r="V56" s="844"/>
      <c r="W56" s="844"/>
      <c r="X56" s="844"/>
      <c r="Y56" s="844"/>
      <c r="Z56" s="844"/>
      <c r="AA56" s="844"/>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833"/>
      <c r="AZ56" s="833"/>
      <c r="BA56" s="833"/>
      <c r="BB56" s="833"/>
      <c r="BC56" s="833"/>
      <c r="BD56" s="833"/>
      <c r="BE56" s="833"/>
      <c r="BF56" s="833"/>
      <c r="BG56" s="833"/>
      <c r="BH56" s="833"/>
      <c r="BI56" s="833"/>
      <c r="BJ56" s="833"/>
      <c r="BK56" s="833"/>
    </row>
    <row r="57" spans="2:63" ht="20.45" customHeight="1" x14ac:dyDescent="0.2">
      <c r="C57" s="852"/>
      <c r="D57" s="890" t="s">
        <v>236</v>
      </c>
      <c r="E57" s="452" t="s">
        <v>34</v>
      </c>
      <c r="F57" s="452"/>
      <c r="G57" s="452"/>
      <c r="H57" s="884" t="s">
        <v>659</v>
      </c>
      <c r="I57" s="891">
        <v>1</v>
      </c>
      <c r="J57" s="892">
        <v>40</v>
      </c>
      <c r="K57" s="893">
        <v>1</v>
      </c>
      <c r="L57" s="907">
        <f t="shared" si="3"/>
        <v>40</v>
      </c>
      <c r="M57" s="455"/>
      <c r="N57" s="456"/>
      <c r="O57" s="895"/>
      <c r="P57" s="861"/>
      <c r="Q57" s="896"/>
      <c r="R57" s="1679"/>
      <c r="S57" s="844"/>
      <c r="T57" s="844"/>
      <c r="U57" s="844"/>
      <c r="V57" s="844"/>
      <c r="W57" s="844"/>
      <c r="X57" s="844"/>
      <c r="Y57" s="844"/>
      <c r="Z57" s="844"/>
      <c r="AA57" s="844"/>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833"/>
      <c r="AZ57" s="833"/>
      <c r="BA57" s="833"/>
      <c r="BB57" s="833"/>
      <c r="BC57" s="833"/>
      <c r="BD57" s="833"/>
      <c r="BE57" s="833"/>
      <c r="BF57" s="833"/>
      <c r="BG57" s="833"/>
      <c r="BH57" s="833"/>
      <c r="BI57" s="833"/>
      <c r="BJ57" s="833"/>
      <c r="BK57" s="833"/>
    </row>
    <row r="58" spans="2:63" x14ac:dyDescent="0.2">
      <c r="C58" s="852"/>
      <c r="D58" s="890" t="s">
        <v>226</v>
      </c>
      <c r="E58" s="452" t="s">
        <v>34</v>
      </c>
      <c r="F58" s="452"/>
      <c r="G58" s="452"/>
      <c r="H58" s="884" t="s">
        <v>659</v>
      </c>
      <c r="I58" s="891">
        <v>2</v>
      </c>
      <c r="J58" s="892">
        <v>10</v>
      </c>
      <c r="K58" s="893">
        <v>2</v>
      </c>
      <c r="L58" s="907">
        <f t="shared" si="3"/>
        <v>40</v>
      </c>
      <c r="M58" s="455"/>
      <c r="N58" s="456"/>
      <c r="O58" s="895"/>
      <c r="P58" s="861"/>
      <c r="Q58" s="896"/>
      <c r="R58" s="1679"/>
      <c r="S58" s="844"/>
      <c r="T58" s="844"/>
      <c r="U58" s="844"/>
      <c r="V58" s="844"/>
      <c r="W58" s="844"/>
      <c r="X58" s="844"/>
      <c r="Y58" s="844"/>
      <c r="Z58" s="844"/>
      <c r="AA58" s="844"/>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833"/>
      <c r="AZ58" s="833"/>
      <c r="BA58" s="833"/>
      <c r="BB58" s="833"/>
      <c r="BC58" s="833"/>
      <c r="BD58" s="833"/>
      <c r="BE58" s="833"/>
      <c r="BF58" s="833"/>
      <c r="BG58" s="833"/>
      <c r="BH58" s="833"/>
      <c r="BI58" s="833"/>
      <c r="BJ58" s="833"/>
      <c r="BK58" s="833"/>
    </row>
    <row r="59" spans="2:63" x14ac:dyDescent="0.2">
      <c r="C59" s="852"/>
      <c r="D59" s="891" t="s">
        <v>597</v>
      </c>
      <c r="E59" s="464" t="s">
        <v>34</v>
      </c>
      <c r="F59" s="464"/>
      <c r="G59" s="464"/>
      <c r="H59" s="493" t="s">
        <v>659</v>
      </c>
      <c r="I59" s="891">
        <v>1</v>
      </c>
      <c r="J59" s="892">
        <v>500</v>
      </c>
      <c r="K59" s="893">
        <v>12</v>
      </c>
      <c r="L59" s="908">
        <f t="shared" si="3"/>
        <v>6000</v>
      </c>
      <c r="M59" s="455"/>
      <c r="N59" s="456"/>
      <c r="O59" s="895"/>
      <c r="P59" s="861"/>
      <c r="Q59" s="896"/>
      <c r="R59" s="1679"/>
      <c r="S59" s="844"/>
      <c r="T59" s="844"/>
      <c r="U59" s="844"/>
      <c r="V59" s="844"/>
      <c r="W59" s="844"/>
      <c r="X59" s="844"/>
      <c r="Y59" s="844"/>
      <c r="Z59" s="844"/>
      <c r="AA59" s="844"/>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row>
    <row r="60" spans="2:63" x14ac:dyDescent="0.2">
      <c r="B60" s="869" t="s">
        <v>664</v>
      </c>
      <c r="C60" s="852"/>
      <c r="D60" s="457" t="s">
        <v>246</v>
      </c>
      <c r="E60" s="457"/>
      <c r="F60" s="457"/>
      <c r="G60" s="457"/>
      <c r="H60" s="458"/>
      <c r="I60" s="458"/>
      <c r="J60" s="909"/>
      <c r="K60" s="909"/>
      <c r="L60" s="904">
        <f>SUM(L55:L59)</f>
        <v>7260</v>
      </c>
      <c r="M60" s="460">
        <v>30</v>
      </c>
      <c r="N60" s="461">
        <f>L60*M60/100</f>
        <v>2178</v>
      </c>
      <c r="O60" s="475"/>
      <c r="P60" s="876">
        <v>7164.73</v>
      </c>
      <c r="Q60" s="889">
        <f>P60/L60</f>
        <v>0.98687741046831945</v>
      </c>
      <c r="R60" s="1680"/>
      <c r="S60" s="844"/>
      <c r="T60" s="844"/>
      <c r="U60" s="844"/>
      <c r="V60" s="844"/>
      <c r="W60" s="844"/>
      <c r="X60" s="844"/>
      <c r="Y60" s="844"/>
      <c r="Z60" s="844"/>
      <c r="AA60" s="878" t="s">
        <v>665</v>
      </c>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c r="BC60" s="833"/>
      <c r="BD60" s="833"/>
      <c r="BE60" s="833"/>
      <c r="BF60" s="833"/>
      <c r="BG60" s="833"/>
      <c r="BH60" s="833"/>
      <c r="BI60" s="833"/>
      <c r="BJ60" s="833"/>
      <c r="BK60" s="833"/>
    </row>
    <row r="61" spans="2:63" x14ac:dyDescent="0.2">
      <c r="C61" s="852"/>
      <c r="D61" s="453" t="s">
        <v>249</v>
      </c>
      <c r="E61" s="454"/>
      <c r="F61" s="454"/>
      <c r="G61" s="454"/>
      <c r="H61" s="465"/>
      <c r="I61" s="454"/>
      <c r="J61" s="910"/>
      <c r="K61" s="910"/>
      <c r="L61" s="911"/>
      <c r="M61" s="455"/>
      <c r="N61" s="455"/>
      <c r="O61" s="912"/>
      <c r="P61" s="913"/>
      <c r="Q61" s="912"/>
      <c r="R61" s="1673"/>
      <c r="S61" s="844"/>
      <c r="T61" s="844"/>
      <c r="U61" s="844"/>
      <c r="V61" s="844"/>
      <c r="W61" s="844"/>
      <c r="X61" s="844"/>
      <c r="Y61" s="844"/>
      <c r="Z61" s="844"/>
      <c r="AA61" s="844"/>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c r="BC61" s="833"/>
      <c r="BD61" s="833"/>
      <c r="BE61" s="833"/>
      <c r="BF61" s="833"/>
      <c r="BG61" s="833"/>
      <c r="BH61" s="833"/>
      <c r="BI61" s="833"/>
      <c r="BJ61" s="833"/>
      <c r="BK61" s="833"/>
    </row>
    <row r="62" spans="2:63" x14ac:dyDescent="0.2">
      <c r="C62" s="852"/>
      <c r="D62" s="914" t="s">
        <v>241</v>
      </c>
      <c r="E62" s="466" t="s">
        <v>34</v>
      </c>
      <c r="F62" s="466"/>
      <c r="G62" s="466"/>
      <c r="H62" s="884" t="s">
        <v>659</v>
      </c>
      <c r="I62" s="915">
        <v>5</v>
      </c>
      <c r="J62" s="916">
        <v>20</v>
      </c>
      <c r="K62" s="917">
        <v>1</v>
      </c>
      <c r="L62" s="918">
        <f t="shared" ref="L62:L70" si="4">I62*J62*K62</f>
        <v>100</v>
      </c>
      <c r="M62" s="455"/>
      <c r="N62" s="456"/>
      <c r="O62" s="895"/>
      <c r="P62" s="861"/>
      <c r="Q62" s="896"/>
      <c r="R62" s="1679"/>
      <c r="S62" s="844"/>
      <c r="T62" s="844"/>
      <c r="U62" s="844"/>
      <c r="V62" s="844"/>
      <c r="W62" s="844"/>
      <c r="X62" s="844"/>
      <c r="Y62" s="844"/>
      <c r="Z62" s="844"/>
      <c r="AA62" s="844"/>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3"/>
      <c r="AY62" s="833"/>
      <c r="AZ62" s="833"/>
      <c r="BA62" s="833"/>
      <c r="BB62" s="833"/>
      <c r="BC62" s="833"/>
      <c r="BD62" s="833"/>
      <c r="BE62" s="833"/>
      <c r="BF62" s="833"/>
      <c r="BG62" s="833"/>
      <c r="BH62" s="833"/>
      <c r="BI62" s="833"/>
      <c r="BJ62" s="833"/>
      <c r="BK62" s="833"/>
    </row>
    <row r="63" spans="2:63" x14ac:dyDescent="0.2">
      <c r="C63" s="852"/>
      <c r="D63" s="914" t="s">
        <v>250</v>
      </c>
      <c r="E63" s="466" t="s">
        <v>34</v>
      </c>
      <c r="F63" s="466"/>
      <c r="G63" s="466"/>
      <c r="H63" s="884" t="s">
        <v>659</v>
      </c>
      <c r="I63" s="915">
        <v>6</v>
      </c>
      <c r="J63" s="916">
        <v>10</v>
      </c>
      <c r="K63" s="917">
        <v>5</v>
      </c>
      <c r="L63" s="918">
        <f t="shared" si="4"/>
        <v>300</v>
      </c>
      <c r="M63" s="455"/>
      <c r="N63" s="456"/>
      <c r="O63" s="895"/>
      <c r="P63" s="861"/>
      <c r="Q63" s="896"/>
      <c r="R63" s="1679"/>
      <c r="S63" s="844"/>
      <c r="T63" s="844"/>
      <c r="U63" s="844"/>
      <c r="V63" s="844"/>
      <c r="W63" s="844"/>
      <c r="X63" s="844"/>
      <c r="Y63" s="844"/>
      <c r="Z63" s="844"/>
      <c r="AA63" s="844"/>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c r="AY63" s="833"/>
      <c r="AZ63" s="833"/>
      <c r="BA63" s="833"/>
      <c r="BB63" s="833"/>
      <c r="BC63" s="833"/>
      <c r="BD63" s="833"/>
      <c r="BE63" s="833"/>
      <c r="BF63" s="833"/>
      <c r="BG63" s="833"/>
      <c r="BH63" s="833"/>
      <c r="BI63" s="833"/>
      <c r="BJ63" s="833"/>
      <c r="BK63" s="833"/>
    </row>
    <row r="64" spans="2:63" x14ac:dyDescent="0.2">
      <c r="C64" s="852"/>
      <c r="D64" s="914" t="s">
        <v>282</v>
      </c>
      <c r="E64" s="466" t="s">
        <v>34</v>
      </c>
      <c r="F64" s="466"/>
      <c r="G64" s="466"/>
      <c r="H64" s="884" t="s">
        <v>659</v>
      </c>
      <c r="I64" s="915">
        <v>15</v>
      </c>
      <c r="J64" s="916">
        <v>10</v>
      </c>
      <c r="K64" s="917">
        <v>5</v>
      </c>
      <c r="L64" s="918">
        <f t="shared" si="4"/>
        <v>750</v>
      </c>
      <c r="M64" s="455"/>
      <c r="N64" s="456"/>
      <c r="O64" s="895"/>
      <c r="P64" s="861"/>
      <c r="Q64" s="896"/>
      <c r="R64" s="1679"/>
      <c r="S64" s="844"/>
      <c r="T64" s="844"/>
      <c r="U64" s="844"/>
      <c r="V64" s="844"/>
      <c r="W64" s="844"/>
      <c r="X64" s="844"/>
      <c r="Y64" s="844"/>
      <c r="Z64" s="844"/>
      <c r="AA64" s="844"/>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3"/>
      <c r="AY64" s="833"/>
      <c r="AZ64" s="833"/>
      <c r="BA64" s="833"/>
      <c r="BB64" s="833"/>
      <c r="BC64" s="833"/>
      <c r="BD64" s="833"/>
      <c r="BE64" s="833"/>
      <c r="BF64" s="833"/>
      <c r="BG64" s="833"/>
      <c r="BH64" s="833"/>
      <c r="BI64" s="833"/>
      <c r="BJ64" s="833"/>
      <c r="BK64" s="833"/>
    </row>
    <row r="65" spans="2:63" x14ac:dyDescent="0.2">
      <c r="C65" s="852"/>
      <c r="D65" s="914" t="s">
        <v>251</v>
      </c>
      <c r="E65" s="466" t="s">
        <v>34</v>
      </c>
      <c r="F65" s="466"/>
      <c r="G65" s="466"/>
      <c r="H65" s="884" t="s">
        <v>659</v>
      </c>
      <c r="I65" s="915">
        <v>9</v>
      </c>
      <c r="J65" s="916">
        <v>7.5</v>
      </c>
      <c r="K65" s="917">
        <v>5</v>
      </c>
      <c r="L65" s="918">
        <f t="shared" si="4"/>
        <v>337.5</v>
      </c>
      <c r="M65" s="455"/>
      <c r="N65" s="456"/>
      <c r="O65" s="895"/>
      <c r="P65" s="861"/>
      <c r="Q65" s="896"/>
      <c r="R65" s="1679"/>
      <c r="S65" s="844"/>
      <c r="T65" s="844"/>
      <c r="U65" s="844"/>
      <c r="V65" s="844"/>
      <c r="W65" s="844"/>
      <c r="X65" s="844"/>
      <c r="Y65" s="844"/>
      <c r="Z65" s="844"/>
      <c r="AA65" s="844"/>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3"/>
      <c r="AY65" s="833"/>
      <c r="AZ65" s="833"/>
      <c r="BA65" s="833"/>
      <c r="BB65" s="833"/>
      <c r="BC65" s="833"/>
      <c r="BD65" s="833"/>
      <c r="BE65" s="833"/>
      <c r="BF65" s="833"/>
      <c r="BG65" s="833"/>
      <c r="BH65" s="833"/>
      <c r="BI65" s="833"/>
      <c r="BJ65" s="833"/>
      <c r="BK65" s="833"/>
    </row>
    <row r="66" spans="2:63" x14ac:dyDescent="0.2">
      <c r="C66" s="852"/>
      <c r="D66" s="914" t="s">
        <v>598</v>
      </c>
      <c r="E66" s="466" t="s">
        <v>34</v>
      </c>
      <c r="F66" s="466"/>
      <c r="G66" s="466"/>
      <c r="H66" s="884" t="s">
        <v>659</v>
      </c>
      <c r="I66" s="915">
        <v>3</v>
      </c>
      <c r="J66" s="916">
        <v>20</v>
      </c>
      <c r="K66" s="917">
        <v>8</v>
      </c>
      <c r="L66" s="918">
        <f t="shared" si="4"/>
        <v>480</v>
      </c>
      <c r="M66" s="467"/>
      <c r="N66" s="456"/>
      <c r="O66" s="895"/>
      <c r="P66" s="861"/>
      <c r="Q66" s="896"/>
      <c r="R66" s="1679"/>
      <c r="S66" s="844"/>
      <c r="T66" s="844"/>
      <c r="U66" s="844"/>
      <c r="V66" s="844"/>
      <c r="W66" s="844"/>
      <c r="X66" s="844"/>
      <c r="Y66" s="844"/>
      <c r="Z66" s="844"/>
      <c r="AA66" s="844"/>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3"/>
      <c r="AY66" s="833"/>
      <c r="AZ66" s="833"/>
      <c r="BA66" s="833"/>
      <c r="BB66" s="833"/>
      <c r="BC66" s="833"/>
      <c r="BD66" s="833"/>
      <c r="BE66" s="833"/>
      <c r="BF66" s="833"/>
      <c r="BG66" s="833"/>
      <c r="BH66" s="833"/>
      <c r="BI66" s="833"/>
      <c r="BJ66" s="833"/>
      <c r="BK66" s="833"/>
    </row>
    <row r="67" spans="2:63" x14ac:dyDescent="0.2">
      <c r="C67" s="852"/>
      <c r="D67" s="914" t="s">
        <v>234</v>
      </c>
      <c r="E67" s="466" t="s">
        <v>34</v>
      </c>
      <c r="F67" s="466"/>
      <c r="G67" s="466"/>
      <c r="H67" s="884" t="s">
        <v>659</v>
      </c>
      <c r="I67" s="915">
        <v>150</v>
      </c>
      <c r="J67" s="916">
        <v>1.2</v>
      </c>
      <c r="K67" s="917">
        <v>1</v>
      </c>
      <c r="L67" s="918">
        <f t="shared" si="4"/>
        <v>180</v>
      </c>
      <c r="M67" s="467"/>
      <c r="N67" s="456"/>
      <c r="O67" s="895"/>
      <c r="P67" s="861"/>
      <c r="Q67" s="896"/>
      <c r="R67" s="1679"/>
      <c r="S67" s="844"/>
      <c r="T67" s="844"/>
      <c r="U67" s="844"/>
      <c r="V67" s="844"/>
      <c r="W67" s="844"/>
      <c r="X67" s="844"/>
      <c r="Y67" s="844"/>
      <c r="Z67" s="844"/>
      <c r="AA67" s="844"/>
      <c r="AB67" s="833"/>
      <c r="AC67" s="833"/>
      <c r="AD67" s="833"/>
      <c r="AE67" s="833"/>
      <c r="AF67" s="833"/>
      <c r="AG67" s="833"/>
      <c r="AH67" s="833"/>
      <c r="AI67" s="833"/>
      <c r="AJ67" s="833"/>
      <c r="AK67" s="833"/>
      <c r="AL67" s="833"/>
      <c r="AM67" s="833"/>
      <c r="AN67" s="833"/>
      <c r="AO67" s="833"/>
      <c r="AP67" s="833"/>
      <c r="AQ67" s="833"/>
      <c r="AR67" s="833"/>
      <c r="AS67" s="833"/>
      <c r="AT67" s="833"/>
      <c r="AU67" s="833"/>
      <c r="AV67" s="833"/>
      <c r="AW67" s="833"/>
      <c r="AX67" s="833"/>
      <c r="AY67" s="833"/>
      <c r="AZ67" s="833"/>
      <c r="BA67" s="833"/>
      <c r="BB67" s="833"/>
      <c r="BC67" s="833"/>
      <c r="BD67" s="833"/>
      <c r="BE67" s="833"/>
      <c r="BF67" s="833"/>
      <c r="BG67" s="833"/>
      <c r="BH67" s="833"/>
      <c r="BI67" s="833"/>
      <c r="BJ67" s="833"/>
      <c r="BK67" s="833"/>
    </row>
    <row r="68" spans="2:63" x14ac:dyDescent="0.2">
      <c r="C68" s="852"/>
      <c r="D68" s="914" t="s">
        <v>226</v>
      </c>
      <c r="E68" s="466" t="s">
        <v>34</v>
      </c>
      <c r="F68" s="466"/>
      <c r="G68" s="466"/>
      <c r="H68" s="884" t="s">
        <v>659</v>
      </c>
      <c r="I68" s="915">
        <v>2</v>
      </c>
      <c r="J68" s="916">
        <v>10</v>
      </c>
      <c r="K68" s="917">
        <v>8</v>
      </c>
      <c r="L68" s="918">
        <f t="shared" si="4"/>
        <v>160</v>
      </c>
      <c r="M68" s="455"/>
      <c r="N68" s="456"/>
      <c r="O68" s="895"/>
      <c r="P68" s="861"/>
      <c r="Q68" s="896"/>
      <c r="R68" s="1679"/>
      <c r="S68" s="844"/>
      <c r="T68" s="844"/>
      <c r="U68" s="844"/>
      <c r="V68" s="844"/>
      <c r="W68" s="844"/>
      <c r="X68" s="844"/>
      <c r="Y68" s="844"/>
      <c r="Z68" s="844"/>
      <c r="AA68" s="844"/>
      <c r="AB68" s="833"/>
      <c r="AC68" s="833"/>
      <c r="AD68" s="833"/>
      <c r="AE68" s="833"/>
      <c r="AF68" s="833"/>
      <c r="AG68" s="833"/>
      <c r="AH68" s="833"/>
      <c r="AI68" s="833"/>
      <c r="AJ68" s="833"/>
      <c r="AK68" s="833"/>
      <c r="AL68" s="833"/>
      <c r="AM68" s="833"/>
      <c r="AN68" s="833"/>
      <c r="AO68" s="833"/>
      <c r="AP68" s="833"/>
      <c r="AQ68" s="833"/>
      <c r="AR68" s="833"/>
      <c r="AS68" s="833"/>
      <c r="AT68" s="833"/>
      <c r="AU68" s="833"/>
      <c r="AV68" s="833"/>
      <c r="AW68" s="833"/>
      <c r="AX68" s="833"/>
      <c r="AY68" s="833"/>
      <c r="AZ68" s="833"/>
      <c r="BA68" s="833"/>
      <c r="BB68" s="833"/>
      <c r="BC68" s="833"/>
      <c r="BD68" s="833"/>
      <c r="BE68" s="833"/>
      <c r="BF68" s="833"/>
      <c r="BG68" s="833"/>
      <c r="BH68" s="833"/>
      <c r="BI68" s="833"/>
      <c r="BJ68" s="833"/>
      <c r="BK68" s="833"/>
    </row>
    <row r="69" spans="2:63" x14ac:dyDescent="0.2">
      <c r="C69" s="852"/>
      <c r="D69" s="914" t="s">
        <v>599</v>
      </c>
      <c r="E69" s="466" t="s">
        <v>34</v>
      </c>
      <c r="F69" s="466"/>
      <c r="G69" s="466"/>
      <c r="H69" s="884" t="s">
        <v>659</v>
      </c>
      <c r="I69" s="915">
        <v>100</v>
      </c>
      <c r="J69" s="916">
        <v>1</v>
      </c>
      <c r="K69" s="917">
        <v>1</v>
      </c>
      <c r="L69" s="918">
        <f t="shared" si="4"/>
        <v>100</v>
      </c>
      <c r="M69" s="455"/>
      <c r="N69" s="456"/>
      <c r="O69" s="895"/>
      <c r="P69" s="861"/>
      <c r="Q69" s="896"/>
      <c r="R69" s="1679"/>
      <c r="S69" s="844"/>
      <c r="T69" s="844"/>
      <c r="U69" s="844"/>
      <c r="V69" s="844"/>
      <c r="W69" s="844"/>
      <c r="X69" s="844"/>
      <c r="Y69" s="844"/>
      <c r="Z69" s="844"/>
      <c r="AA69" s="844"/>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833"/>
      <c r="BA69" s="833"/>
      <c r="BB69" s="833"/>
      <c r="BC69" s="833"/>
      <c r="BD69" s="833"/>
      <c r="BE69" s="833"/>
      <c r="BF69" s="833"/>
      <c r="BG69" s="833"/>
      <c r="BH69" s="833"/>
      <c r="BI69" s="833"/>
      <c r="BJ69" s="833"/>
      <c r="BK69" s="833"/>
    </row>
    <row r="70" spans="2:63" x14ac:dyDescent="0.2">
      <c r="C70" s="852"/>
      <c r="D70" s="914" t="s">
        <v>600</v>
      </c>
      <c r="E70" s="462" t="s">
        <v>34</v>
      </c>
      <c r="F70" s="462"/>
      <c r="G70" s="462"/>
      <c r="H70" s="919" t="s">
        <v>659</v>
      </c>
      <c r="I70" s="915">
        <v>1</v>
      </c>
      <c r="J70" s="916">
        <v>600</v>
      </c>
      <c r="K70" s="917">
        <v>12</v>
      </c>
      <c r="L70" s="920">
        <f t="shared" si="4"/>
        <v>7200</v>
      </c>
      <c r="M70" s="455"/>
      <c r="N70" s="456"/>
      <c r="O70" s="895"/>
      <c r="P70" s="861"/>
      <c r="Q70" s="896"/>
      <c r="R70" s="1679"/>
      <c r="S70" s="844"/>
      <c r="T70" s="844"/>
      <c r="U70" s="844"/>
      <c r="V70" s="844"/>
      <c r="W70" s="844"/>
      <c r="X70" s="844"/>
      <c r="Y70" s="844"/>
      <c r="Z70" s="844"/>
      <c r="AA70" s="844"/>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33"/>
      <c r="BA70" s="833"/>
      <c r="BB70" s="833"/>
      <c r="BC70" s="833"/>
      <c r="BD70" s="833"/>
      <c r="BE70" s="833"/>
      <c r="BF70" s="833"/>
      <c r="BG70" s="833"/>
      <c r="BH70" s="833"/>
      <c r="BI70" s="833"/>
      <c r="BJ70" s="833"/>
      <c r="BK70" s="833"/>
    </row>
    <row r="71" spans="2:63" x14ac:dyDescent="0.2">
      <c r="B71" s="869" t="s">
        <v>666</v>
      </c>
      <c r="C71" s="852"/>
      <c r="D71" s="921" t="s">
        <v>246</v>
      </c>
      <c r="E71" s="921"/>
      <c r="F71" s="921"/>
      <c r="G71" s="921"/>
      <c r="H71" s="871"/>
      <c r="I71" s="871"/>
      <c r="J71" s="871"/>
      <c r="K71" s="871"/>
      <c r="L71" s="922">
        <f>SUM(L62:L70)</f>
        <v>9607.5</v>
      </c>
      <c r="M71" s="873">
        <v>30</v>
      </c>
      <c r="N71" s="874">
        <f>L71*M71/100</f>
        <v>2882.25</v>
      </c>
      <c r="O71" s="875"/>
      <c r="P71" s="876">
        <v>3436.4700000000003</v>
      </c>
      <c r="Q71" s="889">
        <f>P71/L71</f>
        <v>0.35768618266978924</v>
      </c>
      <c r="R71" s="1680"/>
      <c r="S71" s="844"/>
      <c r="T71" s="844"/>
      <c r="U71" s="844"/>
      <c r="V71" s="844"/>
      <c r="W71" s="844"/>
      <c r="X71" s="844"/>
      <c r="Y71" s="844"/>
      <c r="Z71" s="844"/>
      <c r="AA71" s="878" t="s">
        <v>667</v>
      </c>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33"/>
      <c r="BA71" s="833"/>
      <c r="BB71" s="833"/>
      <c r="BC71" s="833"/>
      <c r="BD71" s="833"/>
      <c r="BE71" s="833"/>
      <c r="BF71" s="833"/>
      <c r="BG71" s="833"/>
      <c r="BH71" s="833"/>
      <c r="BI71" s="833"/>
      <c r="BJ71" s="833"/>
      <c r="BK71" s="833"/>
    </row>
    <row r="72" spans="2:63" ht="14.45" customHeight="1" x14ac:dyDescent="0.2">
      <c r="C72" s="852"/>
      <c r="D72" s="453" t="s">
        <v>253</v>
      </c>
      <c r="E72" s="454"/>
      <c r="F72" s="454"/>
      <c r="G72" s="454"/>
      <c r="H72" s="454"/>
      <c r="I72" s="454"/>
      <c r="J72" s="910"/>
      <c r="K72" s="910"/>
      <c r="L72" s="911"/>
      <c r="M72" s="455"/>
      <c r="N72" s="456"/>
      <c r="O72" s="923"/>
      <c r="P72" s="880"/>
      <c r="Q72" s="912"/>
      <c r="R72" s="1673"/>
      <c r="S72" s="844"/>
      <c r="T72" s="844"/>
      <c r="U72" s="844"/>
      <c r="V72" s="844"/>
      <c r="W72" s="844"/>
      <c r="X72" s="844"/>
      <c r="Y72" s="844"/>
      <c r="Z72" s="844"/>
      <c r="AA72" s="844"/>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33"/>
      <c r="BA72" s="833"/>
      <c r="BB72" s="833"/>
      <c r="BC72" s="833"/>
      <c r="BD72" s="833"/>
      <c r="BE72" s="833"/>
      <c r="BF72" s="833"/>
      <c r="BG72" s="833"/>
      <c r="BH72" s="833"/>
      <c r="BI72" s="833"/>
      <c r="BJ72" s="833"/>
      <c r="BK72" s="833"/>
    </row>
    <row r="73" spans="2:63" x14ac:dyDescent="0.2">
      <c r="C73" s="852"/>
      <c r="D73" s="924" t="s">
        <v>254</v>
      </c>
      <c r="E73" s="466" t="s">
        <v>34</v>
      </c>
      <c r="F73" s="466"/>
      <c r="G73" s="466"/>
      <c r="H73" s="884" t="s">
        <v>659</v>
      </c>
      <c r="I73" s="925">
        <v>1</v>
      </c>
      <c r="J73" s="926">
        <v>100</v>
      </c>
      <c r="K73" s="927">
        <v>2</v>
      </c>
      <c r="L73" s="928">
        <f>I73*J73*K73</f>
        <v>200</v>
      </c>
      <c r="M73" s="455"/>
      <c r="N73" s="456"/>
      <c r="O73" s="895"/>
      <c r="P73" s="861"/>
      <c r="Q73" s="896"/>
      <c r="R73" s="1679"/>
      <c r="S73" s="844"/>
      <c r="T73" s="844"/>
      <c r="U73" s="844"/>
      <c r="V73" s="844"/>
      <c r="W73" s="844"/>
      <c r="X73" s="844"/>
      <c r="Y73" s="844"/>
      <c r="Z73" s="844"/>
      <c r="AA73" s="844"/>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33"/>
      <c r="BA73" s="833"/>
      <c r="BB73" s="833"/>
      <c r="BC73" s="833"/>
      <c r="BD73" s="833"/>
      <c r="BE73" s="833"/>
      <c r="BF73" s="833"/>
      <c r="BG73" s="833"/>
      <c r="BH73" s="833"/>
      <c r="BI73" s="833"/>
      <c r="BJ73" s="833"/>
      <c r="BK73" s="833"/>
    </row>
    <row r="74" spans="2:63" x14ac:dyDescent="0.2">
      <c r="C74" s="852"/>
      <c r="D74" s="924" t="s">
        <v>255</v>
      </c>
      <c r="E74" s="466" t="s">
        <v>34</v>
      </c>
      <c r="F74" s="466"/>
      <c r="G74" s="466"/>
      <c r="H74" s="884" t="s">
        <v>659</v>
      </c>
      <c r="I74" s="925">
        <v>100</v>
      </c>
      <c r="J74" s="926">
        <v>10</v>
      </c>
      <c r="K74" s="927">
        <v>2</v>
      </c>
      <c r="L74" s="928">
        <f t="shared" ref="L74:L86" si="5">I74*J74*K74</f>
        <v>2000</v>
      </c>
      <c r="M74" s="455"/>
      <c r="N74" s="456"/>
      <c r="O74" s="895"/>
      <c r="P74" s="861"/>
      <c r="Q74" s="896"/>
      <c r="R74" s="1679"/>
      <c r="S74" s="844"/>
      <c r="T74" s="844"/>
      <c r="U74" s="844"/>
      <c r="V74" s="844"/>
      <c r="W74" s="844"/>
      <c r="X74" s="844"/>
      <c r="Y74" s="844"/>
      <c r="Z74" s="844"/>
      <c r="AA74" s="844"/>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3"/>
      <c r="BA74" s="833"/>
      <c r="BB74" s="833"/>
      <c r="BC74" s="833"/>
      <c r="BD74" s="833"/>
      <c r="BE74" s="833"/>
      <c r="BF74" s="833"/>
      <c r="BG74" s="833"/>
      <c r="BH74" s="833"/>
      <c r="BI74" s="833"/>
      <c r="BJ74" s="833"/>
      <c r="BK74" s="833"/>
    </row>
    <row r="75" spans="2:63" x14ac:dyDescent="0.2">
      <c r="C75" s="852"/>
      <c r="D75" s="924" t="s">
        <v>250</v>
      </c>
      <c r="E75" s="466" t="s">
        <v>34</v>
      </c>
      <c r="F75" s="466"/>
      <c r="G75" s="466"/>
      <c r="H75" s="884" t="s">
        <v>659</v>
      </c>
      <c r="I75" s="925">
        <v>65</v>
      </c>
      <c r="J75" s="926">
        <v>25</v>
      </c>
      <c r="K75" s="927">
        <v>1</v>
      </c>
      <c r="L75" s="928">
        <f t="shared" si="5"/>
        <v>1625</v>
      </c>
      <c r="M75" s="455"/>
      <c r="N75" s="456"/>
      <c r="O75" s="895"/>
      <c r="P75" s="861"/>
      <c r="Q75" s="896"/>
      <c r="R75" s="1679"/>
      <c r="S75" s="844"/>
      <c r="T75" s="844"/>
      <c r="U75" s="844"/>
      <c r="V75" s="844"/>
      <c r="W75" s="844"/>
      <c r="X75" s="844"/>
      <c r="Y75" s="844"/>
      <c r="Z75" s="844"/>
      <c r="AA75" s="844"/>
      <c r="AB75" s="833"/>
      <c r="AC75" s="833"/>
      <c r="AD75" s="833"/>
      <c r="AE75" s="833"/>
      <c r="AF75" s="833"/>
      <c r="AG75" s="833"/>
      <c r="AH75" s="833"/>
      <c r="AI75" s="833"/>
      <c r="AJ75" s="833"/>
      <c r="AK75" s="833"/>
      <c r="AL75" s="833"/>
      <c r="AM75" s="833"/>
      <c r="AN75" s="833"/>
      <c r="AO75" s="833"/>
      <c r="AP75" s="833"/>
      <c r="AQ75" s="833"/>
      <c r="AR75" s="833"/>
      <c r="AS75" s="833"/>
      <c r="AT75" s="833"/>
      <c r="AU75" s="833"/>
      <c r="AV75" s="833"/>
      <c r="AW75" s="833"/>
      <c r="AX75" s="833"/>
      <c r="AY75" s="833"/>
      <c r="AZ75" s="833"/>
      <c r="BA75" s="833"/>
      <c r="BB75" s="833"/>
      <c r="BC75" s="833"/>
      <c r="BD75" s="833"/>
      <c r="BE75" s="833"/>
      <c r="BF75" s="833"/>
      <c r="BG75" s="833"/>
      <c r="BH75" s="833"/>
      <c r="BI75" s="833"/>
      <c r="BJ75" s="833"/>
      <c r="BK75" s="833"/>
    </row>
    <row r="76" spans="2:63" x14ac:dyDescent="0.2">
      <c r="C76" s="852"/>
      <c r="D76" s="924" t="s">
        <v>256</v>
      </c>
      <c r="E76" s="466" t="s">
        <v>34</v>
      </c>
      <c r="F76" s="466"/>
      <c r="G76" s="466"/>
      <c r="H76" s="884" t="s">
        <v>659</v>
      </c>
      <c r="I76" s="925">
        <v>65</v>
      </c>
      <c r="J76" s="926">
        <v>10</v>
      </c>
      <c r="K76" s="927">
        <v>3</v>
      </c>
      <c r="L76" s="928">
        <f t="shared" si="5"/>
        <v>1950</v>
      </c>
      <c r="M76" s="455"/>
      <c r="N76" s="456"/>
      <c r="O76" s="895"/>
      <c r="P76" s="861"/>
      <c r="Q76" s="896"/>
      <c r="R76" s="1679"/>
      <c r="S76" s="844"/>
      <c r="T76" s="844"/>
      <c r="U76" s="844"/>
      <c r="V76" s="844"/>
      <c r="W76" s="844"/>
      <c r="X76" s="844"/>
      <c r="Y76" s="844"/>
      <c r="Z76" s="844"/>
      <c r="AA76" s="844"/>
      <c r="AB76" s="833"/>
      <c r="AC76" s="833"/>
      <c r="AD76" s="833"/>
      <c r="AE76" s="833"/>
      <c r="AF76" s="833"/>
      <c r="AG76" s="833"/>
      <c r="AH76" s="833"/>
      <c r="AI76" s="833"/>
      <c r="AJ76" s="833"/>
      <c r="AK76" s="833"/>
      <c r="AL76" s="833"/>
      <c r="AM76" s="833"/>
      <c r="AN76" s="833"/>
      <c r="AO76" s="833"/>
      <c r="AP76" s="833"/>
      <c r="AQ76" s="833"/>
      <c r="AR76" s="833"/>
      <c r="AS76" s="833"/>
      <c r="AT76" s="833"/>
      <c r="AU76" s="833"/>
      <c r="AV76" s="833"/>
      <c r="AW76" s="833"/>
      <c r="AX76" s="833"/>
      <c r="AY76" s="833"/>
      <c r="AZ76" s="833"/>
      <c r="BA76" s="833"/>
      <c r="BB76" s="833"/>
      <c r="BC76" s="833"/>
      <c r="BD76" s="833"/>
      <c r="BE76" s="833"/>
      <c r="BF76" s="833"/>
      <c r="BG76" s="833"/>
      <c r="BH76" s="833"/>
      <c r="BI76" s="833"/>
      <c r="BJ76" s="833"/>
      <c r="BK76" s="833"/>
    </row>
    <row r="77" spans="2:63" x14ac:dyDescent="0.2">
      <c r="C77" s="852"/>
      <c r="D77" s="924" t="s">
        <v>257</v>
      </c>
      <c r="E77" s="466" t="s">
        <v>34</v>
      </c>
      <c r="F77" s="466"/>
      <c r="G77" s="466"/>
      <c r="H77" s="884" t="s">
        <v>659</v>
      </c>
      <c r="I77" s="925">
        <v>15</v>
      </c>
      <c r="J77" s="926">
        <v>50</v>
      </c>
      <c r="K77" s="927">
        <v>1</v>
      </c>
      <c r="L77" s="928">
        <f t="shared" si="5"/>
        <v>750</v>
      </c>
      <c r="M77" s="455"/>
      <c r="N77" s="456"/>
      <c r="O77" s="895"/>
      <c r="P77" s="861"/>
      <c r="Q77" s="896"/>
      <c r="R77" s="1679"/>
      <c r="S77" s="844"/>
      <c r="T77" s="844"/>
      <c r="U77" s="844"/>
      <c r="V77" s="844"/>
      <c r="W77" s="844"/>
      <c r="X77" s="844"/>
      <c r="Y77" s="844"/>
      <c r="Z77" s="844"/>
      <c r="AA77" s="844"/>
      <c r="AB77" s="833"/>
      <c r="AC77" s="833"/>
      <c r="AD77" s="833"/>
      <c r="AE77" s="833"/>
      <c r="AF77" s="833"/>
      <c r="AG77" s="833"/>
      <c r="AH77" s="833"/>
      <c r="AI77" s="833"/>
      <c r="AJ77" s="833"/>
      <c r="AK77" s="833"/>
      <c r="AL77" s="833"/>
      <c r="AM77" s="833"/>
      <c r="AN77" s="833"/>
      <c r="AO77" s="833"/>
      <c r="AP77" s="833"/>
      <c r="AQ77" s="833"/>
      <c r="AR77" s="833"/>
      <c r="AS77" s="833"/>
      <c r="AT77" s="833"/>
      <c r="AU77" s="833"/>
      <c r="AV77" s="833"/>
      <c r="AW77" s="833"/>
      <c r="AX77" s="833"/>
      <c r="AY77" s="833"/>
      <c r="AZ77" s="833"/>
      <c r="BA77" s="833"/>
      <c r="BB77" s="833"/>
      <c r="BC77" s="833"/>
      <c r="BD77" s="833"/>
      <c r="BE77" s="833"/>
      <c r="BF77" s="833"/>
      <c r="BG77" s="833"/>
      <c r="BH77" s="833"/>
      <c r="BI77" s="833"/>
      <c r="BJ77" s="833"/>
      <c r="BK77" s="833"/>
    </row>
    <row r="78" spans="2:63" x14ac:dyDescent="0.2">
      <c r="C78" s="852"/>
      <c r="D78" s="924" t="s">
        <v>258</v>
      </c>
      <c r="E78" s="466" t="s">
        <v>34</v>
      </c>
      <c r="F78" s="466"/>
      <c r="G78" s="466"/>
      <c r="H78" s="884" t="s">
        <v>659</v>
      </c>
      <c r="I78" s="925">
        <v>15</v>
      </c>
      <c r="J78" s="926">
        <v>20</v>
      </c>
      <c r="K78" s="927">
        <v>3</v>
      </c>
      <c r="L78" s="928">
        <f t="shared" si="5"/>
        <v>900</v>
      </c>
      <c r="M78" s="455"/>
      <c r="N78" s="456"/>
      <c r="O78" s="895"/>
      <c r="P78" s="861"/>
      <c r="Q78" s="896"/>
      <c r="R78" s="1679"/>
      <c r="S78" s="844"/>
      <c r="T78" s="844"/>
      <c r="U78" s="844"/>
      <c r="V78" s="844"/>
      <c r="W78" s="844"/>
      <c r="X78" s="844"/>
      <c r="Y78" s="844"/>
      <c r="Z78" s="844"/>
      <c r="AA78" s="844"/>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3"/>
      <c r="BA78" s="833"/>
      <c r="BB78" s="833"/>
      <c r="BC78" s="833"/>
      <c r="BD78" s="833"/>
      <c r="BE78" s="833"/>
      <c r="BF78" s="833"/>
      <c r="BG78" s="833"/>
      <c r="BH78" s="833"/>
      <c r="BI78" s="833"/>
      <c r="BJ78" s="833"/>
      <c r="BK78" s="833"/>
    </row>
    <row r="79" spans="2:63" x14ac:dyDescent="0.2">
      <c r="C79" s="852"/>
      <c r="D79" s="924" t="s">
        <v>259</v>
      </c>
      <c r="E79" s="466" t="s">
        <v>34</v>
      </c>
      <c r="F79" s="466"/>
      <c r="G79" s="466"/>
      <c r="H79" s="884" t="s">
        <v>659</v>
      </c>
      <c r="I79" s="925">
        <v>20</v>
      </c>
      <c r="J79" s="926">
        <v>10</v>
      </c>
      <c r="K79" s="927">
        <v>2</v>
      </c>
      <c r="L79" s="928">
        <f t="shared" si="5"/>
        <v>400</v>
      </c>
      <c r="M79" s="455"/>
      <c r="N79" s="456"/>
      <c r="O79" s="895"/>
      <c r="P79" s="861"/>
      <c r="Q79" s="896"/>
      <c r="R79" s="1679"/>
      <c r="S79" s="844"/>
      <c r="T79" s="844"/>
      <c r="U79" s="844"/>
      <c r="V79" s="844"/>
      <c r="W79" s="844"/>
      <c r="X79" s="844"/>
      <c r="Y79" s="844"/>
      <c r="Z79" s="844"/>
      <c r="AA79" s="844"/>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3"/>
      <c r="BA79" s="833"/>
      <c r="BB79" s="833"/>
      <c r="BC79" s="833"/>
      <c r="BD79" s="833"/>
      <c r="BE79" s="833"/>
      <c r="BF79" s="833"/>
      <c r="BG79" s="833"/>
      <c r="BH79" s="833"/>
      <c r="BI79" s="833"/>
      <c r="BJ79" s="833"/>
      <c r="BK79" s="833"/>
    </row>
    <row r="80" spans="2:63" x14ac:dyDescent="0.2">
      <c r="C80" s="852"/>
      <c r="D80" s="924" t="s">
        <v>260</v>
      </c>
      <c r="E80" s="466" t="s">
        <v>34</v>
      </c>
      <c r="F80" s="466"/>
      <c r="G80" s="466"/>
      <c r="H80" s="884" t="s">
        <v>659</v>
      </c>
      <c r="I80" s="925">
        <v>100</v>
      </c>
      <c r="J80" s="926">
        <v>3.5</v>
      </c>
      <c r="K80" s="927">
        <v>1</v>
      </c>
      <c r="L80" s="928">
        <f t="shared" si="5"/>
        <v>350</v>
      </c>
      <c r="M80" s="455"/>
      <c r="N80" s="456"/>
      <c r="O80" s="895"/>
      <c r="P80" s="861"/>
      <c r="Q80" s="896"/>
      <c r="R80" s="1679"/>
      <c r="S80" s="844"/>
      <c r="T80" s="844"/>
      <c r="U80" s="844"/>
      <c r="V80" s="844"/>
      <c r="W80" s="844"/>
      <c r="X80" s="844"/>
      <c r="Y80" s="844"/>
      <c r="Z80" s="844"/>
      <c r="AA80" s="844"/>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3"/>
      <c r="BA80" s="833"/>
      <c r="BB80" s="833"/>
      <c r="BC80" s="833"/>
      <c r="BD80" s="833"/>
      <c r="BE80" s="833"/>
      <c r="BF80" s="833"/>
      <c r="BG80" s="833"/>
      <c r="BH80" s="833"/>
      <c r="BI80" s="833"/>
      <c r="BJ80" s="833"/>
      <c r="BK80" s="833"/>
    </row>
    <row r="81" spans="2:63" x14ac:dyDescent="0.2">
      <c r="C81" s="852"/>
      <c r="D81" s="924" t="s">
        <v>601</v>
      </c>
      <c r="E81" s="466" t="s">
        <v>34</v>
      </c>
      <c r="F81" s="466"/>
      <c r="G81" s="466"/>
      <c r="H81" s="884" t="s">
        <v>659</v>
      </c>
      <c r="I81" s="925">
        <v>6</v>
      </c>
      <c r="J81" s="926">
        <v>20</v>
      </c>
      <c r="K81" s="927">
        <v>5</v>
      </c>
      <c r="L81" s="928">
        <f t="shared" si="5"/>
        <v>600</v>
      </c>
      <c r="M81" s="455"/>
      <c r="N81" s="456"/>
      <c r="O81" s="895"/>
      <c r="P81" s="861"/>
      <c r="Q81" s="896"/>
      <c r="R81" s="1679"/>
      <c r="S81" s="844"/>
      <c r="T81" s="844"/>
      <c r="U81" s="844"/>
      <c r="V81" s="844"/>
      <c r="W81" s="844"/>
      <c r="X81" s="844"/>
      <c r="Y81" s="844"/>
      <c r="Z81" s="844"/>
      <c r="AA81" s="844"/>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3"/>
      <c r="BA81" s="833"/>
      <c r="BB81" s="833"/>
      <c r="BC81" s="833"/>
      <c r="BD81" s="833"/>
      <c r="BE81" s="833"/>
      <c r="BF81" s="833"/>
      <c r="BG81" s="833"/>
      <c r="BH81" s="833"/>
      <c r="BI81" s="833"/>
      <c r="BJ81" s="833"/>
      <c r="BK81" s="833"/>
    </row>
    <row r="82" spans="2:63" ht="15" customHeight="1" x14ac:dyDescent="0.2">
      <c r="C82" s="852"/>
      <c r="D82" s="924" t="s">
        <v>261</v>
      </c>
      <c r="E82" s="466" t="s">
        <v>34</v>
      </c>
      <c r="F82" s="466"/>
      <c r="G82" s="466"/>
      <c r="H82" s="884" t="s">
        <v>659</v>
      </c>
      <c r="I82" s="925">
        <v>1</v>
      </c>
      <c r="J82" s="926">
        <v>40</v>
      </c>
      <c r="K82" s="927">
        <v>5</v>
      </c>
      <c r="L82" s="918">
        <f t="shared" si="5"/>
        <v>200</v>
      </c>
      <c r="M82" s="467"/>
      <c r="N82" s="456"/>
      <c r="O82" s="895"/>
      <c r="P82" s="861"/>
      <c r="Q82" s="896"/>
      <c r="R82" s="1679"/>
      <c r="S82" s="844"/>
      <c r="T82" s="844"/>
      <c r="U82" s="844"/>
      <c r="V82" s="844"/>
      <c r="W82" s="844"/>
      <c r="X82" s="844"/>
      <c r="Y82" s="844"/>
      <c r="Z82" s="844"/>
      <c r="AA82" s="844"/>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3"/>
      <c r="BA82" s="833"/>
      <c r="BB82" s="833"/>
      <c r="BC82" s="833"/>
      <c r="BD82" s="833"/>
      <c r="BE82" s="833"/>
      <c r="BF82" s="833"/>
      <c r="BG82" s="833"/>
      <c r="BH82" s="833"/>
      <c r="BI82" s="833"/>
      <c r="BJ82" s="833"/>
      <c r="BK82" s="833"/>
    </row>
    <row r="83" spans="2:63" ht="15" customHeight="1" x14ac:dyDescent="0.2">
      <c r="C83" s="852"/>
      <c r="D83" s="924" t="s">
        <v>262</v>
      </c>
      <c r="E83" s="466" t="s">
        <v>34</v>
      </c>
      <c r="F83" s="466"/>
      <c r="G83" s="466"/>
      <c r="H83" s="884" t="s">
        <v>659</v>
      </c>
      <c r="I83" s="925">
        <v>5</v>
      </c>
      <c r="J83" s="926">
        <v>75</v>
      </c>
      <c r="K83" s="927">
        <v>1</v>
      </c>
      <c r="L83" s="928">
        <f t="shared" si="5"/>
        <v>375</v>
      </c>
      <c r="M83" s="455"/>
      <c r="N83" s="456"/>
      <c r="O83" s="895"/>
      <c r="P83" s="861"/>
      <c r="Q83" s="896"/>
      <c r="R83" s="1679"/>
      <c r="S83" s="844"/>
      <c r="T83" s="844"/>
      <c r="U83" s="844"/>
      <c r="V83" s="844"/>
      <c r="W83" s="844"/>
      <c r="X83" s="844"/>
      <c r="Y83" s="844"/>
      <c r="Z83" s="844"/>
      <c r="AA83" s="844"/>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3"/>
      <c r="BA83" s="833"/>
      <c r="BB83" s="833"/>
      <c r="BC83" s="833"/>
      <c r="BD83" s="833"/>
      <c r="BE83" s="833"/>
      <c r="BF83" s="833"/>
      <c r="BG83" s="833"/>
      <c r="BH83" s="833"/>
      <c r="BI83" s="833"/>
      <c r="BJ83" s="833"/>
      <c r="BK83" s="833"/>
    </row>
    <row r="84" spans="2:63" ht="15" customHeight="1" x14ac:dyDescent="0.2">
      <c r="C84" s="852"/>
      <c r="D84" s="924" t="s">
        <v>226</v>
      </c>
      <c r="E84" s="466" t="s">
        <v>34</v>
      </c>
      <c r="F84" s="466"/>
      <c r="G84" s="466"/>
      <c r="H84" s="884" t="s">
        <v>659</v>
      </c>
      <c r="I84" s="925">
        <v>10</v>
      </c>
      <c r="J84" s="926">
        <v>10</v>
      </c>
      <c r="K84" s="927">
        <v>1</v>
      </c>
      <c r="L84" s="928">
        <f t="shared" si="5"/>
        <v>100</v>
      </c>
      <c r="M84" s="455"/>
      <c r="N84" s="456"/>
      <c r="O84" s="895"/>
      <c r="P84" s="861"/>
      <c r="Q84" s="896"/>
      <c r="R84" s="1679"/>
      <c r="S84" s="844"/>
      <c r="T84" s="844"/>
      <c r="U84" s="844"/>
      <c r="V84" s="844"/>
      <c r="W84" s="844"/>
      <c r="X84" s="844"/>
      <c r="Y84" s="844"/>
      <c r="Z84" s="844"/>
      <c r="AA84" s="844"/>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3"/>
      <c r="BA84" s="833"/>
      <c r="BB84" s="833"/>
      <c r="BC84" s="833"/>
      <c r="BD84" s="833"/>
      <c r="BE84" s="833"/>
      <c r="BF84" s="833"/>
      <c r="BG84" s="833"/>
      <c r="BH84" s="833"/>
      <c r="BI84" s="833"/>
      <c r="BJ84" s="833"/>
      <c r="BK84" s="833"/>
    </row>
    <row r="85" spans="2:63" ht="15" customHeight="1" x14ac:dyDescent="0.2">
      <c r="C85" s="852"/>
      <c r="D85" s="924" t="s">
        <v>234</v>
      </c>
      <c r="E85" s="466" t="s">
        <v>34</v>
      </c>
      <c r="F85" s="466"/>
      <c r="G85" s="466"/>
      <c r="H85" s="884" t="s">
        <v>659</v>
      </c>
      <c r="I85" s="925">
        <v>160</v>
      </c>
      <c r="J85" s="926">
        <v>1.2</v>
      </c>
      <c r="K85" s="927">
        <v>1</v>
      </c>
      <c r="L85" s="928">
        <f t="shared" si="5"/>
        <v>192</v>
      </c>
      <c r="M85" s="455"/>
      <c r="N85" s="456"/>
      <c r="O85" s="897"/>
      <c r="P85" s="898"/>
      <c r="Q85" s="899"/>
      <c r="R85" s="1680"/>
      <c r="S85" s="844"/>
      <c r="T85" s="844"/>
      <c r="U85" s="844"/>
      <c r="V85" s="844"/>
      <c r="W85" s="844"/>
      <c r="X85" s="844"/>
      <c r="Y85" s="844"/>
      <c r="Z85" s="844"/>
      <c r="AA85" s="844"/>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3"/>
      <c r="BA85" s="833"/>
      <c r="BB85" s="833"/>
      <c r="BC85" s="833"/>
      <c r="BD85" s="833"/>
      <c r="BE85" s="833"/>
      <c r="BF85" s="833"/>
      <c r="BG85" s="833"/>
      <c r="BH85" s="833"/>
      <c r="BI85" s="833"/>
      <c r="BJ85" s="833"/>
      <c r="BK85" s="833"/>
    </row>
    <row r="86" spans="2:63" ht="15" customHeight="1" x14ac:dyDescent="0.2">
      <c r="C86" s="852"/>
      <c r="D86" s="924" t="s">
        <v>602</v>
      </c>
      <c r="E86" s="462" t="s">
        <v>34</v>
      </c>
      <c r="F86" s="462"/>
      <c r="G86" s="462"/>
      <c r="H86" s="919" t="s">
        <v>659</v>
      </c>
      <c r="I86" s="925">
        <v>1</v>
      </c>
      <c r="J86" s="926">
        <v>600</v>
      </c>
      <c r="K86" s="927">
        <v>12</v>
      </c>
      <c r="L86" s="928">
        <f t="shared" si="5"/>
        <v>7200</v>
      </c>
      <c r="M86" s="455"/>
      <c r="N86" s="456"/>
      <c r="O86" s="897"/>
      <c r="P86" s="898"/>
      <c r="Q86" s="899"/>
      <c r="R86" s="902"/>
      <c r="S86" s="844"/>
      <c r="T86" s="844"/>
      <c r="U86" s="844"/>
      <c r="V86" s="844"/>
      <c r="W86" s="844"/>
      <c r="X86" s="844"/>
      <c r="Y86" s="844"/>
      <c r="Z86" s="844"/>
      <c r="AA86" s="844"/>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3"/>
      <c r="BA86" s="833"/>
      <c r="BB86" s="833"/>
      <c r="BC86" s="833"/>
      <c r="BD86" s="833"/>
      <c r="BE86" s="833"/>
      <c r="BF86" s="833"/>
      <c r="BG86" s="833"/>
      <c r="BH86" s="833"/>
      <c r="BI86" s="833"/>
      <c r="BJ86" s="833"/>
      <c r="BK86" s="833"/>
    </row>
    <row r="87" spans="2:63" x14ac:dyDescent="0.2">
      <c r="B87" s="869" t="s">
        <v>668</v>
      </c>
      <c r="C87" s="852"/>
      <c r="D87" s="870" t="s">
        <v>246</v>
      </c>
      <c r="E87" s="870"/>
      <c r="F87" s="870"/>
      <c r="G87" s="870"/>
      <c r="H87" s="871"/>
      <c r="I87" s="871"/>
      <c r="J87" s="871"/>
      <c r="K87" s="871"/>
      <c r="L87" s="872">
        <f>SUM(L73:L86)</f>
        <v>16842</v>
      </c>
      <c r="M87" s="873">
        <v>30</v>
      </c>
      <c r="N87" s="874">
        <f>L87*M87/100</f>
        <v>5052.6000000000004</v>
      </c>
      <c r="O87" s="874"/>
      <c r="P87" s="876">
        <v>4081</v>
      </c>
      <c r="Q87" s="905">
        <f>P87/L87</f>
        <v>0.24231088944305901</v>
      </c>
      <c r="R87" s="906"/>
      <c r="S87" s="844"/>
      <c r="T87" s="844"/>
      <c r="U87" s="844"/>
      <c r="V87" s="844"/>
      <c r="W87" s="844"/>
      <c r="X87" s="844"/>
      <c r="Y87" s="844"/>
      <c r="Z87" s="844"/>
      <c r="AA87" s="878" t="s">
        <v>669</v>
      </c>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3"/>
      <c r="BA87" s="833"/>
      <c r="BB87" s="833"/>
      <c r="BC87" s="833"/>
      <c r="BD87" s="833"/>
      <c r="BE87" s="833"/>
      <c r="BF87" s="833"/>
      <c r="BG87" s="833"/>
      <c r="BH87" s="833"/>
      <c r="BI87" s="833"/>
      <c r="BJ87" s="833"/>
      <c r="BK87" s="833"/>
    </row>
    <row r="88" spans="2:63" ht="13.9" customHeight="1" x14ac:dyDescent="0.2">
      <c r="C88" s="852"/>
      <c r="D88" s="453" t="s">
        <v>603</v>
      </c>
      <c r="E88" s="454"/>
      <c r="F88" s="454"/>
      <c r="G88" s="454"/>
      <c r="H88" s="465"/>
      <c r="I88" s="454"/>
      <c r="J88" s="910"/>
      <c r="K88" s="910"/>
      <c r="L88" s="911"/>
      <c r="M88" s="455"/>
      <c r="N88" s="456"/>
      <c r="O88" s="923"/>
      <c r="P88" s="880"/>
      <c r="Q88" s="912"/>
      <c r="R88" s="1681"/>
      <c r="S88" s="844"/>
      <c r="T88" s="844"/>
      <c r="U88" s="844"/>
      <c r="V88" s="844"/>
      <c r="W88" s="844"/>
      <c r="X88" s="844"/>
      <c r="Y88" s="844"/>
      <c r="Z88" s="844"/>
      <c r="AA88" s="844"/>
      <c r="AB88" s="833"/>
      <c r="AC88" s="833"/>
      <c r="AD88" s="833"/>
      <c r="AE88" s="833"/>
      <c r="AF88" s="833"/>
      <c r="AG88" s="833"/>
      <c r="AH88" s="833"/>
      <c r="AI88" s="833"/>
      <c r="AJ88" s="833"/>
      <c r="AK88" s="833"/>
      <c r="AL88" s="833"/>
      <c r="AM88" s="833"/>
      <c r="AN88" s="833"/>
      <c r="AO88" s="833"/>
      <c r="AP88" s="833"/>
      <c r="AQ88" s="833"/>
      <c r="AR88" s="833"/>
      <c r="AS88" s="833"/>
      <c r="AT88" s="833"/>
      <c r="AU88" s="833"/>
      <c r="AV88" s="833"/>
      <c r="AW88" s="833"/>
      <c r="AX88" s="833"/>
      <c r="AY88" s="833"/>
      <c r="AZ88" s="833"/>
      <c r="BA88" s="833"/>
      <c r="BB88" s="833"/>
      <c r="BC88" s="833"/>
      <c r="BD88" s="833"/>
      <c r="BE88" s="833"/>
      <c r="BF88" s="833"/>
      <c r="BG88" s="833"/>
      <c r="BH88" s="833"/>
      <c r="BI88" s="833"/>
      <c r="BJ88" s="833"/>
      <c r="BK88" s="833"/>
    </row>
    <row r="89" spans="2:63" x14ac:dyDescent="0.2">
      <c r="C89" s="852"/>
      <c r="D89" s="929" t="s">
        <v>263</v>
      </c>
      <c r="E89" s="466" t="s">
        <v>34</v>
      </c>
      <c r="F89" s="466"/>
      <c r="G89" s="466"/>
      <c r="H89" s="884" t="s">
        <v>659</v>
      </c>
      <c r="I89" s="930">
        <v>50</v>
      </c>
      <c r="J89" s="931">
        <v>10</v>
      </c>
      <c r="K89" s="932">
        <v>2</v>
      </c>
      <c r="L89" s="933">
        <f>I89*J89*K89</f>
        <v>1000</v>
      </c>
      <c r="M89" s="455"/>
      <c r="N89" s="456"/>
      <c r="O89" s="895"/>
      <c r="P89" s="861"/>
      <c r="Q89" s="896"/>
      <c r="R89" s="1682"/>
      <c r="S89" s="844"/>
      <c r="T89" s="844"/>
      <c r="U89" s="844"/>
      <c r="V89" s="844"/>
      <c r="W89" s="844"/>
      <c r="X89" s="844"/>
      <c r="Y89" s="844"/>
      <c r="Z89" s="844"/>
      <c r="AA89" s="844"/>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833"/>
      <c r="AY89" s="833"/>
      <c r="AZ89" s="833"/>
      <c r="BA89" s="833"/>
      <c r="BB89" s="833"/>
      <c r="BC89" s="833"/>
      <c r="BD89" s="833"/>
      <c r="BE89" s="833"/>
      <c r="BF89" s="833"/>
      <c r="BG89" s="833"/>
      <c r="BH89" s="833"/>
      <c r="BI89" s="833"/>
      <c r="BJ89" s="833"/>
      <c r="BK89" s="833"/>
    </row>
    <row r="90" spans="2:63" x14ac:dyDescent="0.2">
      <c r="C90" s="852"/>
      <c r="D90" s="890" t="s">
        <v>264</v>
      </c>
      <c r="E90" s="466" t="s">
        <v>34</v>
      </c>
      <c r="F90" s="466"/>
      <c r="G90" s="466"/>
      <c r="H90" s="884" t="s">
        <v>659</v>
      </c>
      <c r="I90" s="934">
        <v>50</v>
      </c>
      <c r="J90" s="935">
        <v>2</v>
      </c>
      <c r="K90" s="936">
        <v>2</v>
      </c>
      <c r="L90" s="937">
        <f t="shared" ref="L90:L92" si="6">I90*J90*K90</f>
        <v>200</v>
      </c>
      <c r="M90" s="455"/>
      <c r="N90" s="456"/>
      <c r="O90" s="895"/>
      <c r="P90" s="861"/>
      <c r="Q90" s="896"/>
      <c r="R90" s="1682"/>
      <c r="S90" s="844"/>
      <c r="T90" s="844"/>
      <c r="U90" s="844"/>
      <c r="V90" s="844"/>
      <c r="W90" s="844"/>
      <c r="X90" s="844"/>
      <c r="Y90" s="844"/>
      <c r="Z90" s="844"/>
      <c r="AA90" s="844"/>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833"/>
      <c r="AY90" s="833"/>
      <c r="AZ90" s="833"/>
      <c r="BA90" s="833"/>
      <c r="BB90" s="833"/>
      <c r="BC90" s="833"/>
      <c r="BD90" s="833"/>
      <c r="BE90" s="833"/>
      <c r="BF90" s="833"/>
      <c r="BG90" s="833"/>
      <c r="BH90" s="833"/>
      <c r="BI90" s="833"/>
      <c r="BJ90" s="833"/>
      <c r="BK90" s="833"/>
    </row>
    <row r="91" spans="2:63" x14ac:dyDescent="0.2">
      <c r="C91" s="852"/>
      <c r="D91" s="890" t="s">
        <v>604</v>
      </c>
      <c r="E91" s="466" t="s">
        <v>34</v>
      </c>
      <c r="F91" s="466"/>
      <c r="G91" s="466"/>
      <c r="H91" s="884" t="s">
        <v>659</v>
      </c>
      <c r="I91" s="934">
        <v>1</v>
      </c>
      <c r="J91" s="935">
        <v>150</v>
      </c>
      <c r="K91" s="936">
        <v>2</v>
      </c>
      <c r="L91" s="937">
        <f t="shared" si="6"/>
        <v>300</v>
      </c>
      <c r="M91" s="455"/>
      <c r="N91" s="456"/>
      <c r="O91" s="895"/>
      <c r="P91" s="861"/>
      <c r="Q91" s="896"/>
      <c r="R91" s="1682"/>
      <c r="S91" s="844"/>
      <c r="T91" s="844"/>
      <c r="U91" s="844"/>
      <c r="V91" s="844"/>
      <c r="W91" s="844"/>
      <c r="X91" s="844"/>
      <c r="Y91" s="844"/>
      <c r="Z91" s="844"/>
      <c r="AA91" s="844"/>
      <c r="AB91" s="833"/>
      <c r="AC91" s="833"/>
      <c r="AD91" s="833"/>
      <c r="AE91" s="833"/>
      <c r="AF91" s="833"/>
      <c r="AG91" s="833"/>
      <c r="AH91" s="833"/>
      <c r="AI91" s="833"/>
      <c r="AJ91" s="833"/>
      <c r="AK91" s="833"/>
      <c r="AL91" s="833"/>
      <c r="AM91" s="833"/>
      <c r="AN91" s="833"/>
      <c r="AO91" s="833"/>
      <c r="AP91" s="833"/>
      <c r="AQ91" s="833"/>
      <c r="AR91" s="833"/>
      <c r="AS91" s="833"/>
      <c r="AT91" s="833"/>
      <c r="AU91" s="833"/>
      <c r="AV91" s="833"/>
      <c r="AW91" s="833"/>
      <c r="AX91" s="833"/>
      <c r="AY91" s="833"/>
      <c r="AZ91" s="833"/>
      <c r="BA91" s="833"/>
      <c r="BB91" s="833"/>
      <c r="BC91" s="833"/>
      <c r="BD91" s="833"/>
      <c r="BE91" s="833"/>
      <c r="BF91" s="833"/>
      <c r="BG91" s="833"/>
      <c r="BH91" s="833"/>
      <c r="BI91" s="833"/>
      <c r="BJ91" s="833"/>
      <c r="BK91" s="833"/>
    </row>
    <row r="92" spans="2:63" x14ac:dyDescent="0.2">
      <c r="C92" s="852"/>
      <c r="D92" s="890" t="s">
        <v>265</v>
      </c>
      <c r="E92" s="466" t="s">
        <v>34</v>
      </c>
      <c r="F92" s="466"/>
      <c r="G92" s="466"/>
      <c r="H92" s="884" t="s">
        <v>659</v>
      </c>
      <c r="I92" s="938">
        <v>1</v>
      </c>
      <c r="J92" s="939">
        <v>350</v>
      </c>
      <c r="K92" s="940">
        <v>2</v>
      </c>
      <c r="L92" s="937">
        <f t="shared" si="6"/>
        <v>700</v>
      </c>
      <c r="M92" s="455"/>
      <c r="N92" s="456"/>
      <c r="O92" s="895"/>
      <c r="P92" s="861"/>
      <c r="Q92" s="896"/>
      <c r="R92" s="1682"/>
      <c r="S92" s="844"/>
      <c r="T92" s="844"/>
      <c r="U92" s="844"/>
      <c r="V92" s="844"/>
      <c r="W92" s="844"/>
      <c r="X92" s="844"/>
      <c r="Y92" s="844"/>
      <c r="Z92" s="844"/>
      <c r="AA92" s="844"/>
      <c r="AB92" s="833"/>
      <c r="AC92" s="833"/>
      <c r="AD92" s="833"/>
      <c r="AE92" s="833"/>
      <c r="AF92" s="833"/>
      <c r="AG92" s="833"/>
      <c r="AH92" s="833"/>
      <c r="AI92" s="833"/>
      <c r="AJ92" s="833"/>
      <c r="AK92" s="833"/>
      <c r="AL92" s="833"/>
      <c r="AM92" s="833"/>
      <c r="AN92" s="833"/>
      <c r="AO92" s="833"/>
      <c r="AP92" s="833"/>
      <c r="AQ92" s="833"/>
      <c r="AR92" s="833"/>
      <c r="AS92" s="833"/>
      <c r="AT92" s="833"/>
      <c r="AU92" s="833"/>
      <c r="AV92" s="833"/>
      <c r="AW92" s="833"/>
      <c r="AX92" s="833"/>
      <c r="AY92" s="833"/>
      <c r="AZ92" s="833"/>
      <c r="BA92" s="833"/>
      <c r="BB92" s="833"/>
      <c r="BC92" s="833"/>
      <c r="BD92" s="833"/>
      <c r="BE92" s="833"/>
      <c r="BF92" s="833"/>
      <c r="BG92" s="833"/>
      <c r="BH92" s="833"/>
      <c r="BI92" s="833"/>
      <c r="BJ92" s="833"/>
      <c r="BK92" s="833"/>
    </row>
    <row r="93" spans="2:63" x14ac:dyDescent="0.2">
      <c r="B93" s="869" t="s">
        <v>670</v>
      </c>
      <c r="C93" s="941"/>
      <c r="D93" s="870" t="s">
        <v>246</v>
      </c>
      <c r="E93" s="870"/>
      <c r="F93" s="870"/>
      <c r="G93" s="870"/>
      <c r="H93" s="871"/>
      <c r="I93" s="871"/>
      <c r="J93" s="942"/>
      <c r="K93" s="871"/>
      <c r="L93" s="872">
        <f>SUM(L89:L92)</f>
        <v>2200</v>
      </c>
      <c r="M93" s="873">
        <v>15</v>
      </c>
      <c r="N93" s="874">
        <f>L93*M93/100</f>
        <v>330</v>
      </c>
      <c r="O93" s="875"/>
      <c r="P93" s="876">
        <v>3893.02</v>
      </c>
      <c r="Q93" s="889">
        <f>P93/L93</f>
        <v>1.7695545454545454</v>
      </c>
      <c r="R93" s="1683"/>
      <c r="S93" s="844"/>
      <c r="T93" s="844"/>
      <c r="U93" s="844"/>
      <c r="V93" s="844"/>
      <c r="W93" s="844"/>
      <c r="X93" s="844"/>
      <c r="Y93" s="844"/>
      <c r="Z93" s="844"/>
      <c r="AA93" s="878" t="s">
        <v>671</v>
      </c>
      <c r="AB93" s="833"/>
      <c r="AC93" s="833"/>
      <c r="AD93" s="833"/>
      <c r="AE93" s="833"/>
      <c r="AF93" s="833"/>
      <c r="AG93" s="833"/>
      <c r="AH93" s="833"/>
      <c r="AI93" s="833"/>
      <c r="AJ93" s="833"/>
      <c r="AK93" s="833"/>
      <c r="AL93" s="833"/>
      <c r="AM93" s="833"/>
      <c r="AN93" s="833"/>
      <c r="AO93" s="833"/>
      <c r="AP93" s="833"/>
      <c r="AQ93" s="833"/>
      <c r="AR93" s="833"/>
      <c r="AS93" s="833"/>
      <c r="AT93" s="833"/>
      <c r="AU93" s="833"/>
      <c r="AV93" s="833"/>
      <c r="AW93" s="833"/>
      <c r="AX93" s="833"/>
      <c r="AY93" s="833"/>
      <c r="AZ93" s="833"/>
      <c r="BA93" s="833"/>
      <c r="BB93" s="833"/>
      <c r="BC93" s="833"/>
      <c r="BD93" s="833"/>
      <c r="BE93" s="833"/>
      <c r="BF93" s="833"/>
      <c r="BG93" s="833"/>
      <c r="BH93" s="833"/>
      <c r="BI93" s="833"/>
      <c r="BJ93" s="833"/>
      <c r="BK93" s="833"/>
    </row>
    <row r="94" spans="2:63" x14ac:dyDescent="0.2">
      <c r="C94" s="943" t="s">
        <v>266</v>
      </c>
      <c r="D94" s="453" t="s">
        <v>267</v>
      </c>
      <c r="E94" s="454"/>
      <c r="F94" s="454"/>
      <c r="G94" s="454"/>
      <c r="H94" s="454"/>
      <c r="I94" s="454"/>
      <c r="J94" s="910"/>
      <c r="K94" s="910"/>
      <c r="L94" s="911"/>
      <c r="M94" s="455"/>
      <c r="N94" s="456"/>
      <c r="O94" s="923"/>
      <c r="P94" s="880"/>
      <c r="Q94" s="912"/>
      <c r="R94" s="1673"/>
      <c r="S94" s="844"/>
      <c r="T94" s="844"/>
      <c r="U94" s="844"/>
      <c r="V94" s="844"/>
      <c r="W94" s="844"/>
      <c r="X94" s="844"/>
      <c r="Y94" s="844"/>
      <c r="Z94" s="844"/>
      <c r="AA94" s="844"/>
      <c r="AB94" s="833"/>
      <c r="AC94" s="833"/>
      <c r="AD94" s="833"/>
      <c r="AE94" s="833"/>
      <c r="AF94" s="833"/>
      <c r="AG94" s="833"/>
      <c r="AH94" s="833"/>
      <c r="AI94" s="833"/>
      <c r="AJ94" s="833"/>
      <c r="AK94" s="833"/>
      <c r="AL94" s="833"/>
      <c r="AM94" s="833"/>
      <c r="AN94" s="833"/>
      <c r="AO94" s="833"/>
      <c r="AP94" s="833"/>
      <c r="AQ94" s="833"/>
      <c r="AR94" s="833"/>
      <c r="AS94" s="833"/>
      <c r="AT94" s="833"/>
      <c r="AU94" s="833"/>
      <c r="AV94" s="833"/>
      <c r="AW94" s="833"/>
      <c r="AX94" s="833"/>
      <c r="AY94" s="833"/>
      <c r="AZ94" s="833"/>
      <c r="BA94" s="833"/>
      <c r="BB94" s="833"/>
      <c r="BC94" s="833"/>
      <c r="BD94" s="833"/>
      <c r="BE94" s="833"/>
      <c r="BF94" s="833"/>
      <c r="BG94" s="833"/>
      <c r="BH94" s="833"/>
      <c r="BI94" s="833"/>
      <c r="BJ94" s="833"/>
      <c r="BK94" s="833"/>
    </row>
    <row r="95" spans="2:63" x14ac:dyDescent="0.2">
      <c r="C95" s="944"/>
      <c r="D95" s="890" t="s">
        <v>268</v>
      </c>
      <c r="E95" s="466" t="s">
        <v>34</v>
      </c>
      <c r="F95" s="466"/>
      <c r="G95" s="466"/>
      <c r="H95" s="884" t="s">
        <v>659</v>
      </c>
      <c r="I95" s="891">
        <v>1</v>
      </c>
      <c r="J95" s="892">
        <v>20</v>
      </c>
      <c r="K95" s="893">
        <v>2</v>
      </c>
      <c r="L95" s="894">
        <f>I95*J95*K95</f>
        <v>40</v>
      </c>
      <c r="M95" s="455"/>
      <c r="N95" s="456"/>
      <c r="O95" s="895"/>
      <c r="P95" s="861"/>
      <c r="Q95" s="896"/>
      <c r="R95" s="1679"/>
      <c r="S95" s="844"/>
      <c r="T95" s="844"/>
      <c r="U95" s="844"/>
      <c r="V95" s="844"/>
      <c r="W95" s="844"/>
      <c r="X95" s="844"/>
      <c r="Y95" s="844"/>
      <c r="Z95" s="844"/>
      <c r="AA95" s="844"/>
      <c r="AB95" s="833"/>
      <c r="AC95" s="833"/>
      <c r="AD95" s="833"/>
      <c r="AE95" s="833"/>
      <c r="AF95" s="833"/>
      <c r="AG95" s="833"/>
      <c r="AH95" s="833"/>
      <c r="AI95" s="833"/>
      <c r="AJ95" s="833"/>
      <c r="AK95" s="833"/>
      <c r="AL95" s="833"/>
      <c r="AM95" s="833"/>
      <c r="AN95" s="833"/>
      <c r="AO95" s="833"/>
      <c r="AP95" s="833"/>
      <c r="AQ95" s="833"/>
      <c r="AR95" s="833"/>
      <c r="AS95" s="833"/>
      <c r="AT95" s="833"/>
      <c r="AU95" s="833"/>
      <c r="AV95" s="833"/>
      <c r="AW95" s="833"/>
      <c r="AX95" s="833"/>
      <c r="AY95" s="833"/>
      <c r="AZ95" s="833"/>
      <c r="BA95" s="833"/>
      <c r="BB95" s="833"/>
      <c r="BC95" s="833"/>
      <c r="BD95" s="833"/>
      <c r="BE95" s="833"/>
      <c r="BF95" s="833"/>
      <c r="BG95" s="833"/>
      <c r="BH95" s="833"/>
      <c r="BI95" s="833"/>
      <c r="BJ95" s="833"/>
      <c r="BK95" s="833"/>
    </row>
    <row r="96" spans="2:63" x14ac:dyDescent="0.2">
      <c r="C96" s="944"/>
      <c r="D96" s="890" t="s">
        <v>250</v>
      </c>
      <c r="E96" s="466" t="s">
        <v>34</v>
      </c>
      <c r="F96" s="466"/>
      <c r="G96" s="466"/>
      <c r="H96" s="884" t="s">
        <v>659</v>
      </c>
      <c r="I96" s="891">
        <v>15</v>
      </c>
      <c r="J96" s="892">
        <v>20</v>
      </c>
      <c r="K96" s="893">
        <v>1</v>
      </c>
      <c r="L96" s="894">
        <f t="shared" ref="L96:L103" si="7">I96*J96*K96</f>
        <v>300</v>
      </c>
      <c r="M96" s="455"/>
      <c r="N96" s="456"/>
      <c r="O96" s="895"/>
      <c r="P96" s="861"/>
      <c r="Q96" s="896"/>
      <c r="R96" s="1679"/>
      <c r="S96" s="844"/>
      <c r="T96" s="844"/>
      <c r="U96" s="844"/>
      <c r="V96" s="844"/>
      <c r="W96" s="844"/>
      <c r="X96" s="844"/>
      <c r="Y96" s="844"/>
      <c r="Z96" s="844"/>
      <c r="AA96" s="844"/>
      <c r="AB96" s="833"/>
      <c r="AC96" s="833"/>
      <c r="AD96" s="833"/>
      <c r="AE96" s="833"/>
      <c r="AF96" s="833"/>
      <c r="AG96" s="833"/>
      <c r="AH96" s="833"/>
      <c r="AI96" s="833"/>
      <c r="AJ96" s="833"/>
      <c r="AK96" s="833"/>
      <c r="AL96" s="833"/>
      <c r="AM96" s="833"/>
      <c r="AN96" s="833"/>
      <c r="AO96" s="833"/>
      <c r="AP96" s="833"/>
      <c r="AQ96" s="833"/>
      <c r="AR96" s="833"/>
      <c r="AS96" s="833"/>
      <c r="AT96" s="833"/>
      <c r="AU96" s="833"/>
      <c r="AV96" s="833"/>
      <c r="AW96" s="833"/>
      <c r="AX96" s="833"/>
      <c r="AY96" s="833"/>
      <c r="AZ96" s="833"/>
      <c r="BA96" s="833"/>
      <c r="BB96" s="833"/>
      <c r="BC96" s="833"/>
      <c r="BD96" s="833"/>
      <c r="BE96" s="833"/>
      <c r="BF96" s="833"/>
      <c r="BG96" s="833"/>
      <c r="BH96" s="833"/>
      <c r="BI96" s="833"/>
      <c r="BJ96" s="833"/>
      <c r="BK96" s="833"/>
    </row>
    <row r="97" spans="2:63" x14ac:dyDescent="0.2">
      <c r="C97" s="944"/>
      <c r="D97" s="890" t="s">
        <v>256</v>
      </c>
      <c r="E97" s="466" t="s">
        <v>34</v>
      </c>
      <c r="F97" s="466"/>
      <c r="G97" s="466"/>
      <c r="H97" s="884" t="s">
        <v>659</v>
      </c>
      <c r="I97" s="891">
        <v>15</v>
      </c>
      <c r="J97" s="892">
        <v>10</v>
      </c>
      <c r="K97" s="893">
        <v>3</v>
      </c>
      <c r="L97" s="894">
        <f t="shared" si="7"/>
        <v>450</v>
      </c>
      <c r="M97" s="455"/>
      <c r="N97" s="456"/>
      <c r="O97" s="895"/>
      <c r="P97" s="861"/>
      <c r="Q97" s="896"/>
      <c r="R97" s="1679"/>
      <c r="S97" s="844"/>
      <c r="T97" s="844"/>
      <c r="U97" s="844"/>
      <c r="V97" s="844"/>
      <c r="W97" s="844"/>
      <c r="X97" s="844"/>
      <c r="Y97" s="844"/>
      <c r="Z97" s="844"/>
      <c r="AA97" s="844"/>
      <c r="AB97" s="833"/>
      <c r="AC97" s="833"/>
      <c r="AD97" s="833"/>
      <c r="AE97" s="833"/>
      <c r="AF97" s="833"/>
      <c r="AG97" s="833"/>
      <c r="AH97" s="833"/>
      <c r="AI97" s="833"/>
      <c r="AJ97" s="833"/>
      <c r="AK97" s="833"/>
      <c r="AL97" s="833"/>
      <c r="AM97" s="833"/>
      <c r="AN97" s="833"/>
      <c r="AO97" s="833"/>
      <c r="AP97" s="833"/>
      <c r="AQ97" s="833"/>
      <c r="AR97" s="833"/>
      <c r="AS97" s="833"/>
      <c r="AT97" s="833"/>
      <c r="AU97" s="833"/>
      <c r="AV97" s="833"/>
      <c r="AW97" s="833"/>
      <c r="AX97" s="833"/>
      <c r="AY97" s="833"/>
      <c r="AZ97" s="833"/>
      <c r="BA97" s="833"/>
      <c r="BB97" s="833"/>
      <c r="BC97" s="833"/>
      <c r="BD97" s="833"/>
      <c r="BE97" s="833"/>
      <c r="BF97" s="833"/>
      <c r="BG97" s="833"/>
      <c r="BH97" s="833"/>
      <c r="BI97" s="833"/>
      <c r="BJ97" s="833"/>
      <c r="BK97" s="833"/>
    </row>
    <row r="98" spans="2:63" x14ac:dyDescent="0.2">
      <c r="C98" s="944"/>
      <c r="D98" s="890" t="s">
        <v>269</v>
      </c>
      <c r="E98" s="466" t="s">
        <v>34</v>
      </c>
      <c r="F98" s="466"/>
      <c r="G98" s="466"/>
      <c r="H98" s="884" t="s">
        <v>659</v>
      </c>
      <c r="I98" s="891">
        <v>70</v>
      </c>
      <c r="J98" s="892">
        <v>10</v>
      </c>
      <c r="K98" s="893">
        <v>2</v>
      </c>
      <c r="L98" s="894">
        <f t="shared" si="7"/>
        <v>1400</v>
      </c>
      <c r="M98" s="455"/>
      <c r="N98" s="456"/>
      <c r="O98" s="895"/>
      <c r="P98" s="861"/>
      <c r="Q98" s="896"/>
      <c r="R98" s="1679"/>
      <c r="S98" s="844"/>
      <c r="T98" s="844"/>
      <c r="U98" s="844"/>
      <c r="V98" s="844"/>
      <c r="W98" s="844"/>
      <c r="X98" s="844"/>
      <c r="Y98" s="844"/>
      <c r="Z98" s="844"/>
      <c r="AA98" s="844"/>
      <c r="AB98" s="833"/>
      <c r="AC98" s="833"/>
      <c r="AD98" s="833"/>
      <c r="AE98" s="833"/>
      <c r="AF98" s="833"/>
      <c r="AG98" s="833"/>
      <c r="AH98" s="833"/>
      <c r="AI98" s="833"/>
      <c r="AJ98" s="833"/>
      <c r="AK98" s="833"/>
      <c r="AL98" s="833"/>
      <c r="AM98" s="833"/>
      <c r="AN98" s="833"/>
      <c r="AO98" s="833"/>
      <c r="AP98" s="833"/>
      <c r="AQ98" s="833"/>
      <c r="AR98" s="833"/>
      <c r="AS98" s="833"/>
      <c r="AT98" s="833"/>
      <c r="AU98" s="833"/>
      <c r="AV98" s="833"/>
      <c r="AW98" s="833"/>
      <c r="AX98" s="833"/>
      <c r="AY98" s="833"/>
      <c r="AZ98" s="833"/>
      <c r="BA98" s="833"/>
      <c r="BB98" s="833"/>
      <c r="BC98" s="833"/>
      <c r="BD98" s="833"/>
      <c r="BE98" s="833"/>
      <c r="BF98" s="833"/>
      <c r="BG98" s="833"/>
      <c r="BH98" s="833"/>
      <c r="BI98" s="833"/>
      <c r="BJ98" s="833"/>
      <c r="BK98" s="833"/>
    </row>
    <row r="99" spans="2:63" x14ac:dyDescent="0.2">
      <c r="C99" s="944"/>
      <c r="D99" s="890" t="s">
        <v>605</v>
      </c>
      <c r="E99" s="466" t="s">
        <v>34</v>
      </c>
      <c r="F99" s="466"/>
      <c r="G99" s="466"/>
      <c r="H99" s="884" t="s">
        <v>659</v>
      </c>
      <c r="I99" s="891">
        <v>70</v>
      </c>
      <c r="J99" s="892">
        <v>1.5</v>
      </c>
      <c r="K99" s="893">
        <v>1</v>
      </c>
      <c r="L99" s="907">
        <f t="shared" si="7"/>
        <v>105</v>
      </c>
      <c r="M99" s="467"/>
      <c r="N99" s="456"/>
      <c r="O99" s="895"/>
      <c r="P99" s="861"/>
      <c r="Q99" s="896"/>
      <c r="R99" s="1679"/>
      <c r="S99" s="844"/>
      <c r="T99" s="844"/>
      <c r="U99" s="844"/>
      <c r="V99" s="844"/>
      <c r="W99" s="844"/>
      <c r="X99" s="844"/>
      <c r="Y99" s="844"/>
      <c r="Z99" s="844"/>
      <c r="AA99" s="844"/>
      <c r="AB99" s="833"/>
      <c r="AC99" s="833"/>
      <c r="AD99" s="833"/>
      <c r="AE99" s="833"/>
      <c r="AF99" s="833"/>
      <c r="AG99" s="833"/>
      <c r="AH99" s="833"/>
      <c r="AI99" s="833"/>
      <c r="AJ99" s="833"/>
      <c r="AK99" s="833"/>
      <c r="AL99" s="833"/>
      <c r="AM99" s="833"/>
      <c r="AN99" s="833"/>
      <c r="AO99" s="833"/>
      <c r="AP99" s="833"/>
      <c r="AQ99" s="833"/>
      <c r="AR99" s="833"/>
      <c r="AS99" s="833"/>
      <c r="AT99" s="833"/>
      <c r="AU99" s="833"/>
      <c r="AV99" s="833"/>
      <c r="AW99" s="833"/>
      <c r="AX99" s="833"/>
      <c r="AY99" s="833"/>
      <c r="AZ99" s="833"/>
      <c r="BA99" s="833"/>
      <c r="BB99" s="833"/>
      <c r="BC99" s="833"/>
      <c r="BD99" s="833"/>
      <c r="BE99" s="833"/>
      <c r="BF99" s="833"/>
      <c r="BG99" s="833"/>
      <c r="BH99" s="833"/>
      <c r="BI99" s="833"/>
      <c r="BJ99" s="833"/>
      <c r="BK99" s="833"/>
    </row>
    <row r="100" spans="2:63" x14ac:dyDescent="0.2">
      <c r="C100" s="944"/>
      <c r="D100" s="890" t="s">
        <v>606</v>
      </c>
      <c r="E100" s="466" t="s">
        <v>34</v>
      </c>
      <c r="F100" s="466"/>
      <c r="G100" s="466"/>
      <c r="H100" s="884" t="s">
        <v>659</v>
      </c>
      <c r="I100" s="891">
        <v>3</v>
      </c>
      <c r="J100" s="892">
        <v>20</v>
      </c>
      <c r="K100" s="893">
        <v>11</v>
      </c>
      <c r="L100" s="894">
        <f t="shared" si="7"/>
        <v>660</v>
      </c>
      <c r="M100" s="455"/>
      <c r="N100" s="456"/>
      <c r="O100" s="895"/>
      <c r="P100" s="861"/>
      <c r="Q100" s="896"/>
      <c r="R100" s="1679"/>
      <c r="S100" s="844"/>
      <c r="T100" s="844"/>
      <c r="U100" s="844"/>
      <c r="V100" s="844"/>
      <c r="W100" s="844"/>
      <c r="X100" s="844"/>
      <c r="Y100" s="844"/>
      <c r="Z100" s="844"/>
      <c r="AA100" s="844"/>
      <c r="AB100" s="833"/>
      <c r="AC100" s="833"/>
      <c r="AD100" s="833"/>
      <c r="AE100" s="833"/>
      <c r="AF100" s="833"/>
      <c r="AG100" s="833"/>
      <c r="AH100" s="833"/>
      <c r="AI100" s="833"/>
      <c r="AJ100" s="833"/>
      <c r="AK100" s="833"/>
      <c r="AL100" s="833"/>
      <c r="AM100" s="833"/>
      <c r="AN100" s="833"/>
      <c r="AO100" s="833"/>
      <c r="AP100" s="833"/>
      <c r="AQ100" s="833"/>
      <c r="AR100" s="833"/>
      <c r="AS100" s="833"/>
      <c r="AT100" s="833"/>
      <c r="AU100" s="833"/>
      <c r="AV100" s="833"/>
      <c r="AW100" s="833"/>
      <c r="AX100" s="833"/>
      <c r="AY100" s="833"/>
      <c r="AZ100" s="833"/>
      <c r="BA100" s="833"/>
      <c r="BB100" s="833"/>
      <c r="BC100" s="833"/>
      <c r="BD100" s="833"/>
      <c r="BE100" s="833"/>
      <c r="BF100" s="833"/>
      <c r="BG100" s="833"/>
      <c r="BH100" s="833"/>
      <c r="BI100" s="833"/>
      <c r="BJ100" s="833"/>
      <c r="BK100" s="833"/>
    </row>
    <row r="101" spans="2:63" x14ac:dyDescent="0.2">
      <c r="C101" s="944"/>
      <c r="D101" s="890" t="s">
        <v>607</v>
      </c>
      <c r="E101" s="466" t="s">
        <v>34</v>
      </c>
      <c r="F101" s="466"/>
      <c r="G101" s="466"/>
      <c r="H101" s="884" t="s">
        <v>659</v>
      </c>
      <c r="I101" s="891">
        <v>1</v>
      </c>
      <c r="J101" s="892">
        <v>40</v>
      </c>
      <c r="K101" s="893">
        <v>11</v>
      </c>
      <c r="L101" s="945">
        <f t="shared" si="7"/>
        <v>440</v>
      </c>
      <c r="M101" s="455"/>
      <c r="N101" s="456"/>
      <c r="O101" s="895"/>
      <c r="P101" s="861"/>
      <c r="Q101" s="896"/>
      <c r="R101" s="1679"/>
      <c r="S101" s="844"/>
      <c r="T101" s="844"/>
      <c r="U101" s="844"/>
      <c r="V101" s="844"/>
      <c r="W101" s="844"/>
      <c r="X101" s="844"/>
      <c r="Y101" s="844"/>
      <c r="Z101" s="844"/>
      <c r="AA101" s="844"/>
      <c r="AB101" s="833"/>
      <c r="AC101" s="833"/>
      <c r="AD101" s="833"/>
      <c r="AE101" s="833"/>
      <c r="AF101" s="833"/>
      <c r="AG101" s="833"/>
      <c r="AH101" s="833"/>
      <c r="AI101" s="833"/>
      <c r="AJ101" s="833"/>
      <c r="AK101" s="833"/>
      <c r="AL101" s="833"/>
      <c r="AM101" s="833"/>
      <c r="AN101" s="833"/>
      <c r="AO101" s="833"/>
      <c r="AP101" s="833"/>
      <c r="AQ101" s="833"/>
      <c r="AR101" s="833"/>
      <c r="AS101" s="833"/>
      <c r="AT101" s="833"/>
      <c r="AU101" s="833"/>
      <c r="AV101" s="833"/>
      <c r="AW101" s="833"/>
      <c r="AX101" s="833"/>
      <c r="AY101" s="833"/>
      <c r="AZ101" s="833"/>
      <c r="BA101" s="833"/>
      <c r="BB101" s="833"/>
      <c r="BC101" s="833"/>
      <c r="BD101" s="833"/>
      <c r="BE101" s="833"/>
      <c r="BF101" s="833"/>
      <c r="BG101" s="833"/>
      <c r="BH101" s="833"/>
      <c r="BI101" s="833"/>
      <c r="BJ101" s="833"/>
      <c r="BK101" s="833"/>
    </row>
    <row r="102" spans="2:63" x14ac:dyDescent="0.2">
      <c r="C102" s="944"/>
      <c r="D102" s="890" t="s">
        <v>234</v>
      </c>
      <c r="E102" s="466" t="s">
        <v>34</v>
      </c>
      <c r="F102" s="466"/>
      <c r="G102" s="466"/>
      <c r="H102" s="884" t="s">
        <v>659</v>
      </c>
      <c r="I102" s="946">
        <v>150</v>
      </c>
      <c r="J102" s="947">
        <v>1.2</v>
      </c>
      <c r="K102" s="948">
        <v>2</v>
      </c>
      <c r="L102" s="894">
        <f>I102*J102*K102</f>
        <v>360</v>
      </c>
      <c r="M102" s="455"/>
      <c r="N102" s="456"/>
      <c r="O102" s="895"/>
      <c r="P102" s="861"/>
      <c r="Q102" s="896"/>
      <c r="R102" s="1679"/>
      <c r="S102" s="844"/>
      <c r="T102" s="844"/>
      <c r="U102" s="844"/>
      <c r="V102" s="844"/>
      <c r="W102" s="844"/>
      <c r="X102" s="844"/>
      <c r="Y102" s="844"/>
      <c r="Z102" s="844"/>
      <c r="AA102" s="844"/>
      <c r="AB102" s="833"/>
      <c r="AC102" s="833"/>
      <c r="AD102" s="833"/>
      <c r="AE102" s="833"/>
      <c r="AF102" s="833"/>
      <c r="AG102" s="833"/>
      <c r="AH102" s="833"/>
      <c r="AI102" s="833"/>
      <c r="AJ102" s="833"/>
      <c r="AK102" s="833"/>
      <c r="AL102" s="833"/>
      <c r="AM102" s="833"/>
      <c r="AN102" s="833"/>
      <c r="AO102" s="833"/>
      <c r="AP102" s="833"/>
      <c r="AQ102" s="833"/>
      <c r="AR102" s="833"/>
      <c r="AS102" s="833"/>
      <c r="AT102" s="833"/>
      <c r="AU102" s="833"/>
      <c r="AV102" s="833"/>
      <c r="AW102" s="833"/>
      <c r="AX102" s="833"/>
      <c r="AY102" s="833"/>
      <c r="AZ102" s="833"/>
      <c r="BA102" s="833"/>
      <c r="BB102" s="833"/>
      <c r="BC102" s="833"/>
      <c r="BD102" s="833"/>
      <c r="BE102" s="833"/>
      <c r="BF102" s="833"/>
      <c r="BG102" s="833"/>
      <c r="BH102" s="833"/>
      <c r="BI102" s="833"/>
      <c r="BJ102" s="833"/>
      <c r="BK102" s="833"/>
    </row>
    <row r="103" spans="2:63" x14ac:dyDescent="0.2">
      <c r="C103" s="944"/>
      <c r="D103" s="890" t="s">
        <v>226</v>
      </c>
      <c r="E103" s="466" t="s">
        <v>34</v>
      </c>
      <c r="F103" s="466"/>
      <c r="G103" s="466"/>
      <c r="H103" s="884" t="s">
        <v>659</v>
      </c>
      <c r="I103" s="891">
        <v>3</v>
      </c>
      <c r="J103" s="892">
        <v>10</v>
      </c>
      <c r="K103" s="893">
        <v>1</v>
      </c>
      <c r="L103" s="945">
        <f t="shared" si="7"/>
        <v>30</v>
      </c>
      <c r="M103" s="455"/>
      <c r="N103" s="456"/>
      <c r="O103" s="895"/>
      <c r="P103" s="861"/>
      <c r="Q103" s="896"/>
      <c r="R103" s="1679"/>
      <c r="S103" s="844"/>
      <c r="T103" s="844"/>
      <c r="U103" s="844"/>
      <c r="V103" s="844"/>
      <c r="W103" s="844"/>
      <c r="X103" s="844"/>
      <c r="Y103" s="844"/>
      <c r="Z103" s="844"/>
      <c r="AA103" s="844"/>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33"/>
      <c r="AY103" s="833"/>
      <c r="AZ103" s="833"/>
      <c r="BA103" s="833"/>
      <c r="BB103" s="833"/>
      <c r="BC103" s="833"/>
      <c r="BD103" s="833"/>
      <c r="BE103" s="833"/>
      <c r="BF103" s="833"/>
      <c r="BG103" s="833"/>
      <c r="BH103" s="833"/>
      <c r="BI103" s="833"/>
      <c r="BJ103" s="833"/>
      <c r="BK103" s="833"/>
    </row>
    <row r="104" spans="2:63" x14ac:dyDescent="0.2">
      <c r="C104" s="944"/>
      <c r="D104" s="890" t="s">
        <v>270</v>
      </c>
      <c r="E104" s="466" t="s">
        <v>34</v>
      </c>
      <c r="F104" s="466"/>
      <c r="G104" s="466"/>
      <c r="H104" s="884" t="s">
        <v>659</v>
      </c>
      <c r="I104" s="891">
        <v>2</v>
      </c>
      <c r="J104" s="892">
        <v>80</v>
      </c>
      <c r="K104" s="893">
        <v>3</v>
      </c>
      <c r="L104" s="894">
        <f>I104*J104*K104</f>
        <v>480</v>
      </c>
      <c r="M104" s="455"/>
      <c r="N104" s="456"/>
      <c r="O104" s="895"/>
      <c r="P104" s="861"/>
      <c r="Q104" s="896"/>
      <c r="R104" s="1679"/>
      <c r="S104" s="844"/>
      <c r="T104" s="844"/>
      <c r="U104" s="844"/>
      <c r="V104" s="844"/>
      <c r="W104" s="844"/>
      <c r="X104" s="844"/>
      <c r="Y104" s="844"/>
      <c r="Z104" s="844"/>
      <c r="AA104" s="844"/>
      <c r="AB104" s="833"/>
      <c r="AC104" s="833"/>
      <c r="AD104" s="833"/>
      <c r="AE104" s="833"/>
      <c r="AF104" s="833"/>
      <c r="AG104" s="833"/>
      <c r="AH104" s="833"/>
      <c r="AI104" s="833"/>
      <c r="AJ104" s="833"/>
      <c r="AK104" s="833"/>
      <c r="AL104" s="833"/>
      <c r="AM104" s="833"/>
      <c r="AN104" s="833"/>
      <c r="AO104" s="833"/>
      <c r="AP104" s="833"/>
      <c r="AQ104" s="833"/>
      <c r="AR104" s="833"/>
      <c r="AS104" s="833"/>
      <c r="AT104" s="833"/>
      <c r="AU104" s="833"/>
      <c r="AV104" s="833"/>
      <c r="AW104" s="833"/>
      <c r="AX104" s="833"/>
      <c r="AY104" s="833"/>
      <c r="AZ104" s="833"/>
      <c r="BA104" s="833"/>
      <c r="BB104" s="833"/>
      <c r="BC104" s="833"/>
      <c r="BD104" s="833"/>
      <c r="BE104" s="833"/>
      <c r="BF104" s="833"/>
      <c r="BG104" s="833"/>
      <c r="BH104" s="833"/>
      <c r="BI104" s="833"/>
      <c r="BJ104" s="833"/>
      <c r="BK104" s="833"/>
    </row>
    <row r="105" spans="2:63" x14ac:dyDescent="0.2">
      <c r="C105" s="944"/>
      <c r="D105" s="891" t="s">
        <v>608</v>
      </c>
      <c r="E105" s="462" t="s">
        <v>34</v>
      </c>
      <c r="F105" s="462"/>
      <c r="G105" s="462"/>
      <c r="H105" s="919" t="s">
        <v>659</v>
      </c>
      <c r="I105" s="891">
        <v>1</v>
      </c>
      <c r="J105" s="892">
        <v>500</v>
      </c>
      <c r="K105" s="893">
        <v>12</v>
      </c>
      <c r="L105" s="949">
        <f>I105*J105*K105</f>
        <v>6000</v>
      </c>
      <c r="M105" s="455"/>
      <c r="N105" s="456"/>
      <c r="O105" s="895"/>
      <c r="P105" s="861"/>
      <c r="Q105" s="896"/>
      <c r="R105" s="1679"/>
      <c r="S105" s="844"/>
      <c r="T105" s="844"/>
      <c r="U105" s="844"/>
      <c r="V105" s="844"/>
      <c r="W105" s="844"/>
      <c r="X105" s="844"/>
      <c r="Y105" s="844"/>
      <c r="Z105" s="844"/>
      <c r="AA105" s="844"/>
      <c r="AB105" s="833"/>
      <c r="AC105" s="833"/>
      <c r="AD105" s="833"/>
      <c r="AE105" s="833"/>
      <c r="AF105" s="833"/>
      <c r="AG105" s="833"/>
      <c r="AH105" s="833"/>
      <c r="AI105" s="833"/>
      <c r="AJ105" s="833"/>
      <c r="AK105" s="833"/>
      <c r="AL105" s="833"/>
      <c r="AM105" s="833"/>
      <c r="AN105" s="833"/>
      <c r="AO105" s="833"/>
      <c r="AP105" s="833"/>
      <c r="AQ105" s="833"/>
      <c r="AR105" s="833"/>
      <c r="AS105" s="833"/>
      <c r="AT105" s="833"/>
      <c r="AU105" s="833"/>
      <c r="AV105" s="833"/>
      <c r="AW105" s="833"/>
      <c r="AX105" s="833"/>
      <c r="AY105" s="833"/>
      <c r="AZ105" s="833"/>
      <c r="BA105" s="833"/>
      <c r="BB105" s="833"/>
      <c r="BC105" s="833"/>
      <c r="BD105" s="833"/>
      <c r="BE105" s="833"/>
      <c r="BF105" s="833"/>
      <c r="BG105" s="833"/>
      <c r="BH105" s="833"/>
      <c r="BI105" s="833"/>
      <c r="BJ105" s="833"/>
      <c r="BK105" s="833"/>
    </row>
    <row r="106" spans="2:63" x14ac:dyDescent="0.2">
      <c r="B106" s="869" t="s">
        <v>672</v>
      </c>
      <c r="C106" s="944"/>
      <c r="D106" s="870" t="s">
        <v>246</v>
      </c>
      <c r="E106" s="870"/>
      <c r="F106" s="870"/>
      <c r="G106" s="870"/>
      <c r="H106" s="871"/>
      <c r="I106" s="871"/>
      <c r="J106" s="871"/>
      <c r="K106" s="871"/>
      <c r="L106" s="872">
        <f>SUM(L95:L105)</f>
        <v>10265</v>
      </c>
      <c r="M106" s="873">
        <v>40</v>
      </c>
      <c r="N106" s="874">
        <f>L106*M106/100</f>
        <v>4106</v>
      </c>
      <c r="O106" s="875"/>
      <c r="P106" s="876">
        <v>8859.41</v>
      </c>
      <c r="Q106" s="889">
        <f>P106/L106</f>
        <v>0.8630696541646371</v>
      </c>
      <c r="R106" s="1680"/>
      <c r="S106" s="844"/>
      <c r="T106" s="844"/>
      <c r="U106" s="844"/>
      <c r="V106" s="844"/>
      <c r="W106" s="844"/>
      <c r="X106" s="844"/>
      <c r="Y106" s="844"/>
      <c r="Z106" s="844"/>
      <c r="AA106" s="878" t="s">
        <v>673</v>
      </c>
      <c r="AB106" s="833"/>
      <c r="AC106" s="833"/>
      <c r="AD106" s="833"/>
      <c r="AE106" s="833"/>
      <c r="AF106" s="833"/>
      <c r="AG106" s="833"/>
      <c r="AH106" s="833"/>
      <c r="AI106" s="833"/>
      <c r="AJ106" s="833"/>
      <c r="AK106" s="833"/>
      <c r="AL106" s="833"/>
      <c r="AM106" s="833"/>
      <c r="AN106" s="833"/>
      <c r="AO106" s="833"/>
      <c r="AP106" s="833"/>
      <c r="AQ106" s="833"/>
      <c r="AR106" s="833"/>
      <c r="AS106" s="833"/>
      <c r="AT106" s="833"/>
      <c r="AU106" s="833"/>
      <c r="AV106" s="833"/>
      <c r="AW106" s="833"/>
      <c r="AX106" s="833"/>
      <c r="AY106" s="833"/>
      <c r="AZ106" s="833"/>
      <c r="BA106" s="833"/>
      <c r="BB106" s="833"/>
      <c r="BC106" s="833"/>
      <c r="BD106" s="833"/>
      <c r="BE106" s="833"/>
      <c r="BF106" s="833"/>
      <c r="BG106" s="833"/>
      <c r="BH106" s="833"/>
      <c r="BI106" s="833"/>
      <c r="BJ106" s="833"/>
      <c r="BK106" s="833"/>
    </row>
    <row r="107" spans="2:63" ht="14.45" customHeight="1" x14ac:dyDescent="0.2">
      <c r="C107" s="944"/>
      <c r="D107" s="469" t="s">
        <v>271</v>
      </c>
      <c r="E107" s="470"/>
      <c r="F107" s="470"/>
      <c r="G107" s="470"/>
      <c r="H107" s="470"/>
      <c r="I107" s="470"/>
      <c r="J107" s="950"/>
      <c r="K107" s="950"/>
      <c r="L107" s="951"/>
      <c r="M107" s="844"/>
      <c r="N107" s="859"/>
      <c r="O107" s="879"/>
      <c r="P107" s="880"/>
      <c r="Q107" s="881"/>
      <c r="R107" s="1673"/>
      <c r="S107" s="844"/>
      <c r="T107" s="844"/>
      <c r="U107" s="844"/>
      <c r="V107" s="844"/>
      <c r="W107" s="844"/>
      <c r="X107" s="844"/>
      <c r="Y107" s="844"/>
      <c r="Z107" s="844"/>
      <c r="AA107" s="844"/>
      <c r="AB107" s="833"/>
      <c r="AC107" s="833"/>
      <c r="AD107" s="833"/>
      <c r="AE107" s="833"/>
      <c r="AF107" s="833"/>
      <c r="AG107" s="833"/>
      <c r="AH107" s="833"/>
      <c r="AI107" s="833"/>
      <c r="AJ107" s="833"/>
      <c r="AK107" s="833"/>
      <c r="AL107" s="833"/>
      <c r="AM107" s="833"/>
      <c r="AN107" s="833"/>
      <c r="AO107" s="833"/>
      <c r="AP107" s="833"/>
      <c r="AQ107" s="833"/>
      <c r="AR107" s="833"/>
      <c r="AS107" s="833"/>
      <c r="AT107" s="833"/>
      <c r="AU107" s="833"/>
      <c r="AV107" s="833"/>
      <c r="AW107" s="833"/>
      <c r="AX107" s="833"/>
      <c r="AY107" s="833"/>
      <c r="AZ107" s="833"/>
      <c r="BA107" s="833"/>
      <c r="BB107" s="833"/>
      <c r="BC107" s="833"/>
      <c r="BD107" s="833"/>
      <c r="BE107" s="833"/>
      <c r="BF107" s="833"/>
      <c r="BG107" s="833"/>
      <c r="BH107" s="833"/>
      <c r="BI107" s="833"/>
      <c r="BJ107" s="833"/>
      <c r="BK107" s="833"/>
    </row>
    <row r="108" spans="2:63" x14ac:dyDescent="0.2">
      <c r="C108" s="944"/>
      <c r="D108" s="952" t="s">
        <v>272</v>
      </c>
      <c r="E108" s="471" t="s">
        <v>34</v>
      </c>
      <c r="F108" s="471"/>
      <c r="G108" s="471"/>
      <c r="H108" s="952" t="s">
        <v>659</v>
      </c>
      <c r="I108" s="953">
        <v>1</v>
      </c>
      <c r="J108" s="954">
        <v>50</v>
      </c>
      <c r="K108" s="955">
        <v>1</v>
      </c>
      <c r="L108" s="956">
        <f>I108*J108*K108</f>
        <v>50</v>
      </c>
      <c r="M108" s="844"/>
      <c r="N108" s="859"/>
      <c r="O108" s="860"/>
      <c r="P108" s="861"/>
      <c r="Q108" s="862"/>
      <c r="R108" s="1679"/>
      <c r="S108" s="844"/>
      <c r="T108" s="844"/>
      <c r="U108" s="844"/>
      <c r="V108" s="844"/>
      <c r="W108" s="844"/>
      <c r="X108" s="844"/>
      <c r="Y108" s="844"/>
      <c r="Z108" s="844"/>
      <c r="AA108" s="844"/>
      <c r="AB108" s="833"/>
      <c r="AC108" s="833"/>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3"/>
      <c r="AY108" s="833"/>
      <c r="AZ108" s="833"/>
      <c r="BA108" s="833"/>
      <c r="BB108" s="833"/>
      <c r="BC108" s="833"/>
      <c r="BD108" s="833"/>
      <c r="BE108" s="833"/>
      <c r="BF108" s="833"/>
      <c r="BG108" s="833"/>
      <c r="BH108" s="833"/>
      <c r="BI108" s="833"/>
      <c r="BJ108" s="833"/>
      <c r="BK108" s="833"/>
    </row>
    <row r="109" spans="2:63" x14ac:dyDescent="0.2">
      <c r="C109" s="944"/>
      <c r="D109" s="952" t="s">
        <v>243</v>
      </c>
      <c r="E109" s="471" t="s">
        <v>34</v>
      </c>
      <c r="F109" s="471"/>
      <c r="G109" s="471"/>
      <c r="H109" s="952" t="s">
        <v>659</v>
      </c>
      <c r="I109" s="953">
        <v>250</v>
      </c>
      <c r="J109" s="954">
        <v>1.2</v>
      </c>
      <c r="K109" s="955">
        <v>1</v>
      </c>
      <c r="L109" s="956">
        <f t="shared" ref="L109:L115" si="8">I109*J109*K109</f>
        <v>300</v>
      </c>
      <c r="M109" s="844"/>
      <c r="N109" s="859"/>
      <c r="O109" s="860"/>
      <c r="P109" s="861"/>
      <c r="Q109" s="862"/>
      <c r="R109" s="1679"/>
      <c r="S109" s="844"/>
      <c r="T109" s="844"/>
      <c r="U109" s="844"/>
      <c r="V109" s="844"/>
      <c r="W109" s="844"/>
      <c r="X109" s="844"/>
      <c r="Y109" s="844"/>
      <c r="Z109" s="844"/>
      <c r="AA109" s="844"/>
      <c r="AB109" s="833"/>
      <c r="AC109" s="833"/>
      <c r="AD109" s="833"/>
      <c r="AE109" s="833"/>
      <c r="AF109" s="833"/>
      <c r="AG109" s="833"/>
      <c r="AH109" s="833"/>
      <c r="AI109" s="833"/>
      <c r="AJ109" s="833"/>
      <c r="AK109" s="833"/>
      <c r="AL109" s="833"/>
      <c r="AM109" s="833"/>
      <c r="AN109" s="833"/>
      <c r="AO109" s="833"/>
      <c r="AP109" s="833"/>
      <c r="AQ109" s="833"/>
      <c r="AR109" s="833"/>
      <c r="AS109" s="833"/>
      <c r="AT109" s="833"/>
      <c r="AU109" s="833"/>
      <c r="AV109" s="833"/>
      <c r="AW109" s="833"/>
      <c r="AX109" s="833"/>
      <c r="AY109" s="833"/>
      <c r="AZ109" s="833"/>
      <c r="BA109" s="833"/>
      <c r="BB109" s="833"/>
      <c r="BC109" s="833"/>
      <c r="BD109" s="833"/>
      <c r="BE109" s="833"/>
      <c r="BF109" s="833"/>
      <c r="BG109" s="833"/>
      <c r="BH109" s="833"/>
      <c r="BI109" s="833"/>
      <c r="BJ109" s="833"/>
      <c r="BK109" s="833"/>
    </row>
    <row r="110" spans="2:63" x14ac:dyDescent="0.2">
      <c r="C110" s="944"/>
      <c r="D110" s="952" t="s">
        <v>274</v>
      </c>
      <c r="E110" s="471" t="s">
        <v>34</v>
      </c>
      <c r="F110" s="471"/>
      <c r="G110" s="471"/>
      <c r="H110" s="952" t="s">
        <v>659</v>
      </c>
      <c r="I110" s="953">
        <v>2</v>
      </c>
      <c r="J110" s="954">
        <v>25</v>
      </c>
      <c r="K110" s="955">
        <v>1</v>
      </c>
      <c r="L110" s="956">
        <f t="shared" si="8"/>
        <v>50</v>
      </c>
      <c r="M110" s="844"/>
      <c r="N110" s="859"/>
      <c r="O110" s="860"/>
      <c r="P110" s="861"/>
      <c r="Q110" s="862"/>
      <c r="R110" s="1679"/>
      <c r="S110" s="844"/>
      <c r="T110" s="844"/>
      <c r="U110" s="844"/>
      <c r="V110" s="844"/>
      <c r="W110" s="844"/>
      <c r="X110" s="844"/>
      <c r="Y110" s="844"/>
      <c r="Z110" s="844"/>
      <c r="AA110" s="844"/>
      <c r="AB110" s="833"/>
      <c r="AC110" s="833"/>
      <c r="AD110" s="833"/>
      <c r="AE110" s="833"/>
      <c r="AF110" s="833"/>
      <c r="AG110" s="833"/>
      <c r="AH110" s="833"/>
      <c r="AI110" s="833"/>
      <c r="AJ110" s="833"/>
      <c r="AK110" s="833"/>
      <c r="AL110" s="833"/>
      <c r="AM110" s="833"/>
      <c r="AN110" s="833"/>
      <c r="AO110" s="833"/>
      <c r="AP110" s="833"/>
      <c r="AQ110" s="833"/>
      <c r="AR110" s="833"/>
      <c r="AS110" s="833"/>
      <c r="AT110" s="833"/>
      <c r="AU110" s="833"/>
      <c r="AV110" s="833"/>
      <c r="AW110" s="833"/>
      <c r="AX110" s="833"/>
      <c r="AY110" s="833"/>
      <c r="AZ110" s="833"/>
      <c r="BA110" s="833"/>
      <c r="BB110" s="833"/>
      <c r="BC110" s="833"/>
      <c r="BD110" s="833"/>
      <c r="BE110" s="833"/>
      <c r="BF110" s="833"/>
      <c r="BG110" s="833"/>
      <c r="BH110" s="833"/>
      <c r="BI110" s="833"/>
      <c r="BJ110" s="833"/>
      <c r="BK110" s="833"/>
    </row>
    <row r="111" spans="2:63" x14ac:dyDescent="0.2">
      <c r="C111" s="944"/>
      <c r="D111" s="952" t="s">
        <v>275</v>
      </c>
      <c r="E111" s="471" t="s">
        <v>34</v>
      </c>
      <c r="F111" s="471"/>
      <c r="G111" s="471"/>
      <c r="H111" s="952" t="s">
        <v>659</v>
      </c>
      <c r="I111" s="953">
        <v>1</v>
      </c>
      <c r="J111" s="954">
        <v>50</v>
      </c>
      <c r="K111" s="955">
        <v>1</v>
      </c>
      <c r="L111" s="956">
        <f t="shared" si="8"/>
        <v>50</v>
      </c>
      <c r="M111" s="844"/>
      <c r="N111" s="859"/>
      <c r="O111" s="860"/>
      <c r="P111" s="861"/>
      <c r="Q111" s="862"/>
      <c r="R111" s="1679"/>
      <c r="S111" s="844"/>
      <c r="T111" s="844"/>
      <c r="U111" s="844"/>
      <c r="V111" s="844"/>
      <c r="W111" s="844"/>
      <c r="X111" s="844"/>
      <c r="Y111" s="844"/>
      <c r="Z111" s="844"/>
      <c r="AA111" s="844"/>
      <c r="AB111" s="833"/>
      <c r="AC111" s="833"/>
      <c r="AD111" s="833"/>
      <c r="AE111" s="833"/>
      <c r="AF111" s="833"/>
      <c r="AG111" s="833"/>
      <c r="AH111" s="833"/>
      <c r="AI111" s="833"/>
      <c r="AJ111" s="833"/>
      <c r="AK111" s="833"/>
      <c r="AL111" s="833"/>
      <c r="AM111" s="833"/>
      <c r="AN111" s="833"/>
      <c r="AO111" s="833"/>
      <c r="AP111" s="833"/>
      <c r="AQ111" s="833"/>
      <c r="AR111" s="833"/>
      <c r="AS111" s="833"/>
      <c r="AT111" s="833"/>
      <c r="AU111" s="833"/>
      <c r="AV111" s="833"/>
      <c r="AW111" s="833"/>
      <c r="AX111" s="833"/>
      <c r="AY111" s="833"/>
      <c r="AZ111" s="833"/>
      <c r="BA111" s="833"/>
      <c r="BB111" s="833"/>
      <c r="BC111" s="833"/>
      <c r="BD111" s="833"/>
      <c r="BE111" s="833"/>
      <c r="BF111" s="833"/>
      <c r="BG111" s="833"/>
      <c r="BH111" s="833"/>
      <c r="BI111" s="833"/>
      <c r="BJ111" s="833"/>
      <c r="BK111" s="833"/>
    </row>
    <row r="112" spans="2:63" x14ac:dyDescent="0.2">
      <c r="C112" s="944"/>
      <c r="D112" s="952" t="s">
        <v>609</v>
      </c>
      <c r="E112" s="471" t="s">
        <v>34</v>
      </c>
      <c r="F112" s="471"/>
      <c r="G112" s="471"/>
      <c r="H112" s="952" t="s">
        <v>659</v>
      </c>
      <c r="I112" s="953">
        <v>1</v>
      </c>
      <c r="J112" s="954">
        <v>80</v>
      </c>
      <c r="K112" s="955">
        <v>5</v>
      </c>
      <c r="L112" s="956">
        <f t="shared" si="8"/>
        <v>400</v>
      </c>
      <c r="M112" s="844"/>
      <c r="N112" s="859"/>
      <c r="O112" s="860"/>
      <c r="P112" s="861"/>
      <c r="Q112" s="862"/>
      <c r="R112" s="1679"/>
      <c r="S112" s="844"/>
      <c r="T112" s="844"/>
      <c r="U112" s="844"/>
      <c r="V112" s="844"/>
      <c r="W112" s="844"/>
      <c r="X112" s="844"/>
      <c r="Y112" s="844"/>
      <c r="Z112" s="844"/>
      <c r="AA112" s="844"/>
      <c r="AB112" s="833"/>
      <c r="AC112" s="833"/>
      <c r="AD112" s="833"/>
      <c r="AE112" s="833"/>
      <c r="AF112" s="833"/>
      <c r="AG112" s="833"/>
      <c r="AH112" s="833"/>
      <c r="AI112" s="833"/>
      <c r="AJ112" s="833"/>
      <c r="AK112" s="833"/>
      <c r="AL112" s="833"/>
      <c r="AM112" s="833"/>
      <c r="AN112" s="833"/>
      <c r="AO112" s="833"/>
      <c r="AP112" s="833"/>
      <c r="AQ112" s="833"/>
      <c r="AR112" s="833"/>
      <c r="AS112" s="833"/>
      <c r="AT112" s="833"/>
      <c r="AU112" s="833"/>
      <c r="AV112" s="833"/>
      <c r="AW112" s="833"/>
      <c r="AX112" s="833"/>
      <c r="AY112" s="833"/>
      <c r="AZ112" s="833"/>
      <c r="BA112" s="833"/>
      <c r="BB112" s="833"/>
      <c r="BC112" s="833"/>
      <c r="BD112" s="833"/>
      <c r="BE112" s="833"/>
      <c r="BF112" s="833"/>
      <c r="BG112" s="833"/>
      <c r="BH112" s="833"/>
      <c r="BI112" s="833"/>
      <c r="BJ112" s="833"/>
      <c r="BK112" s="833"/>
    </row>
    <row r="113" spans="2:63" x14ac:dyDescent="0.2">
      <c r="C113" s="944"/>
      <c r="D113" s="952" t="s">
        <v>276</v>
      </c>
      <c r="E113" s="471" t="s">
        <v>34</v>
      </c>
      <c r="F113" s="471"/>
      <c r="G113" s="471"/>
      <c r="H113" s="952" t="s">
        <v>659</v>
      </c>
      <c r="I113" s="953">
        <v>100</v>
      </c>
      <c r="J113" s="954">
        <v>12</v>
      </c>
      <c r="K113" s="955">
        <v>1</v>
      </c>
      <c r="L113" s="956">
        <f t="shared" si="8"/>
        <v>1200</v>
      </c>
      <c r="M113" s="844"/>
      <c r="N113" s="859"/>
      <c r="O113" s="860"/>
      <c r="P113" s="861"/>
      <c r="Q113" s="862"/>
      <c r="R113" s="1679"/>
      <c r="S113" s="844"/>
      <c r="T113" s="844"/>
      <c r="U113" s="844"/>
      <c r="V113" s="844"/>
      <c r="W113" s="844"/>
      <c r="X113" s="844"/>
      <c r="Y113" s="844"/>
      <c r="Z113" s="844"/>
      <c r="AA113" s="844"/>
      <c r="AB113" s="833"/>
      <c r="AC113" s="833"/>
      <c r="AD113" s="833"/>
      <c r="AE113" s="833"/>
      <c r="AF113" s="833"/>
      <c r="AG113" s="833"/>
      <c r="AH113" s="833"/>
      <c r="AI113" s="833"/>
      <c r="AJ113" s="833"/>
      <c r="AK113" s="833"/>
      <c r="AL113" s="833"/>
      <c r="AM113" s="833"/>
      <c r="AN113" s="833"/>
      <c r="AO113" s="833"/>
      <c r="AP113" s="833"/>
      <c r="AQ113" s="833"/>
      <c r="AR113" s="833"/>
      <c r="AS113" s="833"/>
      <c r="AT113" s="833"/>
      <c r="AU113" s="833"/>
      <c r="AV113" s="833"/>
      <c r="AW113" s="833"/>
      <c r="AX113" s="833"/>
      <c r="AY113" s="833"/>
      <c r="AZ113" s="833"/>
      <c r="BA113" s="833"/>
      <c r="BB113" s="833"/>
      <c r="BC113" s="833"/>
      <c r="BD113" s="833"/>
      <c r="BE113" s="833"/>
      <c r="BF113" s="833"/>
      <c r="BG113" s="833"/>
      <c r="BH113" s="833"/>
      <c r="BI113" s="833"/>
      <c r="BJ113" s="833"/>
      <c r="BK113" s="833"/>
    </row>
    <row r="114" spans="2:63" x14ac:dyDescent="0.2">
      <c r="C114" s="944"/>
      <c r="D114" s="952" t="s">
        <v>277</v>
      </c>
      <c r="E114" s="471" t="s">
        <v>34</v>
      </c>
      <c r="F114" s="471"/>
      <c r="G114" s="471"/>
      <c r="H114" s="952" t="s">
        <v>659</v>
      </c>
      <c r="I114" s="953">
        <v>3000</v>
      </c>
      <c r="J114" s="954">
        <v>0.5</v>
      </c>
      <c r="K114" s="955">
        <v>1</v>
      </c>
      <c r="L114" s="956">
        <f t="shared" si="8"/>
        <v>1500</v>
      </c>
      <c r="M114" s="844"/>
      <c r="N114" s="859"/>
      <c r="O114" s="860"/>
      <c r="P114" s="861"/>
      <c r="Q114" s="862"/>
      <c r="R114" s="1679"/>
      <c r="S114" s="844"/>
      <c r="T114" s="844"/>
      <c r="U114" s="844"/>
      <c r="V114" s="844"/>
      <c r="W114" s="844"/>
      <c r="X114" s="844"/>
      <c r="Y114" s="844"/>
      <c r="Z114" s="844"/>
      <c r="AA114" s="844"/>
      <c r="AB114" s="833"/>
      <c r="AC114" s="833"/>
      <c r="AD114" s="833"/>
      <c r="AE114" s="833"/>
      <c r="AF114" s="833"/>
      <c r="AG114" s="833"/>
      <c r="AH114" s="833"/>
      <c r="AI114" s="833"/>
      <c r="AJ114" s="833"/>
      <c r="AK114" s="833"/>
      <c r="AL114" s="833"/>
      <c r="AM114" s="833"/>
      <c r="AN114" s="833"/>
      <c r="AO114" s="833"/>
      <c r="AP114" s="833"/>
      <c r="AQ114" s="833"/>
      <c r="AR114" s="833"/>
      <c r="AS114" s="833"/>
      <c r="AT114" s="833"/>
      <c r="AU114" s="833"/>
      <c r="AV114" s="833"/>
      <c r="AW114" s="833"/>
      <c r="AX114" s="833"/>
      <c r="AY114" s="833"/>
      <c r="AZ114" s="833"/>
      <c r="BA114" s="833"/>
      <c r="BB114" s="833"/>
      <c r="BC114" s="833"/>
      <c r="BD114" s="833"/>
      <c r="BE114" s="833"/>
      <c r="BF114" s="833"/>
      <c r="BG114" s="833"/>
      <c r="BH114" s="833"/>
      <c r="BI114" s="833"/>
      <c r="BJ114" s="833"/>
      <c r="BK114" s="833"/>
    </row>
    <row r="115" spans="2:63" x14ac:dyDescent="0.2">
      <c r="C115" s="944"/>
      <c r="D115" s="952" t="s">
        <v>278</v>
      </c>
      <c r="E115" s="471" t="s">
        <v>34</v>
      </c>
      <c r="F115" s="471"/>
      <c r="G115" s="471"/>
      <c r="H115" s="952" t="s">
        <v>659</v>
      </c>
      <c r="I115" s="953">
        <v>3</v>
      </c>
      <c r="J115" s="954">
        <v>70</v>
      </c>
      <c r="K115" s="955">
        <v>4</v>
      </c>
      <c r="L115" s="957">
        <f t="shared" si="8"/>
        <v>840</v>
      </c>
      <c r="M115" s="844"/>
      <c r="N115" s="859"/>
      <c r="O115" s="860"/>
      <c r="P115" s="861"/>
      <c r="Q115" s="862"/>
      <c r="R115" s="1679"/>
      <c r="S115" s="844"/>
      <c r="T115" s="844"/>
      <c r="U115" s="844"/>
      <c r="V115" s="844"/>
      <c r="W115" s="844"/>
      <c r="X115" s="844"/>
      <c r="Y115" s="844"/>
      <c r="Z115" s="844"/>
      <c r="AA115" s="844"/>
      <c r="AB115" s="833"/>
      <c r="AC115" s="833"/>
      <c r="AD115" s="833"/>
      <c r="AE115" s="833"/>
      <c r="AF115" s="833"/>
      <c r="AG115" s="833"/>
      <c r="AH115" s="833"/>
      <c r="AI115" s="833"/>
      <c r="AJ115" s="833"/>
      <c r="AK115" s="833"/>
      <c r="AL115" s="833"/>
      <c r="AM115" s="833"/>
      <c r="AN115" s="833"/>
      <c r="AO115" s="833"/>
      <c r="AP115" s="833"/>
      <c r="AQ115" s="833"/>
      <c r="AR115" s="833"/>
      <c r="AS115" s="833"/>
      <c r="AT115" s="833"/>
      <c r="AU115" s="833"/>
      <c r="AV115" s="833"/>
      <c r="AW115" s="833"/>
      <c r="AX115" s="833"/>
      <c r="AY115" s="833"/>
      <c r="AZ115" s="833"/>
      <c r="BA115" s="833"/>
      <c r="BB115" s="833"/>
      <c r="BC115" s="833"/>
      <c r="BD115" s="833"/>
      <c r="BE115" s="833"/>
      <c r="BF115" s="833"/>
      <c r="BG115" s="833"/>
      <c r="BH115" s="833"/>
      <c r="BI115" s="833"/>
      <c r="BJ115" s="833"/>
      <c r="BK115" s="833"/>
    </row>
    <row r="116" spans="2:63" x14ac:dyDescent="0.2">
      <c r="B116" s="869" t="s">
        <v>674</v>
      </c>
      <c r="C116" s="944"/>
      <c r="D116" s="472" t="s">
        <v>246</v>
      </c>
      <c r="E116" s="473"/>
      <c r="F116" s="473"/>
      <c r="G116" s="473"/>
      <c r="H116" s="472"/>
      <c r="I116" s="472"/>
      <c r="J116" s="958"/>
      <c r="K116" s="958"/>
      <c r="L116" s="959">
        <f>SUM(L108:L115)</f>
        <v>4390</v>
      </c>
      <c r="M116" s="873">
        <v>0</v>
      </c>
      <c r="N116" s="874">
        <f>L116*M116/100</f>
        <v>0</v>
      </c>
      <c r="O116" s="875"/>
      <c r="P116" s="876">
        <v>0</v>
      </c>
      <c r="Q116" s="889">
        <f>P116/L116</f>
        <v>0</v>
      </c>
      <c r="R116" s="1679"/>
      <c r="S116" s="844"/>
      <c r="T116" s="844"/>
      <c r="U116" s="844"/>
      <c r="V116" s="844"/>
      <c r="W116" s="844"/>
      <c r="X116" s="844"/>
      <c r="Y116" s="844"/>
      <c r="Z116" s="844"/>
      <c r="AA116" s="960" t="s">
        <v>675</v>
      </c>
      <c r="AB116" s="833"/>
      <c r="AC116" s="833"/>
      <c r="AD116" s="833"/>
      <c r="AE116" s="833"/>
      <c r="AF116" s="833"/>
      <c r="AG116" s="833"/>
      <c r="AH116" s="833"/>
      <c r="AI116" s="833"/>
      <c r="AJ116" s="833"/>
      <c r="AK116" s="833"/>
      <c r="AL116" s="833"/>
      <c r="AM116" s="833"/>
      <c r="AN116" s="833"/>
      <c r="AO116" s="833"/>
      <c r="AP116" s="833"/>
      <c r="AQ116" s="833"/>
      <c r="AR116" s="833"/>
      <c r="AS116" s="833"/>
      <c r="AT116" s="833"/>
      <c r="AU116" s="833"/>
      <c r="AV116" s="833"/>
      <c r="AW116" s="833"/>
      <c r="AX116" s="833"/>
      <c r="AY116" s="833"/>
      <c r="AZ116" s="833"/>
      <c r="BA116" s="833"/>
      <c r="BB116" s="833"/>
      <c r="BC116" s="833"/>
      <c r="BD116" s="833"/>
      <c r="BE116" s="833"/>
      <c r="BF116" s="833"/>
      <c r="BG116" s="833"/>
      <c r="BH116" s="833"/>
      <c r="BI116" s="833"/>
      <c r="BJ116" s="833"/>
      <c r="BK116" s="833"/>
    </row>
    <row r="117" spans="2:63" ht="13.9" customHeight="1" x14ac:dyDescent="0.2">
      <c r="C117" s="961" t="s">
        <v>279</v>
      </c>
      <c r="D117" s="962"/>
      <c r="E117" s="962"/>
      <c r="F117" s="962"/>
      <c r="G117" s="962"/>
      <c r="H117" s="962"/>
      <c r="I117" s="962"/>
      <c r="J117" s="962"/>
      <c r="K117" s="962"/>
      <c r="L117" s="963"/>
      <c r="M117" s="844"/>
      <c r="N117" s="859"/>
      <c r="O117" s="879"/>
      <c r="P117" s="880"/>
      <c r="Q117" s="881"/>
      <c r="R117" s="1673"/>
      <c r="S117" s="844"/>
      <c r="T117" s="844"/>
      <c r="U117" s="844"/>
      <c r="V117" s="844"/>
      <c r="W117" s="844"/>
      <c r="X117" s="844"/>
      <c r="Y117" s="844"/>
      <c r="Z117" s="844"/>
      <c r="AA117" s="844"/>
      <c r="AB117" s="833"/>
      <c r="AC117" s="833"/>
      <c r="AD117" s="833"/>
      <c r="AE117" s="833"/>
      <c r="AF117" s="833"/>
      <c r="AG117" s="833"/>
      <c r="AH117" s="833"/>
      <c r="AI117" s="833"/>
      <c r="AJ117" s="833"/>
      <c r="AK117" s="833"/>
      <c r="AL117" s="833"/>
      <c r="AM117" s="833"/>
      <c r="AN117" s="833"/>
      <c r="AO117" s="833"/>
      <c r="AP117" s="833"/>
      <c r="AQ117" s="833"/>
      <c r="AR117" s="833"/>
      <c r="AS117" s="833"/>
      <c r="AT117" s="833"/>
      <c r="AU117" s="833"/>
      <c r="AV117" s="833"/>
      <c r="AW117" s="833"/>
      <c r="AX117" s="833"/>
      <c r="AY117" s="833"/>
      <c r="AZ117" s="833"/>
      <c r="BA117" s="833"/>
      <c r="BB117" s="833"/>
      <c r="BC117" s="833"/>
      <c r="BD117" s="833"/>
      <c r="BE117" s="833"/>
      <c r="BF117" s="833"/>
      <c r="BG117" s="833"/>
      <c r="BH117" s="833"/>
      <c r="BI117" s="833"/>
      <c r="BJ117" s="833"/>
      <c r="BK117" s="833"/>
    </row>
    <row r="118" spans="2:63" ht="13.9" customHeight="1" x14ac:dyDescent="0.2">
      <c r="C118" s="1670" t="s">
        <v>280</v>
      </c>
      <c r="D118" s="453" t="s">
        <v>281</v>
      </c>
      <c r="E118" s="454"/>
      <c r="F118" s="454"/>
      <c r="G118" s="454"/>
      <c r="H118" s="454"/>
      <c r="I118" s="454"/>
      <c r="J118" s="910"/>
      <c r="K118" s="910"/>
      <c r="L118" s="911"/>
      <c r="M118" s="455"/>
      <c r="N118" s="456"/>
      <c r="O118" s="895"/>
      <c r="P118" s="861"/>
      <c r="Q118" s="896"/>
      <c r="R118" s="1679"/>
      <c r="S118" s="844"/>
      <c r="T118" s="844"/>
      <c r="U118" s="844"/>
      <c r="V118" s="844"/>
      <c r="W118" s="844"/>
      <c r="X118" s="844"/>
      <c r="Y118" s="844"/>
      <c r="Z118" s="844"/>
      <c r="AA118" s="844"/>
      <c r="AB118" s="833"/>
      <c r="AC118" s="833"/>
      <c r="AD118" s="833"/>
      <c r="AE118" s="833"/>
      <c r="AF118" s="833"/>
      <c r="AG118" s="833"/>
      <c r="AH118" s="833"/>
      <c r="AI118" s="833"/>
      <c r="AJ118" s="833"/>
      <c r="AK118" s="833"/>
      <c r="AL118" s="833"/>
      <c r="AM118" s="833"/>
      <c r="AN118" s="833"/>
      <c r="AO118" s="833"/>
      <c r="AP118" s="833"/>
      <c r="AQ118" s="833"/>
      <c r="AR118" s="833"/>
      <c r="AS118" s="833"/>
      <c r="AT118" s="833"/>
      <c r="AU118" s="833"/>
      <c r="AV118" s="833"/>
      <c r="AW118" s="833"/>
      <c r="AX118" s="833"/>
      <c r="AY118" s="833"/>
      <c r="AZ118" s="833"/>
      <c r="BA118" s="833"/>
      <c r="BB118" s="833"/>
      <c r="BC118" s="833"/>
      <c r="BD118" s="833"/>
      <c r="BE118" s="833"/>
      <c r="BF118" s="833"/>
      <c r="BG118" s="833"/>
      <c r="BH118" s="833"/>
      <c r="BI118" s="833"/>
      <c r="BJ118" s="833"/>
      <c r="BK118" s="833"/>
    </row>
    <row r="119" spans="2:63" x14ac:dyDescent="0.2">
      <c r="C119" s="1671"/>
      <c r="D119" s="890" t="s">
        <v>254</v>
      </c>
      <c r="E119" s="466" t="s">
        <v>34</v>
      </c>
      <c r="F119" s="466"/>
      <c r="G119" s="466"/>
      <c r="H119" s="884" t="s">
        <v>659</v>
      </c>
      <c r="I119" s="964">
        <v>1</v>
      </c>
      <c r="J119" s="965">
        <v>30</v>
      </c>
      <c r="K119" s="966">
        <v>2</v>
      </c>
      <c r="L119" s="868">
        <f>I119*J119*K119</f>
        <v>60</v>
      </c>
      <c r="M119" s="455"/>
      <c r="N119" s="456"/>
      <c r="O119" s="895"/>
      <c r="P119" s="861"/>
      <c r="Q119" s="896"/>
      <c r="R119" s="1679"/>
      <c r="S119" s="844"/>
      <c r="T119" s="844"/>
      <c r="U119" s="844"/>
      <c r="V119" s="844"/>
      <c r="W119" s="844"/>
      <c r="X119" s="844"/>
      <c r="Y119" s="844"/>
      <c r="Z119" s="844"/>
      <c r="AA119" s="844"/>
      <c r="AB119" s="833"/>
      <c r="AC119" s="833"/>
      <c r="AD119" s="833"/>
      <c r="AE119" s="833"/>
      <c r="AF119" s="833"/>
      <c r="AG119" s="833"/>
      <c r="AH119" s="833"/>
      <c r="AI119" s="833"/>
      <c r="AJ119" s="833"/>
      <c r="AK119" s="833"/>
      <c r="AL119" s="833"/>
      <c r="AM119" s="833"/>
      <c r="AN119" s="833"/>
      <c r="AO119" s="833"/>
      <c r="AP119" s="833"/>
      <c r="AQ119" s="833"/>
      <c r="AR119" s="833"/>
      <c r="AS119" s="833"/>
      <c r="AT119" s="833"/>
      <c r="AU119" s="833"/>
      <c r="AV119" s="833"/>
      <c r="AW119" s="833"/>
      <c r="AX119" s="833"/>
      <c r="AY119" s="833"/>
      <c r="AZ119" s="833"/>
      <c r="BA119" s="833"/>
      <c r="BB119" s="833"/>
      <c r="BC119" s="833"/>
      <c r="BD119" s="833"/>
      <c r="BE119" s="833"/>
      <c r="BF119" s="833"/>
      <c r="BG119" s="833"/>
      <c r="BH119" s="833"/>
      <c r="BI119" s="833"/>
      <c r="BJ119" s="833"/>
      <c r="BK119" s="833"/>
    </row>
    <row r="120" spans="2:63" x14ac:dyDescent="0.2">
      <c r="C120" s="1671"/>
      <c r="D120" s="890" t="s">
        <v>282</v>
      </c>
      <c r="E120" s="466" t="s">
        <v>34</v>
      </c>
      <c r="F120" s="466"/>
      <c r="G120" s="466"/>
      <c r="H120" s="884" t="s">
        <v>659</v>
      </c>
      <c r="I120" s="885">
        <v>30</v>
      </c>
      <c r="J120" s="967">
        <v>10</v>
      </c>
      <c r="K120" s="887">
        <v>2</v>
      </c>
      <c r="L120" s="868">
        <f t="shared" ref="L120:L129" si="9">I120*J120*K120</f>
        <v>600</v>
      </c>
      <c r="M120" s="455"/>
      <c r="N120" s="456"/>
      <c r="O120" s="895"/>
      <c r="P120" s="861"/>
      <c r="Q120" s="896"/>
      <c r="R120" s="1679"/>
      <c r="S120" s="844"/>
      <c r="T120" s="844"/>
      <c r="U120" s="844"/>
      <c r="V120" s="844"/>
      <c r="W120" s="844"/>
      <c r="X120" s="844"/>
      <c r="Y120" s="844"/>
      <c r="Z120" s="844"/>
      <c r="AA120" s="844"/>
      <c r="AB120" s="833"/>
      <c r="AC120" s="833"/>
      <c r="AD120" s="833"/>
      <c r="AE120" s="833"/>
      <c r="AF120" s="833"/>
      <c r="AG120" s="833"/>
      <c r="AH120" s="833"/>
      <c r="AI120" s="833"/>
      <c r="AJ120" s="833"/>
      <c r="AK120" s="833"/>
      <c r="AL120" s="833"/>
      <c r="AM120" s="833"/>
      <c r="AN120" s="833"/>
      <c r="AO120" s="833"/>
      <c r="AP120" s="833"/>
      <c r="AQ120" s="833"/>
      <c r="AR120" s="833"/>
      <c r="AS120" s="833"/>
      <c r="AT120" s="833"/>
      <c r="AU120" s="833"/>
      <c r="AV120" s="833"/>
      <c r="AW120" s="833"/>
      <c r="AX120" s="833"/>
      <c r="AY120" s="833"/>
      <c r="AZ120" s="833"/>
      <c r="BA120" s="833"/>
      <c r="BB120" s="833"/>
      <c r="BC120" s="833"/>
      <c r="BD120" s="833"/>
      <c r="BE120" s="833"/>
      <c r="BF120" s="833"/>
      <c r="BG120" s="833"/>
      <c r="BH120" s="833"/>
      <c r="BI120" s="833"/>
      <c r="BJ120" s="833"/>
      <c r="BK120" s="833"/>
    </row>
    <row r="121" spans="2:63" x14ac:dyDescent="0.2">
      <c r="C121" s="1671"/>
      <c r="D121" s="890" t="s">
        <v>283</v>
      </c>
      <c r="E121" s="466" t="s">
        <v>34</v>
      </c>
      <c r="F121" s="466"/>
      <c r="G121" s="466"/>
      <c r="H121" s="884" t="s">
        <v>659</v>
      </c>
      <c r="I121" s="885">
        <v>10</v>
      </c>
      <c r="J121" s="967">
        <v>10</v>
      </c>
      <c r="K121" s="887">
        <v>3</v>
      </c>
      <c r="L121" s="868">
        <f t="shared" si="9"/>
        <v>300</v>
      </c>
      <c r="M121" s="455"/>
      <c r="N121" s="456"/>
      <c r="O121" s="895"/>
      <c r="P121" s="861"/>
      <c r="Q121" s="896"/>
      <c r="R121" s="1679"/>
      <c r="S121" s="844"/>
      <c r="T121" s="844"/>
      <c r="U121" s="844"/>
      <c r="V121" s="844"/>
      <c r="W121" s="844"/>
      <c r="X121" s="844"/>
      <c r="Y121" s="844"/>
      <c r="Z121" s="844"/>
      <c r="AA121" s="844"/>
      <c r="AB121" s="833"/>
      <c r="AC121" s="833"/>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3"/>
      <c r="AY121" s="833"/>
      <c r="AZ121" s="833"/>
      <c r="BA121" s="833"/>
      <c r="BB121" s="833"/>
      <c r="BC121" s="833"/>
      <c r="BD121" s="833"/>
      <c r="BE121" s="833"/>
      <c r="BF121" s="833"/>
      <c r="BG121" s="833"/>
      <c r="BH121" s="833"/>
      <c r="BI121" s="833"/>
      <c r="BJ121" s="833"/>
      <c r="BK121" s="833"/>
    </row>
    <row r="122" spans="2:63" ht="25.5" x14ac:dyDescent="0.2">
      <c r="C122" s="1671"/>
      <c r="D122" s="890" t="s">
        <v>284</v>
      </c>
      <c r="E122" s="466" t="s">
        <v>34</v>
      </c>
      <c r="F122" s="466"/>
      <c r="G122" s="466"/>
      <c r="H122" s="884" t="s">
        <v>659</v>
      </c>
      <c r="I122" s="885">
        <v>10</v>
      </c>
      <c r="J122" s="967">
        <v>10</v>
      </c>
      <c r="K122" s="887">
        <v>2</v>
      </c>
      <c r="L122" s="968">
        <f t="shared" si="9"/>
        <v>200</v>
      </c>
      <c r="M122" s="455"/>
      <c r="N122" s="456"/>
      <c r="O122" s="895"/>
      <c r="P122" s="861"/>
      <c r="Q122" s="896"/>
      <c r="R122" s="1679"/>
      <c r="S122" s="844"/>
      <c r="T122" s="844"/>
      <c r="U122" s="844"/>
      <c r="V122" s="844"/>
      <c r="W122" s="844"/>
      <c r="X122" s="844"/>
      <c r="Y122" s="844"/>
      <c r="Z122" s="844"/>
      <c r="AA122" s="844"/>
      <c r="AB122" s="833"/>
      <c r="AC122" s="833"/>
      <c r="AD122" s="833"/>
      <c r="AE122" s="833"/>
      <c r="AF122" s="833"/>
      <c r="AG122" s="833"/>
      <c r="AH122" s="833"/>
      <c r="AI122" s="833"/>
      <c r="AJ122" s="833"/>
      <c r="AK122" s="833"/>
      <c r="AL122" s="833"/>
      <c r="AM122" s="833"/>
      <c r="AN122" s="833"/>
      <c r="AO122" s="833"/>
      <c r="AP122" s="833"/>
      <c r="AQ122" s="833"/>
      <c r="AR122" s="833"/>
      <c r="AS122" s="833"/>
      <c r="AT122" s="833"/>
      <c r="AU122" s="833"/>
      <c r="AV122" s="833"/>
      <c r="AW122" s="833"/>
      <c r="AX122" s="833"/>
      <c r="AY122" s="833"/>
      <c r="AZ122" s="833"/>
      <c r="BA122" s="833"/>
      <c r="BB122" s="833"/>
      <c r="BC122" s="833"/>
      <c r="BD122" s="833"/>
      <c r="BE122" s="833"/>
      <c r="BF122" s="833"/>
      <c r="BG122" s="833"/>
      <c r="BH122" s="833"/>
      <c r="BI122" s="833"/>
      <c r="BJ122" s="833"/>
      <c r="BK122" s="833"/>
    </row>
    <row r="123" spans="2:63" x14ac:dyDescent="0.2">
      <c r="C123" s="1671"/>
      <c r="D123" s="890" t="s">
        <v>285</v>
      </c>
      <c r="E123" s="466" t="s">
        <v>34</v>
      </c>
      <c r="F123" s="466"/>
      <c r="G123" s="466"/>
      <c r="H123" s="884" t="s">
        <v>659</v>
      </c>
      <c r="I123" s="969">
        <v>10</v>
      </c>
      <c r="J123" s="970">
        <v>5</v>
      </c>
      <c r="K123" s="971">
        <v>2</v>
      </c>
      <c r="L123" s="968">
        <f t="shared" si="9"/>
        <v>100</v>
      </c>
      <c r="M123" s="455"/>
      <c r="N123" s="456"/>
      <c r="O123" s="895"/>
      <c r="P123" s="861"/>
      <c r="Q123" s="896"/>
      <c r="R123" s="1679"/>
      <c r="S123" s="844"/>
      <c r="T123" s="844"/>
      <c r="U123" s="844"/>
      <c r="V123" s="844"/>
      <c r="W123" s="844"/>
      <c r="X123" s="844"/>
      <c r="Y123" s="844"/>
      <c r="Z123" s="844"/>
      <c r="AA123" s="844"/>
      <c r="AB123" s="833"/>
      <c r="AC123" s="833"/>
      <c r="AD123" s="833"/>
      <c r="AE123" s="833"/>
      <c r="AF123" s="833"/>
      <c r="AG123" s="833"/>
      <c r="AH123" s="833"/>
      <c r="AI123" s="833"/>
      <c r="AJ123" s="833"/>
      <c r="AK123" s="833"/>
      <c r="AL123" s="833"/>
      <c r="AM123" s="833"/>
      <c r="AN123" s="833"/>
      <c r="AO123" s="833"/>
      <c r="AP123" s="833"/>
      <c r="AQ123" s="833"/>
      <c r="AR123" s="833"/>
      <c r="AS123" s="833"/>
      <c r="AT123" s="833"/>
      <c r="AU123" s="833"/>
      <c r="AV123" s="833"/>
      <c r="AW123" s="833"/>
      <c r="AX123" s="833"/>
      <c r="AY123" s="833"/>
      <c r="AZ123" s="833"/>
      <c r="BA123" s="833"/>
      <c r="BB123" s="833"/>
      <c r="BC123" s="833"/>
      <c r="BD123" s="833"/>
      <c r="BE123" s="833"/>
      <c r="BF123" s="833"/>
      <c r="BG123" s="833"/>
      <c r="BH123" s="833"/>
      <c r="BI123" s="833"/>
      <c r="BJ123" s="833"/>
      <c r="BK123" s="833"/>
    </row>
    <row r="124" spans="2:63" x14ac:dyDescent="0.2">
      <c r="C124" s="1671"/>
      <c r="D124" s="890" t="s">
        <v>610</v>
      </c>
      <c r="E124" s="466" t="s">
        <v>34</v>
      </c>
      <c r="F124" s="466"/>
      <c r="G124" s="466"/>
      <c r="H124" s="884" t="s">
        <v>659</v>
      </c>
      <c r="I124" s="969">
        <v>6</v>
      </c>
      <c r="J124" s="970">
        <v>20</v>
      </c>
      <c r="K124" s="971">
        <v>3</v>
      </c>
      <c r="L124" s="868">
        <f t="shared" si="9"/>
        <v>360</v>
      </c>
      <c r="M124" s="455"/>
      <c r="N124" s="456"/>
      <c r="O124" s="895"/>
      <c r="P124" s="861"/>
      <c r="Q124" s="896"/>
      <c r="R124" s="1679"/>
      <c r="S124" s="844"/>
      <c r="T124" s="844"/>
      <c r="U124" s="844"/>
      <c r="V124" s="844"/>
      <c r="W124" s="844"/>
      <c r="X124" s="844"/>
      <c r="Y124" s="844"/>
      <c r="Z124" s="844"/>
      <c r="AA124" s="844"/>
      <c r="AB124" s="833"/>
      <c r="AC124" s="833"/>
      <c r="AD124" s="833"/>
      <c r="AE124" s="833"/>
      <c r="AF124" s="833"/>
      <c r="AG124" s="833"/>
      <c r="AH124" s="833"/>
      <c r="AI124" s="833"/>
      <c r="AJ124" s="833"/>
      <c r="AK124" s="833"/>
      <c r="AL124" s="833"/>
      <c r="AM124" s="833"/>
      <c r="AN124" s="833"/>
      <c r="AO124" s="833"/>
      <c r="AP124" s="833"/>
      <c r="AQ124" s="833"/>
      <c r="AR124" s="833"/>
      <c r="AS124" s="833"/>
      <c r="AT124" s="833"/>
      <c r="AU124" s="833"/>
      <c r="AV124" s="833"/>
      <c r="AW124" s="833"/>
      <c r="AX124" s="833"/>
      <c r="AY124" s="833"/>
      <c r="AZ124" s="833"/>
      <c r="BA124" s="833"/>
      <c r="BB124" s="833"/>
      <c r="BC124" s="833"/>
      <c r="BD124" s="833"/>
      <c r="BE124" s="833"/>
      <c r="BF124" s="833"/>
      <c r="BG124" s="833"/>
      <c r="BH124" s="833"/>
      <c r="BI124" s="833"/>
      <c r="BJ124" s="833"/>
      <c r="BK124" s="833"/>
    </row>
    <row r="125" spans="2:63" x14ac:dyDescent="0.2">
      <c r="C125" s="1671"/>
      <c r="D125" s="890" t="s">
        <v>236</v>
      </c>
      <c r="E125" s="466" t="s">
        <v>34</v>
      </c>
      <c r="F125" s="466"/>
      <c r="G125" s="466"/>
      <c r="H125" s="884" t="s">
        <v>659</v>
      </c>
      <c r="I125" s="969">
        <v>1</v>
      </c>
      <c r="J125" s="970">
        <v>40</v>
      </c>
      <c r="K125" s="971">
        <v>3</v>
      </c>
      <c r="L125" s="868">
        <f t="shared" si="9"/>
        <v>120</v>
      </c>
      <c r="M125" s="467"/>
      <c r="N125" s="456"/>
      <c r="O125" s="895"/>
      <c r="P125" s="861"/>
      <c r="Q125" s="896"/>
      <c r="R125" s="1679"/>
      <c r="S125" s="844"/>
      <c r="T125" s="844"/>
      <c r="U125" s="844"/>
      <c r="V125" s="844"/>
      <c r="W125" s="844"/>
      <c r="X125" s="844"/>
      <c r="Y125" s="844"/>
      <c r="Z125" s="844"/>
      <c r="AA125" s="844"/>
      <c r="AB125" s="833"/>
      <c r="AC125" s="833"/>
      <c r="AD125" s="833"/>
      <c r="AE125" s="833"/>
      <c r="AF125" s="833"/>
      <c r="AG125" s="833"/>
      <c r="AH125" s="833"/>
      <c r="AI125" s="833"/>
      <c r="AJ125" s="833"/>
      <c r="AK125" s="833"/>
      <c r="AL125" s="833"/>
      <c r="AM125" s="833"/>
      <c r="AN125" s="833"/>
      <c r="AO125" s="833"/>
      <c r="AP125" s="833"/>
      <c r="AQ125" s="833"/>
      <c r="AR125" s="833"/>
      <c r="AS125" s="833"/>
      <c r="AT125" s="833"/>
      <c r="AU125" s="833"/>
      <c r="AV125" s="833"/>
      <c r="AW125" s="833"/>
      <c r="AX125" s="833"/>
      <c r="AY125" s="833"/>
      <c r="AZ125" s="833"/>
      <c r="BA125" s="833"/>
      <c r="BB125" s="833"/>
      <c r="BC125" s="833"/>
      <c r="BD125" s="833"/>
      <c r="BE125" s="833"/>
      <c r="BF125" s="833"/>
      <c r="BG125" s="833"/>
      <c r="BH125" s="833"/>
      <c r="BI125" s="833"/>
      <c r="BJ125" s="833"/>
      <c r="BK125" s="833"/>
    </row>
    <row r="126" spans="2:63" x14ac:dyDescent="0.2">
      <c r="C126" s="1671"/>
      <c r="D126" s="890" t="s">
        <v>226</v>
      </c>
      <c r="E126" s="466" t="s">
        <v>34</v>
      </c>
      <c r="F126" s="466"/>
      <c r="G126" s="466"/>
      <c r="H126" s="884" t="s">
        <v>659</v>
      </c>
      <c r="I126" s="969">
        <v>7</v>
      </c>
      <c r="J126" s="970">
        <v>5</v>
      </c>
      <c r="K126" s="971">
        <v>1</v>
      </c>
      <c r="L126" s="868">
        <f t="shared" si="9"/>
        <v>35</v>
      </c>
      <c r="M126" s="455"/>
      <c r="N126" s="456"/>
      <c r="O126" s="895"/>
      <c r="P126" s="861"/>
      <c r="Q126" s="896"/>
      <c r="R126" s="1679"/>
      <c r="S126" s="844"/>
      <c r="T126" s="844"/>
      <c r="U126" s="844"/>
      <c r="V126" s="844"/>
      <c r="W126" s="844"/>
      <c r="X126" s="844"/>
      <c r="Y126" s="844"/>
      <c r="Z126" s="844"/>
      <c r="AA126" s="844"/>
      <c r="AB126" s="833"/>
      <c r="AC126" s="833"/>
      <c r="AD126" s="833"/>
      <c r="AE126" s="833"/>
      <c r="AF126" s="833"/>
      <c r="AG126" s="833"/>
      <c r="AH126" s="833"/>
      <c r="AI126" s="833"/>
      <c r="AJ126" s="833"/>
      <c r="AK126" s="833"/>
      <c r="AL126" s="833"/>
      <c r="AM126" s="833"/>
      <c r="AN126" s="833"/>
      <c r="AO126" s="833"/>
      <c r="AP126" s="833"/>
      <c r="AQ126" s="833"/>
      <c r="AR126" s="833"/>
      <c r="AS126" s="833"/>
      <c r="AT126" s="833"/>
      <c r="AU126" s="833"/>
      <c r="AV126" s="833"/>
      <c r="AW126" s="833"/>
      <c r="AX126" s="833"/>
      <c r="AY126" s="833"/>
      <c r="AZ126" s="833"/>
      <c r="BA126" s="833"/>
      <c r="BB126" s="833"/>
      <c r="BC126" s="833"/>
      <c r="BD126" s="833"/>
      <c r="BE126" s="833"/>
      <c r="BF126" s="833"/>
      <c r="BG126" s="833"/>
      <c r="BH126" s="833"/>
      <c r="BI126" s="833"/>
      <c r="BJ126" s="833"/>
      <c r="BK126" s="833"/>
    </row>
    <row r="127" spans="2:63" x14ac:dyDescent="0.2">
      <c r="C127" s="1671"/>
      <c r="D127" s="890" t="s">
        <v>286</v>
      </c>
      <c r="E127" s="466" t="s">
        <v>34</v>
      </c>
      <c r="F127" s="466"/>
      <c r="G127" s="466"/>
      <c r="H127" s="884" t="s">
        <v>659</v>
      </c>
      <c r="I127" s="969">
        <v>60</v>
      </c>
      <c r="J127" s="970">
        <v>1.2</v>
      </c>
      <c r="K127" s="971">
        <v>2</v>
      </c>
      <c r="L127" s="868">
        <f t="shared" si="9"/>
        <v>144</v>
      </c>
      <c r="M127" s="455"/>
      <c r="N127" s="456"/>
      <c r="O127" s="895"/>
      <c r="P127" s="861"/>
      <c r="Q127" s="896"/>
      <c r="R127" s="1679"/>
      <c r="S127" s="844"/>
      <c r="T127" s="844"/>
      <c r="U127" s="844"/>
      <c r="V127" s="844"/>
      <c r="W127" s="844"/>
      <c r="X127" s="844"/>
      <c r="Y127" s="844"/>
      <c r="Z127" s="844"/>
      <c r="AA127" s="844"/>
      <c r="AB127" s="833"/>
      <c r="AC127" s="833"/>
      <c r="AD127" s="833"/>
      <c r="AE127" s="833"/>
      <c r="AF127" s="833"/>
      <c r="AG127" s="833"/>
      <c r="AH127" s="833"/>
      <c r="AI127" s="833"/>
      <c r="AJ127" s="833"/>
      <c r="AK127" s="833"/>
      <c r="AL127" s="833"/>
      <c r="AM127" s="833"/>
      <c r="AN127" s="833"/>
      <c r="AO127" s="833"/>
      <c r="AP127" s="833"/>
      <c r="AQ127" s="833"/>
      <c r="AR127" s="833"/>
      <c r="AS127" s="833"/>
      <c r="AT127" s="833"/>
      <c r="AU127" s="833"/>
      <c r="AV127" s="833"/>
      <c r="AW127" s="833"/>
      <c r="AX127" s="833"/>
      <c r="AY127" s="833"/>
      <c r="AZ127" s="833"/>
      <c r="BA127" s="833"/>
      <c r="BB127" s="833"/>
      <c r="BC127" s="833"/>
      <c r="BD127" s="833"/>
      <c r="BE127" s="833"/>
      <c r="BF127" s="833"/>
      <c r="BG127" s="833"/>
      <c r="BH127" s="833"/>
      <c r="BI127" s="833"/>
      <c r="BJ127" s="833"/>
      <c r="BK127" s="833"/>
    </row>
    <row r="128" spans="2:63" x14ac:dyDescent="0.2">
      <c r="C128" s="1671"/>
      <c r="D128" s="890" t="s">
        <v>287</v>
      </c>
      <c r="E128" s="466" t="s">
        <v>34</v>
      </c>
      <c r="F128" s="466"/>
      <c r="G128" s="466"/>
      <c r="H128" s="884" t="s">
        <v>659</v>
      </c>
      <c r="I128" s="969">
        <v>30</v>
      </c>
      <c r="J128" s="970">
        <v>1.5</v>
      </c>
      <c r="K128" s="971">
        <v>1</v>
      </c>
      <c r="L128" s="868">
        <f t="shared" si="9"/>
        <v>45</v>
      </c>
      <c r="M128" s="455"/>
      <c r="N128" s="456"/>
      <c r="O128" s="895"/>
      <c r="P128" s="861"/>
      <c r="Q128" s="896"/>
      <c r="R128" s="1679"/>
      <c r="S128" s="844"/>
      <c r="T128" s="844"/>
      <c r="U128" s="844"/>
      <c r="V128" s="844"/>
      <c r="W128" s="844"/>
      <c r="X128" s="844"/>
      <c r="Y128" s="844"/>
      <c r="Z128" s="844"/>
      <c r="AA128" s="844"/>
      <c r="AB128" s="833"/>
      <c r="AC128" s="833"/>
      <c r="AD128" s="833"/>
      <c r="AE128" s="833"/>
      <c r="AF128" s="833"/>
      <c r="AG128" s="833"/>
      <c r="AH128" s="833"/>
      <c r="AI128" s="833"/>
      <c r="AJ128" s="833"/>
      <c r="AK128" s="833"/>
      <c r="AL128" s="833"/>
      <c r="AM128" s="833"/>
      <c r="AN128" s="833"/>
      <c r="AO128" s="833"/>
      <c r="AP128" s="833"/>
      <c r="AQ128" s="833"/>
      <c r="AR128" s="833"/>
      <c r="AS128" s="833"/>
      <c r="AT128" s="833"/>
      <c r="AU128" s="833"/>
      <c r="AV128" s="833"/>
      <c r="AW128" s="833"/>
      <c r="AX128" s="833"/>
      <c r="AY128" s="833"/>
      <c r="AZ128" s="833"/>
      <c r="BA128" s="833"/>
      <c r="BB128" s="833"/>
      <c r="BC128" s="833"/>
      <c r="BD128" s="833"/>
      <c r="BE128" s="833"/>
      <c r="BF128" s="833"/>
      <c r="BG128" s="833"/>
      <c r="BH128" s="833"/>
      <c r="BI128" s="833"/>
      <c r="BJ128" s="833"/>
      <c r="BK128" s="833"/>
    </row>
    <row r="129" spans="2:63" x14ac:dyDescent="0.2">
      <c r="C129" s="1671"/>
      <c r="D129" s="972" t="s">
        <v>611</v>
      </c>
      <c r="E129" s="462" t="s">
        <v>34</v>
      </c>
      <c r="F129" s="462"/>
      <c r="G129" s="462"/>
      <c r="H129" s="919" t="s">
        <v>659</v>
      </c>
      <c r="I129" s="973">
        <v>1</v>
      </c>
      <c r="J129" s="974">
        <v>600</v>
      </c>
      <c r="K129" s="975">
        <v>12</v>
      </c>
      <c r="L129" s="976">
        <f t="shared" si="9"/>
        <v>7200</v>
      </c>
      <c r="M129" s="455"/>
      <c r="N129" s="456"/>
      <c r="O129" s="897"/>
      <c r="P129" s="898"/>
      <c r="Q129" s="899"/>
      <c r="R129" s="1680"/>
      <c r="S129" s="844"/>
      <c r="T129" s="844"/>
      <c r="U129" s="844"/>
      <c r="V129" s="844"/>
      <c r="W129" s="844"/>
      <c r="X129" s="844"/>
      <c r="Y129" s="844"/>
      <c r="Z129" s="844"/>
      <c r="AA129" s="844"/>
      <c r="AB129" s="833"/>
      <c r="AC129" s="833"/>
      <c r="AD129" s="833"/>
      <c r="AE129" s="833"/>
      <c r="AF129" s="833"/>
      <c r="AG129" s="833"/>
      <c r="AH129" s="833"/>
      <c r="AI129" s="833"/>
      <c r="AJ129" s="833"/>
      <c r="AK129" s="833"/>
      <c r="AL129" s="833"/>
      <c r="AM129" s="833"/>
      <c r="AN129" s="833"/>
      <c r="AO129" s="833"/>
      <c r="AP129" s="833"/>
      <c r="AQ129" s="833"/>
      <c r="AR129" s="833"/>
      <c r="AS129" s="833"/>
      <c r="AT129" s="833"/>
      <c r="AU129" s="833"/>
      <c r="AV129" s="833"/>
      <c r="AW129" s="833"/>
      <c r="AX129" s="833"/>
      <c r="AY129" s="833"/>
      <c r="AZ129" s="833"/>
      <c r="BA129" s="833"/>
      <c r="BB129" s="833"/>
      <c r="BC129" s="833"/>
      <c r="BD129" s="833"/>
      <c r="BE129" s="833"/>
      <c r="BF129" s="833"/>
      <c r="BG129" s="833"/>
      <c r="BH129" s="833"/>
      <c r="BI129" s="833"/>
      <c r="BJ129" s="833"/>
      <c r="BK129" s="833"/>
    </row>
    <row r="130" spans="2:63" ht="24.75" customHeight="1" x14ac:dyDescent="0.2">
      <c r="B130" s="869" t="s">
        <v>676</v>
      </c>
      <c r="C130" s="1671"/>
      <c r="D130" s="468" t="s">
        <v>246</v>
      </c>
      <c r="E130" s="468"/>
      <c r="F130" s="468"/>
      <c r="G130" s="468"/>
      <c r="H130" s="458"/>
      <c r="I130" s="458"/>
      <c r="J130" s="909"/>
      <c r="K130" s="909"/>
      <c r="L130" s="977">
        <f>SUM(L119:L129)</f>
        <v>9164</v>
      </c>
      <c r="M130" s="460">
        <v>15</v>
      </c>
      <c r="N130" s="475">
        <f>L130*M130/100</f>
        <v>1374.6</v>
      </c>
      <c r="O130" s="475"/>
      <c r="P130" s="876">
        <v>0</v>
      </c>
      <c r="Q130" s="889">
        <f>P130/L130</f>
        <v>0</v>
      </c>
      <c r="R130" s="1676"/>
      <c r="S130" s="844"/>
      <c r="T130" s="844"/>
      <c r="U130" s="844"/>
      <c r="V130" s="844"/>
      <c r="W130" s="844"/>
      <c r="X130" s="844"/>
      <c r="Y130" s="844"/>
      <c r="Z130" s="844"/>
      <c r="AA130" s="878" t="s">
        <v>661</v>
      </c>
      <c r="AB130" s="833"/>
      <c r="AC130" s="833"/>
      <c r="AD130" s="833"/>
      <c r="AE130" s="833"/>
      <c r="AF130" s="833"/>
      <c r="AG130" s="833"/>
      <c r="AH130" s="833"/>
      <c r="AI130" s="833"/>
      <c r="AJ130" s="833"/>
      <c r="AK130" s="833"/>
      <c r="AL130" s="833"/>
      <c r="AM130" s="833"/>
      <c r="AN130" s="833"/>
      <c r="AO130" s="833"/>
      <c r="AP130" s="833"/>
      <c r="AQ130" s="833"/>
      <c r="AR130" s="833"/>
      <c r="AS130" s="833"/>
      <c r="AT130" s="833"/>
      <c r="AU130" s="833"/>
      <c r="AV130" s="833"/>
      <c r="AW130" s="833"/>
      <c r="AX130" s="833"/>
      <c r="AY130" s="833"/>
      <c r="AZ130" s="833"/>
      <c r="BA130" s="833"/>
      <c r="BB130" s="833"/>
      <c r="BC130" s="833"/>
      <c r="BD130" s="833"/>
      <c r="BE130" s="833"/>
      <c r="BF130" s="833"/>
      <c r="BG130" s="833"/>
      <c r="BH130" s="833"/>
      <c r="BI130" s="833"/>
      <c r="BJ130" s="833"/>
      <c r="BK130" s="833"/>
    </row>
    <row r="131" spans="2:63" ht="14.45" customHeight="1" x14ac:dyDescent="0.2">
      <c r="C131" s="1671"/>
      <c r="D131" s="453" t="s">
        <v>288</v>
      </c>
      <c r="E131" s="454"/>
      <c r="F131" s="454"/>
      <c r="G131" s="454"/>
      <c r="H131" s="465"/>
      <c r="I131" s="454"/>
      <c r="J131" s="910"/>
      <c r="K131" s="910"/>
      <c r="L131" s="911"/>
      <c r="M131" s="455"/>
      <c r="N131" s="456"/>
      <c r="O131" s="895"/>
      <c r="P131" s="861"/>
      <c r="Q131" s="896"/>
      <c r="R131" s="1677"/>
      <c r="S131" s="844"/>
      <c r="T131" s="844"/>
      <c r="U131" s="844"/>
      <c r="V131" s="844"/>
      <c r="W131" s="844"/>
      <c r="X131" s="844"/>
      <c r="Y131" s="844"/>
      <c r="Z131" s="844"/>
      <c r="AA131" s="844"/>
      <c r="AB131" s="833"/>
      <c r="AC131" s="833"/>
      <c r="AD131" s="833"/>
      <c r="AE131" s="833"/>
      <c r="AF131" s="833"/>
      <c r="AG131" s="833"/>
      <c r="AH131" s="833"/>
      <c r="AI131" s="833"/>
      <c r="AJ131" s="833"/>
      <c r="AK131" s="833"/>
      <c r="AL131" s="833"/>
      <c r="AM131" s="833"/>
      <c r="AN131" s="833"/>
      <c r="AO131" s="833"/>
      <c r="AP131" s="833"/>
      <c r="AQ131" s="833"/>
      <c r="AR131" s="833"/>
      <c r="AS131" s="833"/>
      <c r="AT131" s="833"/>
      <c r="AU131" s="833"/>
      <c r="AV131" s="833"/>
      <c r="AW131" s="833"/>
      <c r="AX131" s="833"/>
      <c r="AY131" s="833"/>
      <c r="AZ131" s="833"/>
      <c r="BA131" s="833"/>
      <c r="BB131" s="833"/>
      <c r="BC131" s="833"/>
      <c r="BD131" s="833"/>
      <c r="BE131" s="833"/>
      <c r="BF131" s="833"/>
      <c r="BG131" s="833"/>
      <c r="BH131" s="833"/>
      <c r="BI131" s="833"/>
      <c r="BJ131" s="833"/>
      <c r="BK131" s="833"/>
    </row>
    <row r="132" spans="2:63" ht="14.45" customHeight="1" x14ac:dyDescent="0.2">
      <c r="C132" s="1671"/>
      <c r="D132" s="890" t="s">
        <v>289</v>
      </c>
      <c r="E132" s="466" t="s">
        <v>34</v>
      </c>
      <c r="F132" s="466"/>
      <c r="G132" s="466"/>
      <c r="H132" s="884" t="s">
        <v>659</v>
      </c>
      <c r="I132" s="890">
        <v>3</v>
      </c>
      <c r="J132" s="978">
        <v>20</v>
      </c>
      <c r="K132" s="979">
        <v>3</v>
      </c>
      <c r="L132" s="868">
        <f>I132*J132*K132</f>
        <v>180</v>
      </c>
      <c r="M132" s="455"/>
      <c r="N132" s="456"/>
      <c r="O132" s="895"/>
      <c r="P132" s="861"/>
      <c r="Q132" s="896"/>
      <c r="R132" s="1677"/>
      <c r="S132" s="844"/>
      <c r="T132" s="844"/>
      <c r="U132" s="844"/>
      <c r="V132" s="844"/>
      <c r="W132" s="844"/>
      <c r="X132" s="844"/>
      <c r="Y132" s="844"/>
      <c r="Z132" s="844"/>
      <c r="AA132" s="844"/>
      <c r="AB132" s="833"/>
      <c r="AC132" s="833"/>
      <c r="AD132" s="833"/>
      <c r="AE132" s="833"/>
      <c r="AF132" s="833"/>
      <c r="AG132" s="833"/>
      <c r="AH132" s="833"/>
      <c r="AI132" s="833"/>
      <c r="AJ132" s="833"/>
      <c r="AK132" s="833"/>
      <c r="AL132" s="833"/>
      <c r="AM132" s="833"/>
      <c r="AN132" s="833"/>
      <c r="AO132" s="833"/>
      <c r="AP132" s="833"/>
      <c r="AQ132" s="833"/>
      <c r="AR132" s="833"/>
      <c r="AS132" s="833"/>
      <c r="AT132" s="833"/>
      <c r="AU132" s="833"/>
      <c r="AV132" s="833"/>
      <c r="AW132" s="833"/>
      <c r="AX132" s="833"/>
      <c r="AY132" s="833"/>
      <c r="AZ132" s="833"/>
      <c r="BA132" s="833"/>
      <c r="BB132" s="833"/>
      <c r="BC132" s="833"/>
      <c r="BD132" s="833"/>
      <c r="BE132" s="833"/>
      <c r="BF132" s="833"/>
      <c r="BG132" s="833"/>
      <c r="BH132" s="833"/>
      <c r="BI132" s="833"/>
      <c r="BJ132" s="833"/>
      <c r="BK132" s="833"/>
    </row>
    <row r="133" spans="2:63" x14ac:dyDescent="0.2">
      <c r="C133" s="1671"/>
      <c r="D133" s="890" t="s">
        <v>290</v>
      </c>
      <c r="E133" s="466" t="s">
        <v>34</v>
      </c>
      <c r="F133" s="466"/>
      <c r="G133" s="466"/>
      <c r="H133" s="884" t="s">
        <v>659</v>
      </c>
      <c r="I133" s="890">
        <v>40</v>
      </c>
      <c r="J133" s="978">
        <v>7.5</v>
      </c>
      <c r="K133" s="979">
        <v>3</v>
      </c>
      <c r="L133" s="868">
        <f t="shared" ref="L133:L139" si="10">I133*J133*K133</f>
        <v>900</v>
      </c>
      <c r="M133" s="455"/>
      <c r="N133" s="456"/>
      <c r="O133" s="895"/>
      <c r="P133" s="861"/>
      <c r="Q133" s="896"/>
      <c r="R133" s="1677"/>
      <c r="S133" s="844"/>
      <c r="T133" s="844"/>
      <c r="U133" s="844"/>
      <c r="V133" s="844"/>
      <c r="W133" s="844"/>
      <c r="X133" s="844"/>
      <c r="Y133" s="844"/>
      <c r="Z133" s="844"/>
      <c r="AA133" s="844"/>
      <c r="AB133" s="833"/>
      <c r="AC133" s="833"/>
      <c r="AD133" s="833"/>
      <c r="AE133" s="833"/>
      <c r="AF133" s="833"/>
      <c r="AG133" s="833"/>
      <c r="AH133" s="833"/>
      <c r="AI133" s="833"/>
      <c r="AJ133" s="833"/>
      <c r="AK133" s="833"/>
      <c r="AL133" s="833"/>
      <c r="AM133" s="833"/>
      <c r="AN133" s="833"/>
      <c r="AO133" s="833"/>
      <c r="AP133" s="833"/>
      <c r="AQ133" s="833"/>
      <c r="AR133" s="833"/>
      <c r="AS133" s="833"/>
      <c r="AT133" s="833"/>
      <c r="AU133" s="833"/>
      <c r="AV133" s="833"/>
      <c r="AW133" s="833"/>
      <c r="AX133" s="833"/>
      <c r="AY133" s="833"/>
      <c r="AZ133" s="833"/>
      <c r="BA133" s="833"/>
      <c r="BB133" s="833"/>
      <c r="BC133" s="833"/>
      <c r="BD133" s="833"/>
      <c r="BE133" s="833"/>
      <c r="BF133" s="833"/>
      <c r="BG133" s="833"/>
      <c r="BH133" s="833"/>
      <c r="BI133" s="833"/>
      <c r="BJ133" s="833"/>
      <c r="BK133" s="833"/>
    </row>
    <row r="134" spans="2:63" x14ac:dyDescent="0.2">
      <c r="C134" s="1671"/>
      <c r="D134" s="890" t="s">
        <v>291</v>
      </c>
      <c r="E134" s="466" t="s">
        <v>34</v>
      </c>
      <c r="F134" s="466"/>
      <c r="G134" s="466"/>
      <c r="H134" s="884" t="s">
        <v>659</v>
      </c>
      <c r="I134" s="890">
        <v>10</v>
      </c>
      <c r="J134" s="978">
        <v>10</v>
      </c>
      <c r="K134" s="979">
        <v>4</v>
      </c>
      <c r="L134" s="868">
        <f t="shared" si="10"/>
        <v>400</v>
      </c>
      <c r="M134" s="455"/>
      <c r="N134" s="456"/>
      <c r="O134" s="895"/>
      <c r="P134" s="861"/>
      <c r="Q134" s="896"/>
      <c r="R134" s="1677"/>
      <c r="S134" s="844"/>
      <c r="T134" s="844"/>
      <c r="U134" s="844"/>
      <c r="V134" s="844"/>
      <c r="W134" s="844"/>
      <c r="X134" s="844"/>
      <c r="Y134" s="844"/>
      <c r="Z134" s="844"/>
      <c r="AA134" s="844"/>
      <c r="AB134" s="833"/>
      <c r="AC134" s="833"/>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row>
    <row r="135" spans="2:63" x14ac:dyDescent="0.2">
      <c r="C135" s="1671"/>
      <c r="D135" s="890" t="s">
        <v>292</v>
      </c>
      <c r="E135" s="466" t="s">
        <v>34</v>
      </c>
      <c r="F135" s="466"/>
      <c r="G135" s="466"/>
      <c r="H135" s="884" t="s">
        <v>659</v>
      </c>
      <c r="I135" s="890">
        <v>10</v>
      </c>
      <c r="J135" s="978">
        <v>15</v>
      </c>
      <c r="K135" s="979">
        <v>1</v>
      </c>
      <c r="L135" s="868">
        <f t="shared" si="10"/>
        <v>150</v>
      </c>
      <c r="M135" s="455"/>
      <c r="N135" s="456"/>
      <c r="O135" s="895"/>
      <c r="P135" s="861"/>
      <c r="Q135" s="896"/>
      <c r="R135" s="1677"/>
      <c r="S135" s="844"/>
      <c r="T135" s="844"/>
      <c r="U135" s="844"/>
      <c r="V135" s="844"/>
      <c r="W135" s="844"/>
      <c r="X135" s="844"/>
      <c r="Y135" s="844"/>
      <c r="Z135" s="844"/>
      <c r="AA135" s="844"/>
      <c r="AB135" s="833"/>
      <c r="AC135" s="833"/>
      <c r="AD135" s="833"/>
      <c r="AE135" s="833"/>
      <c r="AF135" s="833"/>
      <c r="AG135" s="833"/>
      <c r="AH135" s="833"/>
      <c r="AI135" s="833"/>
      <c r="AJ135" s="833"/>
      <c r="AK135" s="833"/>
      <c r="AL135" s="833"/>
      <c r="AM135" s="833"/>
      <c r="AN135" s="833"/>
      <c r="AO135" s="833"/>
      <c r="AP135" s="833"/>
      <c r="AQ135" s="833"/>
      <c r="AR135" s="833"/>
      <c r="AS135" s="833"/>
      <c r="AT135" s="833"/>
      <c r="AU135" s="833"/>
      <c r="AV135" s="833"/>
      <c r="AW135" s="833"/>
      <c r="AX135" s="833"/>
      <c r="AY135" s="833"/>
      <c r="AZ135" s="833"/>
      <c r="BA135" s="833"/>
      <c r="BB135" s="833"/>
      <c r="BC135" s="833"/>
      <c r="BD135" s="833"/>
      <c r="BE135" s="833"/>
      <c r="BF135" s="833"/>
      <c r="BG135" s="833"/>
      <c r="BH135" s="833"/>
      <c r="BI135" s="833"/>
      <c r="BJ135" s="833"/>
      <c r="BK135" s="833"/>
    </row>
    <row r="136" spans="2:63" x14ac:dyDescent="0.2">
      <c r="C136" s="1671"/>
      <c r="D136" s="890" t="s">
        <v>287</v>
      </c>
      <c r="E136" s="466" t="s">
        <v>34</v>
      </c>
      <c r="F136" s="466"/>
      <c r="G136" s="466"/>
      <c r="H136" s="884" t="s">
        <v>659</v>
      </c>
      <c r="I136" s="890">
        <v>40</v>
      </c>
      <c r="J136" s="978">
        <v>3</v>
      </c>
      <c r="K136" s="979">
        <v>1</v>
      </c>
      <c r="L136" s="868">
        <f t="shared" si="10"/>
        <v>120</v>
      </c>
      <c r="M136" s="455"/>
      <c r="N136" s="456"/>
      <c r="O136" s="895"/>
      <c r="P136" s="861"/>
      <c r="Q136" s="896"/>
      <c r="R136" s="1677"/>
      <c r="S136" s="844"/>
      <c r="T136" s="844"/>
      <c r="U136" s="844"/>
      <c r="V136" s="844"/>
      <c r="W136" s="844"/>
      <c r="X136" s="844"/>
      <c r="Y136" s="844"/>
      <c r="Z136" s="844"/>
      <c r="AA136" s="844"/>
      <c r="AB136" s="833"/>
      <c r="AC136" s="833"/>
      <c r="AD136" s="833"/>
      <c r="AE136" s="833"/>
      <c r="AF136" s="833"/>
      <c r="AG136" s="833"/>
      <c r="AH136" s="833"/>
      <c r="AI136" s="833"/>
      <c r="AJ136" s="833"/>
      <c r="AK136" s="833"/>
      <c r="AL136" s="833"/>
      <c r="AM136" s="833"/>
      <c r="AN136" s="833"/>
      <c r="AO136" s="833"/>
      <c r="AP136" s="833"/>
      <c r="AQ136" s="833"/>
      <c r="AR136" s="833"/>
      <c r="AS136" s="833"/>
      <c r="AT136" s="833"/>
      <c r="AU136" s="833"/>
      <c r="AV136" s="833"/>
      <c r="AW136" s="833"/>
      <c r="AX136" s="833"/>
      <c r="AY136" s="833"/>
      <c r="AZ136" s="833"/>
      <c r="BA136" s="833"/>
      <c r="BB136" s="833"/>
      <c r="BC136" s="833"/>
      <c r="BD136" s="833"/>
      <c r="BE136" s="833"/>
      <c r="BF136" s="833"/>
      <c r="BG136" s="833"/>
      <c r="BH136" s="833"/>
      <c r="BI136" s="833"/>
      <c r="BJ136" s="833"/>
      <c r="BK136" s="833"/>
    </row>
    <row r="137" spans="2:63" x14ac:dyDescent="0.2">
      <c r="C137" s="1671"/>
      <c r="D137" s="890" t="s">
        <v>286</v>
      </c>
      <c r="E137" s="466" t="s">
        <v>34</v>
      </c>
      <c r="F137" s="466"/>
      <c r="G137" s="466"/>
      <c r="H137" s="884" t="s">
        <v>659</v>
      </c>
      <c r="I137" s="890">
        <v>160</v>
      </c>
      <c r="J137" s="978">
        <v>1.2</v>
      </c>
      <c r="K137" s="979">
        <v>1</v>
      </c>
      <c r="L137" s="868">
        <f t="shared" si="10"/>
        <v>192</v>
      </c>
      <c r="M137" s="455"/>
      <c r="N137" s="456"/>
      <c r="O137" s="895"/>
      <c r="P137" s="861"/>
      <c r="Q137" s="896"/>
      <c r="R137" s="1677"/>
      <c r="S137" s="844"/>
      <c r="T137" s="844"/>
      <c r="U137" s="844"/>
      <c r="V137" s="844"/>
      <c r="W137" s="844"/>
      <c r="X137" s="844"/>
      <c r="Y137" s="844"/>
      <c r="Z137" s="844"/>
      <c r="AA137" s="844"/>
      <c r="AB137" s="833"/>
      <c r="AC137" s="833"/>
      <c r="AD137" s="833"/>
      <c r="AE137" s="833"/>
      <c r="AF137" s="833"/>
      <c r="AG137" s="833"/>
      <c r="AH137" s="833"/>
      <c r="AI137" s="833"/>
      <c r="AJ137" s="833"/>
      <c r="AK137" s="833"/>
      <c r="AL137" s="833"/>
      <c r="AM137" s="833"/>
      <c r="AN137" s="833"/>
      <c r="AO137" s="833"/>
      <c r="AP137" s="833"/>
      <c r="AQ137" s="833"/>
      <c r="AR137" s="833"/>
      <c r="AS137" s="833"/>
      <c r="AT137" s="833"/>
      <c r="AU137" s="833"/>
      <c r="AV137" s="833"/>
      <c r="AW137" s="833"/>
      <c r="AX137" s="833"/>
      <c r="AY137" s="833"/>
      <c r="AZ137" s="833"/>
      <c r="BA137" s="833"/>
      <c r="BB137" s="833"/>
      <c r="BC137" s="833"/>
      <c r="BD137" s="833"/>
      <c r="BE137" s="833"/>
      <c r="BF137" s="833"/>
      <c r="BG137" s="833"/>
      <c r="BH137" s="833"/>
      <c r="BI137" s="833"/>
      <c r="BJ137" s="833"/>
      <c r="BK137" s="833"/>
    </row>
    <row r="138" spans="2:63" x14ac:dyDescent="0.2">
      <c r="C138" s="1671"/>
      <c r="D138" s="890" t="s">
        <v>612</v>
      </c>
      <c r="E138" s="466" t="s">
        <v>34</v>
      </c>
      <c r="F138" s="466"/>
      <c r="G138" s="466"/>
      <c r="H138" s="884" t="s">
        <v>659</v>
      </c>
      <c r="I138" s="890">
        <v>3</v>
      </c>
      <c r="J138" s="978">
        <v>20</v>
      </c>
      <c r="K138" s="979">
        <v>10</v>
      </c>
      <c r="L138" s="868">
        <f t="shared" si="10"/>
        <v>600</v>
      </c>
      <c r="M138" s="467"/>
      <c r="N138" s="456"/>
      <c r="O138" s="895"/>
      <c r="P138" s="861"/>
      <c r="Q138" s="896"/>
      <c r="R138" s="1677"/>
      <c r="S138" s="844"/>
      <c r="T138" s="844"/>
      <c r="U138" s="844"/>
      <c r="V138" s="844"/>
      <c r="W138" s="844"/>
      <c r="X138" s="844"/>
      <c r="Y138" s="844"/>
      <c r="Z138" s="844"/>
      <c r="AA138" s="844"/>
      <c r="AB138" s="833"/>
      <c r="AC138" s="833"/>
      <c r="AD138" s="833"/>
      <c r="AE138" s="833"/>
      <c r="AF138" s="833"/>
      <c r="AG138" s="833"/>
      <c r="AH138" s="833"/>
      <c r="AI138" s="833"/>
      <c r="AJ138" s="833"/>
      <c r="AK138" s="833"/>
      <c r="AL138" s="833"/>
      <c r="AM138" s="833"/>
      <c r="AN138" s="833"/>
      <c r="AO138" s="833"/>
      <c r="AP138" s="833"/>
      <c r="AQ138" s="833"/>
      <c r="AR138" s="833"/>
      <c r="AS138" s="833"/>
      <c r="AT138" s="833"/>
      <c r="AU138" s="833"/>
      <c r="AV138" s="833"/>
      <c r="AW138" s="833"/>
      <c r="AX138" s="833"/>
      <c r="AY138" s="833"/>
      <c r="AZ138" s="833"/>
      <c r="BA138" s="833"/>
      <c r="BB138" s="833"/>
      <c r="BC138" s="833"/>
      <c r="BD138" s="833"/>
      <c r="BE138" s="833"/>
      <c r="BF138" s="833"/>
      <c r="BG138" s="833"/>
      <c r="BH138" s="833"/>
      <c r="BI138" s="833"/>
      <c r="BJ138" s="833"/>
      <c r="BK138" s="833"/>
    </row>
    <row r="139" spans="2:63" x14ac:dyDescent="0.2">
      <c r="C139" s="1671"/>
      <c r="D139" s="890" t="s">
        <v>226</v>
      </c>
      <c r="E139" s="466" t="s">
        <v>34</v>
      </c>
      <c r="F139" s="466"/>
      <c r="G139" s="466"/>
      <c r="H139" s="884" t="s">
        <v>659</v>
      </c>
      <c r="I139" s="890">
        <v>3</v>
      </c>
      <c r="J139" s="978">
        <v>10</v>
      </c>
      <c r="K139" s="979">
        <v>1</v>
      </c>
      <c r="L139" s="868">
        <f t="shared" si="10"/>
        <v>30</v>
      </c>
      <c r="M139" s="455"/>
      <c r="N139" s="456"/>
      <c r="O139" s="895"/>
      <c r="P139" s="861"/>
      <c r="Q139" s="896"/>
      <c r="R139" s="1677"/>
      <c r="S139" s="844"/>
      <c r="T139" s="844"/>
      <c r="U139" s="844"/>
      <c r="V139" s="844"/>
      <c r="W139" s="844"/>
      <c r="X139" s="844"/>
      <c r="Y139" s="844"/>
      <c r="Z139" s="844"/>
      <c r="AA139" s="844"/>
      <c r="AB139" s="833"/>
      <c r="AC139" s="833"/>
      <c r="AD139" s="833"/>
      <c r="AE139" s="833"/>
      <c r="AF139" s="833"/>
      <c r="AG139" s="833"/>
      <c r="AH139" s="833"/>
      <c r="AI139" s="833"/>
      <c r="AJ139" s="833"/>
      <c r="AK139" s="833"/>
      <c r="AL139" s="833"/>
      <c r="AM139" s="833"/>
      <c r="AN139" s="833"/>
      <c r="AO139" s="833"/>
      <c r="AP139" s="833"/>
      <c r="AQ139" s="833"/>
      <c r="AR139" s="833"/>
      <c r="AS139" s="833"/>
      <c r="AT139" s="833"/>
      <c r="AU139" s="833"/>
      <c r="AV139" s="833"/>
      <c r="AW139" s="833"/>
      <c r="AX139" s="833"/>
      <c r="AY139" s="833"/>
      <c r="AZ139" s="833"/>
      <c r="BA139" s="833"/>
      <c r="BB139" s="833"/>
      <c r="BC139" s="833"/>
      <c r="BD139" s="833"/>
      <c r="BE139" s="833"/>
      <c r="BF139" s="833"/>
      <c r="BG139" s="833"/>
      <c r="BH139" s="833"/>
      <c r="BI139" s="833"/>
      <c r="BJ139" s="833"/>
      <c r="BK139" s="833"/>
    </row>
    <row r="140" spans="2:63" ht="36" customHeight="1" x14ac:dyDescent="0.2">
      <c r="B140" s="869" t="s">
        <v>677</v>
      </c>
      <c r="C140" s="1671"/>
      <c r="D140" s="468" t="s">
        <v>246</v>
      </c>
      <c r="E140" s="468"/>
      <c r="F140" s="468"/>
      <c r="G140" s="468"/>
      <c r="H140" s="458"/>
      <c r="I140" s="474"/>
      <c r="J140" s="980"/>
      <c r="K140" s="980"/>
      <c r="L140" s="981">
        <f>SUM(L132:L139)</f>
        <v>2572</v>
      </c>
      <c r="M140" s="460">
        <v>50</v>
      </c>
      <c r="N140" s="461">
        <f>L140*M140/100</f>
        <v>1286</v>
      </c>
      <c r="O140" s="475"/>
      <c r="P140" s="876">
        <v>8356.26</v>
      </c>
      <c r="Q140" s="889">
        <f>P140/L140</f>
        <v>3.2489346811819595</v>
      </c>
      <c r="R140" s="1677"/>
      <c r="S140" s="844"/>
      <c r="T140" s="844"/>
      <c r="U140" s="844"/>
      <c r="V140" s="844"/>
      <c r="W140" s="844"/>
      <c r="X140" s="844"/>
      <c r="Y140" s="844"/>
      <c r="Z140" s="844"/>
      <c r="AA140" s="878" t="s">
        <v>661</v>
      </c>
      <c r="AB140" s="833"/>
      <c r="AC140" s="833"/>
      <c r="AD140" s="833"/>
      <c r="AE140" s="833"/>
      <c r="AF140" s="833"/>
      <c r="AG140" s="833"/>
      <c r="AH140" s="833"/>
      <c r="AI140" s="833"/>
      <c r="AJ140" s="833"/>
      <c r="AK140" s="833"/>
      <c r="AL140" s="833"/>
      <c r="AM140" s="833"/>
      <c r="AN140" s="833"/>
      <c r="AO140" s="833"/>
      <c r="AP140" s="833"/>
      <c r="AQ140" s="833"/>
      <c r="AR140" s="833"/>
      <c r="AS140" s="833"/>
      <c r="AT140" s="833"/>
      <c r="AU140" s="833"/>
      <c r="AV140" s="833"/>
      <c r="AW140" s="833"/>
      <c r="AX140" s="833"/>
      <c r="AY140" s="833"/>
      <c r="AZ140" s="833"/>
      <c r="BA140" s="833"/>
      <c r="BB140" s="833"/>
      <c r="BC140" s="833"/>
      <c r="BD140" s="833"/>
      <c r="BE140" s="833"/>
      <c r="BF140" s="833"/>
      <c r="BG140" s="833"/>
      <c r="BH140" s="833"/>
      <c r="BI140" s="833"/>
      <c r="BJ140" s="833"/>
      <c r="BK140" s="833"/>
    </row>
    <row r="141" spans="2:63" x14ac:dyDescent="0.2">
      <c r="C141" s="1671"/>
      <c r="D141" s="453" t="s">
        <v>293</v>
      </c>
      <c r="E141" s="454"/>
      <c r="F141" s="454"/>
      <c r="G141" s="454"/>
      <c r="H141" s="465"/>
      <c r="I141" s="454"/>
      <c r="J141" s="910"/>
      <c r="K141" s="910"/>
      <c r="L141" s="911"/>
      <c r="M141" s="455"/>
      <c r="N141" s="456"/>
      <c r="O141" s="895"/>
      <c r="P141" s="861"/>
      <c r="Q141" s="896"/>
      <c r="R141" s="982"/>
      <c r="S141" s="844"/>
      <c r="T141" s="844"/>
      <c r="U141" s="844"/>
      <c r="V141" s="844"/>
      <c r="W141" s="844"/>
      <c r="X141" s="844"/>
      <c r="Y141" s="844"/>
      <c r="Z141" s="844"/>
      <c r="AA141" s="844"/>
      <c r="AB141" s="833"/>
      <c r="AC141" s="833"/>
      <c r="AD141" s="833"/>
      <c r="AE141" s="833"/>
      <c r="AF141" s="833"/>
      <c r="AG141" s="833"/>
      <c r="AH141" s="833"/>
      <c r="AI141" s="833"/>
      <c r="AJ141" s="833"/>
      <c r="AK141" s="833"/>
      <c r="AL141" s="833"/>
      <c r="AM141" s="833"/>
      <c r="AN141" s="833"/>
      <c r="AO141" s="833"/>
      <c r="AP141" s="833"/>
      <c r="AQ141" s="833"/>
      <c r="AR141" s="833"/>
      <c r="AS141" s="833"/>
      <c r="AT141" s="833"/>
      <c r="AU141" s="833"/>
      <c r="AV141" s="833"/>
      <c r="AW141" s="833"/>
      <c r="AX141" s="833"/>
      <c r="AY141" s="833"/>
      <c r="AZ141" s="833"/>
      <c r="BA141" s="833"/>
      <c r="BB141" s="833"/>
      <c r="BC141" s="833"/>
      <c r="BD141" s="833"/>
      <c r="BE141" s="833"/>
      <c r="BF141" s="833"/>
      <c r="BG141" s="833"/>
      <c r="BH141" s="833"/>
      <c r="BI141" s="833"/>
      <c r="BJ141" s="833"/>
      <c r="BK141" s="833"/>
    </row>
    <row r="142" spans="2:63" x14ac:dyDescent="0.2">
      <c r="C142" s="1671"/>
      <c r="D142" s="890" t="s">
        <v>242</v>
      </c>
      <c r="E142" s="466" t="s">
        <v>34</v>
      </c>
      <c r="F142" s="466"/>
      <c r="G142" s="466"/>
      <c r="H142" s="884"/>
      <c r="I142" s="964">
        <v>30</v>
      </c>
      <c r="J142" s="965">
        <v>25</v>
      </c>
      <c r="K142" s="966">
        <v>2</v>
      </c>
      <c r="L142" s="868">
        <f>I142*J142*K142</f>
        <v>1500</v>
      </c>
      <c r="M142" s="455"/>
      <c r="N142" s="456"/>
      <c r="O142" s="895"/>
      <c r="P142" s="861"/>
      <c r="Q142" s="896"/>
      <c r="R142" s="982"/>
      <c r="S142" s="844"/>
      <c r="T142" s="844"/>
      <c r="U142" s="844"/>
      <c r="V142" s="844"/>
      <c r="W142" s="844"/>
      <c r="X142" s="844"/>
      <c r="Y142" s="844"/>
      <c r="Z142" s="844"/>
      <c r="AA142" s="844"/>
      <c r="AB142" s="833"/>
      <c r="AC142" s="833"/>
      <c r="AD142" s="833"/>
      <c r="AE142" s="833"/>
      <c r="AF142" s="833"/>
      <c r="AG142" s="833"/>
      <c r="AH142" s="833"/>
      <c r="AI142" s="833"/>
      <c r="AJ142" s="833"/>
      <c r="AK142" s="833"/>
      <c r="AL142" s="833"/>
      <c r="AM142" s="833"/>
      <c r="AN142" s="833"/>
      <c r="AO142" s="833"/>
      <c r="AP142" s="833"/>
      <c r="AQ142" s="833"/>
      <c r="AR142" s="833"/>
      <c r="AS142" s="833"/>
      <c r="AT142" s="833"/>
      <c r="AU142" s="833"/>
      <c r="AV142" s="833"/>
      <c r="AW142" s="833"/>
      <c r="AX142" s="833"/>
      <c r="AY142" s="833"/>
      <c r="AZ142" s="833"/>
      <c r="BA142" s="833"/>
      <c r="BB142" s="833"/>
      <c r="BC142" s="833"/>
      <c r="BD142" s="833"/>
      <c r="BE142" s="833"/>
      <c r="BF142" s="833"/>
      <c r="BG142" s="833"/>
      <c r="BH142" s="833"/>
      <c r="BI142" s="833"/>
      <c r="BJ142" s="833"/>
      <c r="BK142" s="833"/>
    </row>
    <row r="143" spans="2:63" x14ac:dyDescent="0.2">
      <c r="C143" s="1671"/>
      <c r="D143" s="890" t="s">
        <v>294</v>
      </c>
      <c r="E143" s="466" t="s">
        <v>34</v>
      </c>
      <c r="F143" s="466"/>
      <c r="G143" s="466"/>
      <c r="H143" s="884"/>
      <c r="I143" s="885">
        <v>40</v>
      </c>
      <c r="J143" s="967">
        <v>15</v>
      </c>
      <c r="K143" s="887">
        <v>6</v>
      </c>
      <c r="L143" s="868">
        <f t="shared" ref="L143:L153" si="11">I143*J143*K143</f>
        <v>3600</v>
      </c>
      <c r="M143" s="455"/>
      <c r="N143" s="456"/>
      <c r="O143" s="895"/>
      <c r="P143" s="861"/>
      <c r="Q143" s="896"/>
      <c r="R143" s="982"/>
      <c r="S143" s="844"/>
      <c r="T143" s="844"/>
      <c r="U143" s="844"/>
      <c r="V143" s="844"/>
      <c r="W143" s="844"/>
      <c r="X143" s="844"/>
      <c r="Y143" s="844"/>
      <c r="Z143" s="844"/>
      <c r="AA143" s="844"/>
      <c r="AB143" s="833"/>
      <c r="AC143" s="833"/>
      <c r="AD143" s="833"/>
      <c r="AE143" s="833"/>
      <c r="AF143" s="833"/>
      <c r="AG143" s="833"/>
      <c r="AH143" s="833"/>
      <c r="AI143" s="833"/>
      <c r="AJ143" s="833"/>
      <c r="AK143" s="833"/>
      <c r="AL143" s="833"/>
      <c r="AM143" s="833"/>
      <c r="AN143" s="833"/>
      <c r="AO143" s="833"/>
      <c r="AP143" s="833"/>
      <c r="AQ143" s="833"/>
      <c r="AR143" s="833"/>
      <c r="AS143" s="833"/>
      <c r="AT143" s="833"/>
      <c r="AU143" s="833"/>
      <c r="AV143" s="833"/>
      <c r="AW143" s="833"/>
      <c r="AX143" s="833"/>
      <c r="AY143" s="833"/>
      <c r="AZ143" s="833"/>
      <c r="BA143" s="833"/>
      <c r="BB143" s="833"/>
      <c r="BC143" s="833"/>
      <c r="BD143" s="833"/>
      <c r="BE143" s="833"/>
      <c r="BF143" s="833"/>
      <c r="BG143" s="833"/>
      <c r="BH143" s="833"/>
      <c r="BI143" s="833"/>
      <c r="BJ143" s="833"/>
      <c r="BK143" s="833"/>
    </row>
    <row r="144" spans="2:63" x14ac:dyDescent="0.2">
      <c r="C144" s="1671"/>
      <c r="D144" s="890" t="s">
        <v>282</v>
      </c>
      <c r="E144" s="466" t="s">
        <v>34</v>
      </c>
      <c r="F144" s="466"/>
      <c r="G144" s="466"/>
      <c r="H144" s="884"/>
      <c r="I144" s="885">
        <v>40</v>
      </c>
      <c r="J144" s="967">
        <v>15</v>
      </c>
      <c r="K144" s="887">
        <v>5</v>
      </c>
      <c r="L144" s="868">
        <f t="shared" si="11"/>
        <v>3000</v>
      </c>
      <c r="M144" s="455"/>
      <c r="N144" s="456"/>
      <c r="O144" s="895"/>
      <c r="P144" s="861"/>
      <c r="Q144" s="896"/>
      <c r="R144" s="982"/>
      <c r="S144" s="844"/>
      <c r="T144" s="844"/>
      <c r="U144" s="844"/>
      <c r="V144" s="844"/>
      <c r="W144" s="844"/>
      <c r="X144" s="844"/>
      <c r="Y144" s="844"/>
      <c r="Z144" s="844"/>
      <c r="AA144" s="844"/>
      <c r="AB144" s="833"/>
      <c r="AC144" s="833"/>
      <c r="AD144" s="833"/>
      <c r="AE144" s="833"/>
      <c r="AF144" s="833"/>
      <c r="AG144" s="833"/>
      <c r="AH144" s="833"/>
      <c r="AI144" s="833"/>
      <c r="AJ144" s="833"/>
      <c r="AK144" s="833"/>
      <c r="AL144" s="833"/>
      <c r="AM144" s="833"/>
      <c r="AN144" s="833"/>
      <c r="AO144" s="833"/>
      <c r="AP144" s="833"/>
      <c r="AQ144" s="833"/>
      <c r="AR144" s="833"/>
      <c r="AS144" s="833"/>
      <c r="AT144" s="833"/>
      <c r="AU144" s="833"/>
      <c r="AV144" s="833"/>
      <c r="AW144" s="833"/>
      <c r="AX144" s="833"/>
      <c r="AY144" s="833"/>
      <c r="AZ144" s="833"/>
      <c r="BA144" s="833"/>
      <c r="BB144" s="833"/>
      <c r="BC144" s="833"/>
      <c r="BD144" s="833"/>
      <c r="BE144" s="833"/>
      <c r="BF144" s="833"/>
      <c r="BG144" s="833"/>
      <c r="BH144" s="833"/>
      <c r="BI144" s="833"/>
      <c r="BJ144" s="833"/>
      <c r="BK144" s="833"/>
    </row>
    <row r="145" spans="2:63" x14ac:dyDescent="0.2">
      <c r="C145" s="1671"/>
      <c r="D145" s="890" t="s">
        <v>295</v>
      </c>
      <c r="E145" s="466" t="s">
        <v>34</v>
      </c>
      <c r="F145" s="466"/>
      <c r="G145" s="466"/>
      <c r="H145" s="884"/>
      <c r="I145" s="885">
        <v>1</v>
      </c>
      <c r="J145" s="967">
        <v>40</v>
      </c>
      <c r="K145" s="887">
        <v>5</v>
      </c>
      <c r="L145" s="868">
        <f t="shared" si="11"/>
        <v>200</v>
      </c>
      <c r="M145" s="455"/>
      <c r="N145" s="456"/>
      <c r="O145" s="895"/>
      <c r="P145" s="861"/>
      <c r="Q145" s="896"/>
      <c r="R145" s="982"/>
      <c r="S145" s="844"/>
      <c r="T145" s="844"/>
      <c r="U145" s="844"/>
      <c r="V145" s="844"/>
      <c r="W145" s="844"/>
      <c r="X145" s="844"/>
      <c r="Y145" s="844"/>
      <c r="Z145" s="844"/>
      <c r="AA145" s="844"/>
      <c r="AB145" s="833"/>
      <c r="AC145" s="833"/>
      <c r="AD145" s="833"/>
      <c r="AE145" s="833"/>
      <c r="AF145" s="833"/>
      <c r="AG145" s="833"/>
      <c r="AH145" s="833"/>
      <c r="AI145" s="833"/>
      <c r="AJ145" s="833"/>
      <c r="AK145" s="833"/>
      <c r="AL145" s="833"/>
      <c r="AM145" s="833"/>
      <c r="AN145" s="833"/>
      <c r="AO145" s="833"/>
      <c r="AP145" s="833"/>
      <c r="AQ145" s="833"/>
      <c r="AR145" s="833"/>
      <c r="AS145" s="833"/>
      <c r="AT145" s="833"/>
      <c r="AU145" s="833"/>
      <c r="AV145" s="833"/>
      <c r="AW145" s="833"/>
      <c r="AX145" s="833"/>
      <c r="AY145" s="833"/>
      <c r="AZ145" s="833"/>
      <c r="BA145" s="833"/>
      <c r="BB145" s="833"/>
      <c r="BC145" s="833"/>
      <c r="BD145" s="833"/>
      <c r="BE145" s="833"/>
      <c r="BF145" s="833"/>
      <c r="BG145" s="833"/>
      <c r="BH145" s="833"/>
      <c r="BI145" s="833"/>
      <c r="BJ145" s="833"/>
      <c r="BK145" s="833"/>
    </row>
    <row r="146" spans="2:63" x14ac:dyDescent="0.2">
      <c r="C146" s="1671"/>
      <c r="D146" s="890" t="s">
        <v>235</v>
      </c>
      <c r="E146" s="466" t="s">
        <v>34</v>
      </c>
      <c r="F146" s="466"/>
      <c r="G146" s="466"/>
      <c r="H146" s="884"/>
      <c r="I146" s="885">
        <v>3</v>
      </c>
      <c r="J146" s="967">
        <v>20</v>
      </c>
      <c r="K146" s="887">
        <v>7</v>
      </c>
      <c r="L146" s="868">
        <f t="shared" si="11"/>
        <v>420</v>
      </c>
      <c r="M146" s="467"/>
      <c r="N146" s="456"/>
      <c r="O146" s="895"/>
      <c r="P146" s="861"/>
      <c r="Q146" s="896"/>
      <c r="R146" s="982"/>
      <c r="S146" s="844"/>
      <c r="T146" s="844"/>
      <c r="U146" s="844"/>
      <c r="V146" s="844"/>
      <c r="W146" s="844"/>
      <c r="X146" s="844"/>
      <c r="Y146" s="844"/>
      <c r="Z146" s="844"/>
      <c r="AA146" s="844"/>
      <c r="AB146" s="833"/>
      <c r="AC146" s="833"/>
      <c r="AD146" s="833"/>
      <c r="AE146" s="833"/>
      <c r="AF146" s="833"/>
      <c r="AG146" s="833"/>
      <c r="AH146" s="833"/>
      <c r="AI146" s="833"/>
      <c r="AJ146" s="833"/>
      <c r="AK146" s="833"/>
      <c r="AL146" s="833"/>
      <c r="AM146" s="833"/>
      <c r="AN146" s="833"/>
      <c r="AO146" s="833"/>
      <c r="AP146" s="833"/>
      <c r="AQ146" s="833"/>
      <c r="AR146" s="833"/>
      <c r="AS146" s="833"/>
      <c r="AT146" s="833"/>
      <c r="AU146" s="833"/>
      <c r="AV146" s="833"/>
      <c r="AW146" s="833"/>
      <c r="AX146" s="833"/>
      <c r="AY146" s="833"/>
      <c r="AZ146" s="833"/>
      <c r="BA146" s="833"/>
      <c r="BB146" s="833"/>
      <c r="BC146" s="833"/>
      <c r="BD146" s="833"/>
      <c r="BE146" s="833"/>
      <c r="BF146" s="833"/>
      <c r="BG146" s="833"/>
      <c r="BH146" s="833"/>
      <c r="BI146" s="833"/>
      <c r="BJ146" s="833"/>
      <c r="BK146" s="833"/>
    </row>
    <row r="147" spans="2:63" x14ac:dyDescent="0.2">
      <c r="C147" s="1671"/>
      <c r="D147" s="890" t="s">
        <v>236</v>
      </c>
      <c r="E147" s="466" t="s">
        <v>34</v>
      </c>
      <c r="F147" s="466"/>
      <c r="G147" s="466"/>
      <c r="H147" s="884"/>
      <c r="I147" s="885">
        <v>1</v>
      </c>
      <c r="J147" s="967">
        <v>45</v>
      </c>
      <c r="K147" s="887">
        <v>7</v>
      </c>
      <c r="L147" s="868">
        <f t="shared" si="11"/>
        <v>315</v>
      </c>
      <c r="M147" s="455"/>
      <c r="N147" s="456"/>
      <c r="O147" s="895"/>
      <c r="P147" s="861"/>
      <c r="Q147" s="896"/>
      <c r="R147" s="982"/>
      <c r="S147" s="844"/>
      <c r="T147" s="844"/>
      <c r="U147" s="844"/>
      <c r="V147" s="844"/>
      <c r="W147" s="844"/>
      <c r="X147" s="844"/>
      <c r="Y147" s="844"/>
      <c r="Z147" s="844"/>
      <c r="AA147" s="844"/>
      <c r="AB147" s="833"/>
      <c r="AC147" s="833"/>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3"/>
      <c r="AY147" s="833"/>
      <c r="AZ147" s="833"/>
      <c r="BA147" s="833"/>
      <c r="BB147" s="833"/>
      <c r="BC147" s="833"/>
      <c r="BD147" s="833"/>
      <c r="BE147" s="833"/>
      <c r="BF147" s="833"/>
      <c r="BG147" s="833"/>
      <c r="BH147" s="833"/>
      <c r="BI147" s="833"/>
      <c r="BJ147" s="833"/>
      <c r="BK147" s="833"/>
    </row>
    <row r="148" spans="2:63" x14ac:dyDescent="0.2">
      <c r="C148" s="1671"/>
      <c r="D148" s="890" t="s">
        <v>252</v>
      </c>
      <c r="E148" s="466" t="s">
        <v>34</v>
      </c>
      <c r="F148" s="466"/>
      <c r="G148" s="466"/>
      <c r="H148" s="884"/>
      <c r="I148" s="885">
        <v>30</v>
      </c>
      <c r="J148" s="967">
        <v>5</v>
      </c>
      <c r="K148" s="887">
        <v>1</v>
      </c>
      <c r="L148" s="868">
        <f t="shared" si="11"/>
        <v>150</v>
      </c>
      <c r="M148" s="455"/>
      <c r="N148" s="456"/>
      <c r="O148" s="895"/>
      <c r="P148" s="861"/>
      <c r="Q148" s="896"/>
      <c r="R148" s="982"/>
      <c r="S148" s="844"/>
      <c r="T148" s="844"/>
      <c r="U148" s="844"/>
      <c r="V148" s="844"/>
      <c r="W148" s="844"/>
      <c r="X148" s="844"/>
      <c r="Y148" s="844"/>
      <c r="Z148" s="844"/>
      <c r="AA148" s="844"/>
      <c r="AB148" s="833"/>
      <c r="AC148" s="833"/>
      <c r="AD148" s="833"/>
      <c r="AE148" s="833"/>
      <c r="AF148" s="833"/>
      <c r="AG148" s="833"/>
      <c r="AH148" s="833"/>
      <c r="AI148" s="833"/>
      <c r="AJ148" s="833"/>
      <c r="AK148" s="833"/>
      <c r="AL148" s="833"/>
      <c r="AM148" s="833"/>
      <c r="AN148" s="833"/>
      <c r="AO148" s="833"/>
      <c r="AP148" s="833"/>
      <c r="AQ148" s="833"/>
      <c r="AR148" s="833"/>
      <c r="AS148" s="833"/>
      <c r="AT148" s="833"/>
      <c r="AU148" s="833"/>
      <c r="AV148" s="833"/>
      <c r="AW148" s="833"/>
      <c r="AX148" s="833"/>
      <c r="AY148" s="833"/>
      <c r="AZ148" s="833"/>
      <c r="BA148" s="833"/>
      <c r="BB148" s="833"/>
      <c r="BC148" s="833"/>
      <c r="BD148" s="833"/>
      <c r="BE148" s="833"/>
      <c r="BF148" s="833"/>
      <c r="BG148" s="833"/>
      <c r="BH148" s="833"/>
      <c r="BI148" s="833"/>
      <c r="BJ148" s="833"/>
      <c r="BK148" s="833"/>
    </row>
    <row r="149" spans="2:63" x14ac:dyDescent="0.2">
      <c r="C149" s="1671"/>
      <c r="D149" s="890" t="s">
        <v>296</v>
      </c>
      <c r="E149" s="466" t="s">
        <v>34</v>
      </c>
      <c r="F149" s="466"/>
      <c r="G149" s="466"/>
      <c r="H149" s="884"/>
      <c r="I149" s="885">
        <v>2</v>
      </c>
      <c r="J149" s="967">
        <v>350</v>
      </c>
      <c r="K149" s="887">
        <v>1</v>
      </c>
      <c r="L149" s="868">
        <f t="shared" si="11"/>
        <v>700</v>
      </c>
      <c r="M149" s="455"/>
      <c r="N149" s="456"/>
      <c r="O149" s="895"/>
      <c r="P149" s="861"/>
      <c r="Q149" s="896"/>
      <c r="R149" s="982"/>
      <c r="S149" s="844"/>
      <c r="T149" s="844"/>
      <c r="U149" s="844"/>
      <c r="V149" s="844"/>
      <c r="W149" s="844"/>
      <c r="X149" s="844"/>
      <c r="Y149" s="844"/>
      <c r="Z149" s="844"/>
      <c r="AA149" s="844"/>
      <c r="AB149" s="833"/>
      <c r="AC149" s="833"/>
      <c r="AD149" s="833"/>
      <c r="AE149" s="833"/>
      <c r="AF149" s="833"/>
      <c r="AG149" s="833"/>
      <c r="AH149" s="833"/>
      <c r="AI149" s="833"/>
      <c r="AJ149" s="833"/>
      <c r="AK149" s="833"/>
      <c r="AL149" s="833"/>
      <c r="AM149" s="833"/>
      <c r="AN149" s="833"/>
      <c r="AO149" s="833"/>
      <c r="AP149" s="833"/>
      <c r="AQ149" s="833"/>
      <c r="AR149" s="833"/>
      <c r="AS149" s="833"/>
      <c r="AT149" s="833"/>
      <c r="AU149" s="833"/>
      <c r="AV149" s="833"/>
      <c r="AW149" s="833"/>
      <c r="AX149" s="833"/>
      <c r="AY149" s="833"/>
      <c r="AZ149" s="833"/>
      <c r="BA149" s="833"/>
      <c r="BB149" s="833"/>
      <c r="BC149" s="833"/>
      <c r="BD149" s="833"/>
      <c r="BE149" s="833"/>
      <c r="BF149" s="833"/>
      <c r="BG149" s="833"/>
      <c r="BH149" s="833"/>
      <c r="BI149" s="833"/>
      <c r="BJ149" s="833"/>
      <c r="BK149" s="833"/>
    </row>
    <row r="150" spans="2:63" x14ac:dyDescent="0.2">
      <c r="C150" s="1671"/>
      <c r="D150" s="890" t="s">
        <v>297</v>
      </c>
      <c r="E150" s="466" t="s">
        <v>34</v>
      </c>
      <c r="F150" s="466"/>
      <c r="G150" s="466"/>
      <c r="H150" s="884"/>
      <c r="I150" s="969">
        <v>2</v>
      </c>
      <c r="J150" s="970">
        <v>50</v>
      </c>
      <c r="K150" s="971">
        <v>10</v>
      </c>
      <c r="L150" s="868">
        <f t="shared" si="11"/>
        <v>1000</v>
      </c>
      <c r="M150" s="455"/>
      <c r="N150" s="456"/>
      <c r="O150" s="895"/>
      <c r="P150" s="861"/>
      <c r="Q150" s="896"/>
      <c r="R150" s="982"/>
      <c r="S150" s="844"/>
      <c r="T150" s="844"/>
      <c r="U150" s="844"/>
      <c r="V150" s="844"/>
      <c r="W150" s="844"/>
      <c r="X150" s="844"/>
      <c r="Y150" s="844"/>
      <c r="Z150" s="844"/>
      <c r="AA150" s="844"/>
      <c r="AB150" s="833"/>
      <c r="AC150" s="833"/>
      <c r="AD150" s="833"/>
      <c r="AE150" s="833"/>
      <c r="AF150" s="833"/>
      <c r="AG150" s="833"/>
      <c r="AH150" s="833"/>
      <c r="AI150" s="833"/>
      <c r="AJ150" s="833"/>
      <c r="AK150" s="833"/>
      <c r="AL150" s="833"/>
      <c r="AM150" s="833"/>
      <c r="AN150" s="833"/>
      <c r="AO150" s="833"/>
      <c r="AP150" s="833"/>
      <c r="AQ150" s="833"/>
      <c r="AR150" s="833"/>
      <c r="AS150" s="833"/>
      <c r="AT150" s="833"/>
      <c r="AU150" s="833"/>
      <c r="AV150" s="833"/>
      <c r="AW150" s="833"/>
      <c r="AX150" s="833"/>
      <c r="AY150" s="833"/>
      <c r="AZ150" s="833"/>
      <c r="BA150" s="833"/>
      <c r="BB150" s="833"/>
      <c r="BC150" s="833"/>
      <c r="BD150" s="833"/>
      <c r="BE150" s="833"/>
      <c r="BF150" s="833"/>
      <c r="BG150" s="833"/>
      <c r="BH150" s="833"/>
      <c r="BI150" s="833"/>
      <c r="BJ150" s="833"/>
      <c r="BK150" s="833"/>
    </row>
    <row r="151" spans="2:63" x14ac:dyDescent="0.2">
      <c r="C151" s="1671"/>
      <c r="D151" s="890" t="s">
        <v>298</v>
      </c>
      <c r="E151" s="466" t="s">
        <v>34</v>
      </c>
      <c r="F151" s="466"/>
      <c r="G151" s="466"/>
      <c r="H151" s="884"/>
      <c r="I151" s="969">
        <v>2</v>
      </c>
      <c r="J151" s="970">
        <v>100</v>
      </c>
      <c r="K151" s="971">
        <v>7</v>
      </c>
      <c r="L151" s="868">
        <f t="shared" si="11"/>
        <v>1400</v>
      </c>
      <c r="M151" s="455"/>
      <c r="N151" s="456"/>
      <c r="O151" s="895"/>
      <c r="P151" s="861"/>
      <c r="Q151" s="896"/>
      <c r="R151" s="982"/>
      <c r="S151" s="844"/>
      <c r="T151" s="844"/>
      <c r="U151" s="844"/>
      <c r="V151" s="844"/>
      <c r="W151" s="844"/>
      <c r="X151" s="844"/>
      <c r="Y151" s="844"/>
      <c r="Z151" s="844"/>
      <c r="AA151" s="844"/>
      <c r="AB151" s="833"/>
      <c r="AC151" s="833"/>
      <c r="AD151" s="833"/>
      <c r="AE151" s="833"/>
      <c r="AF151" s="833"/>
      <c r="AG151" s="833"/>
      <c r="AH151" s="833"/>
      <c r="AI151" s="833"/>
      <c r="AJ151" s="833"/>
      <c r="AK151" s="833"/>
      <c r="AL151" s="833"/>
      <c r="AM151" s="833"/>
      <c r="AN151" s="833"/>
      <c r="AO151" s="833"/>
      <c r="AP151" s="833"/>
      <c r="AQ151" s="833"/>
      <c r="AR151" s="833"/>
      <c r="AS151" s="833"/>
      <c r="AT151" s="833"/>
      <c r="AU151" s="833"/>
      <c r="AV151" s="833"/>
      <c r="AW151" s="833"/>
      <c r="AX151" s="833"/>
      <c r="AY151" s="833"/>
      <c r="AZ151" s="833"/>
      <c r="BA151" s="833"/>
      <c r="BB151" s="833"/>
      <c r="BC151" s="833"/>
      <c r="BD151" s="833"/>
      <c r="BE151" s="833"/>
      <c r="BF151" s="833"/>
      <c r="BG151" s="833"/>
      <c r="BH151" s="833"/>
      <c r="BI151" s="833"/>
      <c r="BJ151" s="833"/>
      <c r="BK151" s="833"/>
    </row>
    <row r="152" spans="2:63" x14ac:dyDescent="0.2">
      <c r="C152" s="1671"/>
      <c r="D152" s="890" t="s">
        <v>243</v>
      </c>
      <c r="E152" s="466" t="s">
        <v>34</v>
      </c>
      <c r="F152" s="466"/>
      <c r="G152" s="466"/>
      <c r="H152" s="884"/>
      <c r="I152" s="969">
        <v>200</v>
      </c>
      <c r="J152" s="970">
        <v>1.2</v>
      </c>
      <c r="K152" s="971">
        <v>1</v>
      </c>
      <c r="L152" s="868">
        <f t="shared" si="11"/>
        <v>240</v>
      </c>
      <c r="M152" s="455"/>
      <c r="N152" s="456"/>
      <c r="O152" s="895"/>
      <c r="P152" s="861"/>
      <c r="Q152" s="896"/>
      <c r="R152" s="982"/>
      <c r="S152" s="844"/>
      <c r="T152" s="844"/>
      <c r="U152" s="844"/>
      <c r="V152" s="844"/>
      <c r="W152" s="844"/>
      <c r="X152" s="844"/>
      <c r="Y152" s="844"/>
      <c r="Z152" s="844"/>
      <c r="AA152" s="844"/>
      <c r="AB152" s="833"/>
      <c r="AC152" s="833"/>
      <c r="AD152" s="833"/>
      <c r="AE152" s="833"/>
      <c r="AF152" s="833"/>
      <c r="AG152" s="833"/>
      <c r="AH152" s="833"/>
      <c r="AI152" s="833"/>
      <c r="AJ152" s="833"/>
      <c r="AK152" s="833"/>
      <c r="AL152" s="833"/>
      <c r="AM152" s="833"/>
      <c r="AN152" s="833"/>
      <c r="AO152" s="833"/>
      <c r="AP152" s="833"/>
      <c r="AQ152" s="833"/>
      <c r="AR152" s="833"/>
      <c r="AS152" s="833"/>
      <c r="AT152" s="833"/>
      <c r="AU152" s="833"/>
      <c r="AV152" s="833"/>
      <c r="AW152" s="833"/>
      <c r="AX152" s="833"/>
      <c r="AY152" s="833"/>
      <c r="AZ152" s="833"/>
      <c r="BA152" s="833"/>
      <c r="BB152" s="833"/>
      <c r="BC152" s="833"/>
      <c r="BD152" s="833"/>
      <c r="BE152" s="833"/>
      <c r="BF152" s="833"/>
      <c r="BG152" s="833"/>
      <c r="BH152" s="833"/>
      <c r="BI152" s="833"/>
      <c r="BJ152" s="833"/>
      <c r="BK152" s="833"/>
    </row>
    <row r="153" spans="2:63" x14ac:dyDescent="0.2">
      <c r="C153" s="1671"/>
      <c r="D153" s="891" t="s">
        <v>613</v>
      </c>
      <c r="E153" s="462" t="s">
        <v>34</v>
      </c>
      <c r="F153" s="462"/>
      <c r="G153" s="462"/>
      <c r="H153" s="919"/>
      <c r="I153" s="983">
        <v>1</v>
      </c>
      <c r="J153" s="984">
        <v>600</v>
      </c>
      <c r="K153" s="985">
        <v>12</v>
      </c>
      <c r="L153" s="976">
        <f t="shared" si="11"/>
        <v>7200</v>
      </c>
      <c r="M153" s="455"/>
      <c r="N153" s="456"/>
      <c r="O153" s="923"/>
      <c r="P153" s="880"/>
      <c r="Q153" s="912"/>
      <c r="R153" s="1673"/>
      <c r="S153" s="844"/>
      <c r="T153" s="844"/>
      <c r="U153" s="844"/>
      <c r="V153" s="844"/>
      <c r="W153" s="844"/>
      <c r="X153" s="844"/>
      <c r="Y153" s="844"/>
      <c r="Z153" s="844"/>
      <c r="AA153" s="844"/>
      <c r="AB153" s="833"/>
      <c r="AC153" s="833"/>
      <c r="AD153" s="833"/>
      <c r="AE153" s="833"/>
      <c r="AF153" s="833"/>
      <c r="AG153" s="833"/>
      <c r="AH153" s="833"/>
      <c r="AI153" s="833"/>
      <c r="AJ153" s="833"/>
      <c r="AK153" s="833"/>
      <c r="AL153" s="833"/>
      <c r="AM153" s="833"/>
      <c r="AN153" s="833"/>
      <c r="AO153" s="833"/>
      <c r="AP153" s="833"/>
      <c r="AQ153" s="833"/>
      <c r="AR153" s="833"/>
      <c r="AS153" s="833"/>
      <c r="AT153" s="833"/>
      <c r="AU153" s="833"/>
      <c r="AV153" s="833"/>
      <c r="AW153" s="833"/>
      <c r="AX153" s="833"/>
      <c r="AY153" s="833"/>
      <c r="AZ153" s="833"/>
      <c r="BA153" s="833"/>
      <c r="BB153" s="833"/>
      <c r="BC153" s="833"/>
      <c r="BD153" s="833"/>
      <c r="BE153" s="833"/>
      <c r="BF153" s="833"/>
      <c r="BG153" s="833"/>
      <c r="BH153" s="833"/>
      <c r="BI153" s="833"/>
      <c r="BJ153" s="833"/>
      <c r="BK153" s="833"/>
    </row>
    <row r="154" spans="2:63" x14ac:dyDescent="0.2">
      <c r="B154" s="869" t="s">
        <v>678</v>
      </c>
      <c r="C154" s="1671"/>
      <c r="D154" s="468" t="s">
        <v>246</v>
      </c>
      <c r="E154" s="468"/>
      <c r="F154" s="468"/>
      <c r="G154" s="468"/>
      <c r="H154" s="468"/>
      <c r="I154" s="458"/>
      <c r="J154" s="903"/>
      <c r="K154" s="903"/>
      <c r="L154" s="986">
        <f>SUM(L142:L153)</f>
        <v>19725</v>
      </c>
      <c r="M154" s="460">
        <v>15</v>
      </c>
      <c r="N154" s="461">
        <f>L154*M154/100</f>
        <v>2958.75</v>
      </c>
      <c r="O154" s="475"/>
      <c r="P154" s="876">
        <v>18772.919999999998</v>
      </c>
      <c r="Q154" s="889">
        <f>P154/L154</f>
        <v>0.95173231939163494</v>
      </c>
      <c r="R154" s="1679"/>
      <c r="S154" s="844"/>
      <c r="T154" s="844"/>
      <c r="U154" s="844"/>
      <c r="V154" s="844"/>
      <c r="W154" s="844"/>
      <c r="X154" s="844"/>
      <c r="Y154" s="844"/>
      <c r="Z154" s="844"/>
      <c r="AA154" s="878" t="s">
        <v>679</v>
      </c>
      <c r="AB154" s="833"/>
      <c r="AC154" s="833"/>
      <c r="AD154" s="833"/>
      <c r="AE154" s="833"/>
      <c r="AF154" s="833"/>
      <c r="AG154" s="833"/>
      <c r="AH154" s="833"/>
      <c r="AI154" s="833"/>
      <c r="AJ154" s="833"/>
      <c r="AK154" s="833"/>
      <c r="AL154" s="833"/>
      <c r="AM154" s="833"/>
      <c r="AN154" s="833"/>
      <c r="AO154" s="833"/>
      <c r="AP154" s="833"/>
      <c r="AQ154" s="833"/>
      <c r="AR154" s="833"/>
      <c r="AS154" s="833"/>
      <c r="AT154" s="833"/>
      <c r="AU154" s="833"/>
      <c r="AV154" s="833"/>
      <c r="AW154" s="833"/>
      <c r="AX154" s="833"/>
      <c r="AY154" s="833"/>
      <c r="AZ154" s="833"/>
      <c r="BA154" s="833"/>
      <c r="BB154" s="833"/>
      <c r="BC154" s="833"/>
      <c r="BD154" s="833"/>
      <c r="BE154" s="833"/>
      <c r="BF154" s="833"/>
      <c r="BG154" s="833"/>
      <c r="BH154" s="833"/>
      <c r="BI154" s="833"/>
      <c r="BJ154" s="833"/>
      <c r="BK154" s="833"/>
    </row>
    <row r="155" spans="2:63" x14ac:dyDescent="0.2">
      <c r="C155" s="1671"/>
      <c r="D155" s="453" t="s">
        <v>299</v>
      </c>
      <c r="E155" s="454"/>
      <c r="F155" s="454"/>
      <c r="G155" s="454"/>
      <c r="H155" s="454"/>
      <c r="I155" s="454"/>
      <c r="J155" s="910"/>
      <c r="K155" s="910"/>
      <c r="L155" s="911"/>
      <c r="M155" s="455"/>
      <c r="N155" s="456"/>
      <c r="O155" s="456"/>
      <c r="P155" s="987"/>
      <c r="Q155" s="455"/>
      <c r="R155" s="988"/>
      <c r="S155" s="844"/>
      <c r="T155" s="844"/>
      <c r="U155" s="844"/>
      <c r="V155" s="844"/>
      <c r="W155" s="844"/>
      <c r="X155" s="844"/>
      <c r="Y155" s="844"/>
      <c r="Z155" s="844"/>
      <c r="AA155" s="844"/>
      <c r="AB155" s="833"/>
      <c r="AC155" s="833"/>
      <c r="AD155" s="833"/>
      <c r="AE155" s="833"/>
      <c r="AF155" s="833"/>
      <c r="AG155" s="833"/>
      <c r="AH155" s="833"/>
      <c r="AI155" s="833"/>
      <c r="AJ155" s="833"/>
      <c r="AK155" s="833"/>
      <c r="AL155" s="833"/>
      <c r="AM155" s="833"/>
      <c r="AN155" s="833"/>
      <c r="AO155" s="833"/>
      <c r="AP155" s="833"/>
      <c r="AQ155" s="833"/>
      <c r="AR155" s="833"/>
      <c r="AS155" s="833"/>
      <c r="AT155" s="833"/>
      <c r="AU155" s="833"/>
      <c r="AV155" s="833"/>
      <c r="AW155" s="833"/>
      <c r="AX155" s="833"/>
      <c r="AY155" s="833"/>
      <c r="AZ155" s="833"/>
      <c r="BA155" s="833"/>
      <c r="BB155" s="833"/>
      <c r="BC155" s="833"/>
      <c r="BD155" s="833"/>
      <c r="BE155" s="833"/>
      <c r="BF155" s="833"/>
      <c r="BG155" s="833"/>
      <c r="BH155" s="833"/>
      <c r="BI155" s="833"/>
      <c r="BJ155" s="833"/>
      <c r="BK155" s="833"/>
    </row>
    <row r="156" spans="2:63" x14ac:dyDescent="0.2">
      <c r="C156" s="1671"/>
      <c r="D156" s="477" t="s">
        <v>300</v>
      </c>
      <c r="E156" s="466" t="s">
        <v>34</v>
      </c>
      <c r="F156" s="989"/>
      <c r="G156" s="989"/>
      <c r="H156" s="495" t="s">
        <v>217</v>
      </c>
      <c r="I156" s="478">
        <v>3</v>
      </c>
      <c r="J156" s="990">
        <v>2000</v>
      </c>
      <c r="K156" s="991">
        <v>1</v>
      </c>
      <c r="L156" s="992">
        <f>I156*J156*K156</f>
        <v>6000</v>
      </c>
      <c r="M156" s="479"/>
      <c r="N156" s="480"/>
      <c r="O156" s="480"/>
      <c r="P156" s="993"/>
      <c r="Q156" s="479"/>
      <c r="R156" s="994"/>
      <c r="S156" s="844"/>
      <c r="T156" s="844"/>
      <c r="U156" s="844"/>
      <c r="V156" s="844"/>
      <c r="W156" s="844"/>
      <c r="X156" s="844"/>
      <c r="Y156" s="844"/>
      <c r="Z156" s="844"/>
      <c r="AA156" s="844"/>
      <c r="AB156" s="833"/>
      <c r="AC156" s="833"/>
      <c r="AD156" s="833"/>
      <c r="AE156" s="833"/>
      <c r="AF156" s="833"/>
      <c r="AG156" s="833"/>
      <c r="AH156" s="833"/>
      <c r="AI156" s="833"/>
      <c r="AJ156" s="833"/>
      <c r="AK156" s="833"/>
      <c r="AL156" s="833"/>
      <c r="AM156" s="833"/>
      <c r="AN156" s="833"/>
      <c r="AO156" s="833"/>
      <c r="AP156" s="833"/>
      <c r="AQ156" s="833"/>
      <c r="AR156" s="833"/>
      <c r="AS156" s="833"/>
      <c r="AT156" s="833"/>
      <c r="AU156" s="833"/>
      <c r="AV156" s="833"/>
      <c r="AW156" s="833"/>
      <c r="AX156" s="833"/>
      <c r="AY156" s="833"/>
      <c r="AZ156" s="833"/>
      <c r="BA156" s="833"/>
      <c r="BB156" s="833"/>
      <c r="BC156" s="833"/>
      <c r="BD156" s="833"/>
      <c r="BE156" s="833"/>
      <c r="BF156" s="833"/>
      <c r="BG156" s="833"/>
      <c r="BH156" s="833"/>
      <c r="BI156" s="833"/>
      <c r="BJ156" s="833"/>
      <c r="BK156" s="833"/>
    </row>
    <row r="157" spans="2:63" x14ac:dyDescent="0.2">
      <c r="B157" s="869" t="s">
        <v>680</v>
      </c>
      <c r="C157" s="1671"/>
      <c r="D157" s="481" t="s">
        <v>246</v>
      </c>
      <c r="E157" s="476"/>
      <c r="F157" s="476"/>
      <c r="G157" s="476"/>
      <c r="H157" s="482"/>
      <c r="I157" s="458"/>
      <c r="J157" s="909"/>
      <c r="K157" s="909"/>
      <c r="L157" s="986">
        <f>SUM(L156)</f>
        <v>6000</v>
      </c>
      <c r="M157" s="460">
        <v>30</v>
      </c>
      <c r="N157" s="461">
        <f>L157*M157/100</f>
        <v>1800</v>
      </c>
      <c r="O157" s="461"/>
      <c r="P157" s="876">
        <v>9919.6</v>
      </c>
      <c r="Q157" s="995">
        <f>P157/L157</f>
        <v>1.6532666666666667</v>
      </c>
      <c r="R157" s="906"/>
      <c r="S157" s="844"/>
      <c r="T157" s="844"/>
      <c r="U157" s="844"/>
      <c r="V157" s="844"/>
      <c r="W157" s="844"/>
      <c r="X157" s="844"/>
      <c r="Y157" s="844"/>
      <c r="Z157" s="844"/>
      <c r="AA157" s="878" t="s">
        <v>681</v>
      </c>
      <c r="AB157" s="833"/>
      <c r="AC157" s="833"/>
      <c r="AD157" s="833"/>
      <c r="AE157" s="833"/>
      <c r="AF157" s="833"/>
      <c r="AG157" s="833"/>
      <c r="AH157" s="833"/>
      <c r="AI157" s="833"/>
      <c r="AJ157" s="833"/>
      <c r="AK157" s="833"/>
      <c r="AL157" s="833"/>
      <c r="AM157" s="833"/>
      <c r="AN157" s="833"/>
      <c r="AO157" s="833"/>
      <c r="AP157" s="833"/>
      <c r="AQ157" s="833"/>
      <c r="AR157" s="833"/>
      <c r="AS157" s="833"/>
      <c r="AT157" s="833"/>
      <c r="AU157" s="833"/>
      <c r="AV157" s="833"/>
      <c r="AW157" s="833"/>
      <c r="AX157" s="833"/>
      <c r="AY157" s="833"/>
      <c r="AZ157" s="833"/>
      <c r="BA157" s="833"/>
      <c r="BB157" s="833"/>
      <c r="BC157" s="833"/>
      <c r="BD157" s="833"/>
      <c r="BE157" s="833"/>
      <c r="BF157" s="833"/>
      <c r="BG157" s="833"/>
      <c r="BH157" s="833"/>
      <c r="BI157" s="833"/>
      <c r="BJ157" s="833"/>
      <c r="BK157" s="833"/>
    </row>
    <row r="158" spans="2:63" x14ac:dyDescent="0.2">
      <c r="C158" s="1671"/>
      <c r="D158" s="453" t="s">
        <v>301</v>
      </c>
      <c r="E158" s="454"/>
      <c r="F158" s="454"/>
      <c r="G158" s="454"/>
      <c r="H158" s="454"/>
      <c r="I158" s="454"/>
      <c r="J158" s="910"/>
      <c r="K158" s="910"/>
      <c r="L158" s="911"/>
      <c r="M158" s="455"/>
      <c r="N158" s="456"/>
      <c r="O158" s="456"/>
      <c r="P158" s="987"/>
      <c r="Q158" s="455"/>
      <c r="R158" s="988"/>
      <c r="S158" s="844"/>
      <c r="T158" s="844"/>
      <c r="U158" s="844"/>
      <c r="V158" s="844"/>
      <c r="W158" s="844"/>
      <c r="X158" s="844"/>
      <c r="Y158" s="844"/>
      <c r="Z158" s="844"/>
      <c r="AA158" s="844"/>
      <c r="AB158" s="833"/>
      <c r="AC158" s="833"/>
      <c r="AD158" s="833"/>
      <c r="AE158" s="833"/>
      <c r="AF158" s="833"/>
      <c r="AG158" s="833"/>
      <c r="AH158" s="833"/>
      <c r="AI158" s="833"/>
      <c r="AJ158" s="833"/>
      <c r="AK158" s="833"/>
      <c r="AL158" s="833"/>
      <c r="AM158" s="833"/>
      <c r="AN158" s="833"/>
      <c r="AO158" s="833"/>
      <c r="AP158" s="833"/>
      <c r="AQ158" s="833"/>
      <c r="AR158" s="833"/>
      <c r="AS158" s="833"/>
      <c r="AT158" s="833"/>
      <c r="AU158" s="833"/>
      <c r="AV158" s="833"/>
      <c r="AW158" s="833"/>
      <c r="AX158" s="833"/>
      <c r="AY158" s="833"/>
      <c r="AZ158" s="833"/>
      <c r="BA158" s="833"/>
      <c r="BB158" s="833"/>
      <c r="BC158" s="833"/>
      <c r="BD158" s="833"/>
      <c r="BE158" s="833"/>
      <c r="BF158" s="833"/>
      <c r="BG158" s="833"/>
      <c r="BH158" s="833"/>
      <c r="BI158" s="833"/>
      <c r="BJ158" s="833"/>
      <c r="BK158" s="833"/>
    </row>
    <row r="159" spans="2:63" ht="57.75" customHeight="1" x14ac:dyDescent="0.2">
      <c r="C159" s="1671"/>
      <c r="D159" s="477" t="s">
        <v>302</v>
      </c>
      <c r="E159" s="466" t="s">
        <v>14</v>
      </c>
      <c r="F159" s="989"/>
      <c r="G159" s="989"/>
      <c r="H159" s="495" t="s">
        <v>217</v>
      </c>
      <c r="I159" s="483">
        <v>3</v>
      </c>
      <c r="J159" s="996">
        <v>2000</v>
      </c>
      <c r="K159" s="996">
        <v>1</v>
      </c>
      <c r="L159" s="997">
        <f t="shared" ref="L159" si="12">K159*J159*I159</f>
        <v>6000</v>
      </c>
      <c r="M159" s="455"/>
      <c r="N159" s="456"/>
      <c r="O159" s="456"/>
      <c r="P159" s="987"/>
      <c r="Q159" s="455"/>
      <c r="R159" s="998"/>
      <c r="S159" s="844"/>
      <c r="T159" s="844"/>
      <c r="U159" s="844"/>
      <c r="V159" s="844"/>
      <c r="W159" s="844"/>
      <c r="X159" s="844"/>
      <c r="Y159" s="844"/>
      <c r="Z159" s="844"/>
      <c r="AA159" s="844"/>
      <c r="AB159" s="833"/>
      <c r="AC159" s="833"/>
      <c r="AD159" s="833"/>
      <c r="AE159" s="833"/>
      <c r="AF159" s="833"/>
      <c r="AG159" s="833"/>
      <c r="AH159" s="833"/>
      <c r="AI159" s="833"/>
      <c r="AJ159" s="833"/>
      <c r="AK159" s="833"/>
      <c r="AL159" s="833"/>
      <c r="AM159" s="833"/>
      <c r="AN159" s="833"/>
      <c r="AO159" s="833"/>
      <c r="AP159" s="833"/>
      <c r="AQ159" s="833"/>
      <c r="AR159" s="833"/>
      <c r="AS159" s="833"/>
      <c r="AT159" s="833"/>
      <c r="AU159" s="833"/>
      <c r="AV159" s="833"/>
      <c r="AW159" s="833"/>
      <c r="AX159" s="833"/>
      <c r="AY159" s="833"/>
      <c r="AZ159" s="833"/>
      <c r="BA159" s="833"/>
      <c r="BB159" s="833"/>
      <c r="BC159" s="833"/>
      <c r="BD159" s="833"/>
      <c r="BE159" s="833"/>
      <c r="BF159" s="833"/>
      <c r="BG159" s="833"/>
      <c r="BH159" s="833"/>
      <c r="BI159" s="833"/>
      <c r="BJ159" s="833"/>
      <c r="BK159" s="833"/>
    </row>
    <row r="160" spans="2:63" x14ac:dyDescent="0.2">
      <c r="B160" s="869" t="s">
        <v>682</v>
      </c>
      <c r="C160" s="1672"/>
      <c r="D160" s="457" t="s">
        <v>246</v>
      </c>
      <c r="E160" s="457"/>
      <c r="F160" s="457"/>
      <c r="G160" s="457"/>
      <c r="H160" s="458"/>
      <c r="I160" s="458"/>
      <c r="J160" s="909"/>
      <c r="K160" s="909"/>
      <c r="L160" s="986">
        <f>SUM(L159)</f>
        <v>6000</v>
      </c>
      <c r="M160" s="460">
        <v>100</v>
      </c>
      <c r="N160" s="461">
        <f>L160*M160/100</f>
        <v>6000</v>
      </c>
      <c r="O160" s="461"/>
      <c r="P160" s="876">
        <v>6000</v>
      </c>
      <c r="Q160" s="475"/>
      <c r="R160" s="906"/>
      <c r="S160" s="844"/>
      <c r="T160" s="844"/>
      <c r="U160" s="844"/>
      <c r="V160" s="844"/>
      <c r="W160" s="844"/>
      <c r="X160" s="844"/>
      <c r="Y160" s="844"/>
      <c r="Z160" s="844"/>
      <c r="AA160" s="878" t="s">
        <v>681</v>
      </c>
      <c r="AB160" s="833"/>
      <c r="AC160" s="833"/>
      <c r="AD160" s="833"/>
      <c r="AE160" s="833"/>
      <c r="AF160" s="833"/>
      <c r="AG160" s="833"/>
      <c r="AH160" s="833"/>
      <c r="AI160" s="833"/>
      <c r="AJ160" s="833"/>
      <c r="AK160" s="833"/>
      <c r="AL160" s="833"/>
      <c r="AM160" s="833"/>
      <c r="AN160" s="833"/>
      <c r="AO160" s="833"/>
      <c r="AP160" s="833"/>
      <c r="AQ160" s="833"/>
      <c r="AR160" s="833"/>
      <c r="AS160" s="833"/>
      <c r="AT160" s="833"/>
      <c r="AU160" s="833"/>
      <c r="AV160" s="833"/>
      <c r="AW160" s="833"/>
      <c r="AX160" s="833"/>
      <c r="AY160" s="833"/>
      <c r="AZ160" s="833"/>
      <c r="BA160" s="833"/>
      <c r="BB160" s="833"/>
      <c r="BC160" s="833"/>
      <c r="BD160" s="833"/>
      <c r="BE160" s="833"/>
      <c r="BF160" s="833"/>
      <c r="BG160" s="833"/>
      <c r="BH160" s="833"/>
      <c r="BI160" s="833"/>
      <c r="BJ160" s="833"/>
      <c r="BK160" s="833"/>
    </row>
    <row r="161" spans="2:63" x14ac:dyDescent="0.2">
      <c r="C161" s="999" t="s">
        <v>303</v>
      </c>
      <c r="D161" s="1000"/>
      <c r="E161" s="999"/>
      <c r="F161" s="1001"/>
      <c r="G161" s="1001"/>
      <c r="H161" s="1000"/>
      <c r="I161" s="1002"/>
      <c r="J161" s="1000"/>
      <c r="K161" s="999"/>
      <c r="L161" s="1003">
        <f>L28+L41+L53+L60+L71+L87+L93+L106+L116+L130+L140+L154+L157+L160</f>
        <v>201359.5</v>
      </c>
      <c r="M161" s="1004">
        <f>N161/L161</f>
        <v>0.34018956145600276</v>
      </c>
      <c r="N161" s="1005">
        <f>SUM(N28:N160)</f>
        <v>68500.399999999994</v>
      </c>
      <c r="O161" s="1005"/>
      <c r="P161" s="1005">
        <f>P28+P41+P53+P60+P71+P87+P93+P106+P116+P130+P140+P154+P157+P160</f>
        <v>163481.87</v>
      </c>
      <c r="Q161" s="1006">
        <f>P161/L161</f>
        <v>0.81189052416200869</v>
      </c>
      <c r="R161" s="1007"/>
      <c r="S161" s="844"/>
      <c r="T161" s="844"/>
      <c r="U161" s="844"/>
      <c r="V161" s="844"/>
      <c r="W161" s="844"/>
      <c r="X161" s="844"/>
      <c r="Y161" s="844"/>
      <c r="Z161" s="844"/>
      <c r="AA161" s="1008" t="s">
        <v>683</v>
      </c>
      <c r="AB161" s="833"/>
      <c r="AC161" s="833"/>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3"/>
      <c r="AY161" s="833"/>
      <c r="AZ161" s="833"/>
      <c r="BA161" s="833"/>
      <c r="BB161" s="833"/>
      <c r="BC161" s="833"/>
      <c r="BD161" s="833"/>
      <c r="BE161" s="833"/>
      <c r="BF161" s="833"/>
      <c r="BG161" s="833"/>
      <c r="BH161" s="833"/>
      <c r="BI161" s="833"/>
      <c r="BJ161" s="833"/>
      <c r="BK161" s="833"/>
    </row>
    <row r="162" spans="2:63" ht="13.9" customHeight="1" x14ac:dyDescent="0.2">
      <c r="C162" s="961" t="s">
        <v>304</v>
      </c>
      <c r="D162" s="962"/>
      <c r="E162" s="962"/>
      <c r="F162" s="962"/>
      <c r="G162" s="962"/>
      <c r="H162" s="962"/>
      <c r="I162" s="962"/>
      <c r="J162" s="962"/>
      <c r="K162" s="962"/>
      <c r="L162" s="963"/>
      <c r="M162" s="844"/>
      <c r="N162" s="859"/>
      <c r="O162" s="879"/>
      <c r="P162" s="880"/>
      <c r="Q162" s="881"/>
      <c r="R162" s="1673"/>
      <c r="S162" s="844"/>
      <c r="T162" s="844"/>
      <c r="U162" s="844"/>
      <c r="V162" s="844"/>
      <c r="W162" s="844"/>
      <c r="X162" s="844"/>
      <c r="Y162" s="844"/>
      <c r="Z162" s="844"/>
      <c r="AA162" s="844"/>
      <c r="AB162" s="833"/>
      <c r="AC162" s="833"/>
      <c r="AD162" s="833"/>
      <c r="AE162" s="833"/>
      <c r="AF162" s="833"/>
      <c r="AG162" s="833"/>
      <c r="AH162" s="833"/>
      <c r="AI162" s="833"/>
      <c r="AJ162" s="833"/>
      <c r="AK162" s="833"/>
      <c r="AL162" s="833"/>
      <c r="AM162" s="833"/>
      <c r="AN162" s="833"/>
      <c r="AO162" s="833"/>
      <c r="AP162" s="833"/>
      <c r="AQ162" s="833"/>
      <c r="AR162" s="833"/>
      <c r="AS162" s="833"/>
      <c r="AT162" s="833"/>
      <c r="AU162" s="833"/>
      <c r="AV162" s="833"/>
      <c r="AW162" s="833"/>
      <c r="AX162" s="833"/>
      <c r="AY162" s="833"/>
      <c r="AZ162" s="833"/>
      <c r="BA162" s="833"/>
      <c r="BB162" s="833"/>
      <c r="BC162" s="833"/>
      <c r="BD162" s="833"/>
      <c r="BE162" s="833"/>
      <c r="BF162" s="833"/>
      <c r="BG162" s="833"/>
      <c r="BH162" s="833"/>
      <c r="BI162" s="833"/>
      <c r="BJ162" s="833"/>
      <c r="BK162" s="833"/>
    </row>
    <row r="163" spans="2:63" ht="13.9" customHeight="1" x14ac:dyDescent="0.2">
      <c r="C163" s="1009" t="s">
        <v>305</v>
      </c>
      <c r="D163" s="1010"/>
      <c r="E163" s="1010"/>
      <c r="F163" s="1010"/>
      <c r="G163" s="1010"/>
      <c r="H163" s="1010"/>
      <c r="I163" s="1010"/>
      <c r="J163" s="1010"/>
      <c r="K163" s="1010"/>
      <c r="L163" s="1011"/>
      <c r="M163" s="1012"/>
      <c r="N163" s="859"/>
      <c r="O163" s="860"/>
      <c r="P163" s="861"/>
      <c r="Q163" s="862"/>
      <c r="R163" s="1679"/>
      <c r="S163" s="844"/>
      <c r="T163" s="844"/>
      <c r="U163" s="844"/>
      <c r="V163" s="844"/>
      <c r="W163" s="844"/>
      <c r="X163" s="844"/>
      <c r="Y163" s="844"/>
      <c r="Z163" s="844"/>
      <c r="AA163" s="844"/>
      <c r="AB163" s="833"/>
      <c r="AC163" s="833"/>
      <c r="AD163" s="833"/>
      <c r="AE163" s="833"/>
      <c r="AF163" s="833"/>
      <c r="AG163" s="833"/>
      <c r="AH163" s="833"/>
      <c r="AI163" s="833"/>
      <c r="AJ163" s="833"/>
      <c r="AK163" s="833"/>
      <c r="AL163" s="833"/>
      <c r="AM163" s="833"/>
      <c r="AN163" s="833"/>
      <c r="AO163" s="833"/>
      <c r="AP163" s="833"/>
      <c r="AQ163" s="833"/>
      <c r="AR163" s="833"/>
      <c r="AS163" s="833"/>
      <c r="AT163" s="833"/>
      <c r="AU163" s="833"/>
      <c r="AV163" s="833"/>
      <c r="AW163" s="833"/>
      <c r="AX163" s="833"/>
      <c r="AY163" s="833"/>
      <c r="AZ163" s="833"/>
      <c r="BA163" s="833"/>
      <c r="BB163" s="833"/>
      <c r="BC163" s="833"/>
      <c r="BD163" s="833"/>
      <c r="BE163" s="833"/>
      <c r="BF163" s="833"/>
      <c r="BG163" s="833"/>
      <c r="BH163" s="833"/>
      <c r="BI163" s="833"/>
      <c r="BJ163" s="833"/>
      <c r="BK163" s="833"/>
    </row>
    <row r="164" spans="2:63" ht="14.45" customHeight="1" x14ac:dyDescent="0.2">
      <c r="C164" s="1670" t="s">
        <v>306</v>
      </c>
      <c r="D164" s="847" t="s">
        <v>307</v>
      </c>
      <c r="E164" s="848"/>
      <c r="F164" s="848"/>
      <c r="G164" s="848"/>
      <c r="H164" s="848"/>
      <c r="I164" s="848"/>
      <c r="J164" s="848"/>
      <c r="K164" s="848"/>
      <c r="L164" s="849"/>
      <c r="M164" s="844"/>
      <c r="N164" s="859"/>
      <c r="O164" s="860"/>
      <c r="P164" s="861"/>
      <c r="Q164" s="862"/>
      <c r="R164" s="1679"/>
      <c r="S164" s="844"/>
      <c r="T164" s="844"/>
      <c r="U164" s="844"/>
      <c r="V164" s="844"/>
      <c r="W164" s="844"/>
      <c r="X164" s="844"/>
      <c r="Y164" s="844"/>
      <c r="Z164" s="844"/>
      <c r="AA164" s="844"/>
      <c r="AB164" s="833"/>
      <c r="AC164" s="833"/>
      <c r="AD164" s="833"/>
      <c r="AE164" s="833"/>
      <c r="AF164" s="833"/>
      <c r="AG164" s="833"/>
      <c r="AH164" s="833"/>
      <c r="AI164" s="833"/>
      <c r="AJ164" s="833"/>
      <c r="AK164" s="833"/>
      <c r="AL164" s="833"/>
      <c r="AM164" s="833"/>
      <c r="AN164" s="833"/>
      <c r="AO164" s="833"/>
      <c r="AP164" s="833"/>
      <c r="AQ164" s="833"/>
      <c r="AR164" s="833"/>
      <c r="AS164" s="833"/>
      <c r="AT164" s="833"/>
      <c r="AU164" s="833"/>
      <c r="AV164" s="833"/>
      <c r="AW164" s="833"/>
      <c r="AX164" s="833"/>
      <c r="AY164" s="833"/>
      <c r="AZ164" s="833"/>
      <c r="BA164" s="833"/>
      <c r="BB164" s="833"/>
      <c r="BC164" s="833"/>
      <c r="BD164" s="833"/>
      <c r="BE164" s="833"/>
      <c r="BF164" s="833"/>
      <c r="BG164" s="833"/>
      <c r="BH164" s="833"/>
      <c r="BI164" s="833"/>
      <c r="BJ164" s="833"/>
      <c r="BK164" s="833"/>
    </row>
    <row r="165" spans="2:63" ht="14.45" customHeight="1" x14ac:dyDescent="0.2">
      <c r="C165" s="1671"/>
      <c r="D165" s="890" t="s">
        <v>308</v>
      </c>
      <c r="E165" s="466" t="s">
        <v>34</v>
      </c>
      <c r="F165" s="466"/>
      <c r="G165" s="466"/>
      <c r="H165" s="466" t="s">
        <v>659</v>
      </c>
      <c r="I165" s="964">
        <v>4</v>
      </c>
      <c r="J165" s="965">
        <v>20</v>
      </c>
      <c r="K165" s="966">
        <v>4</v>
      </c>
      <c r="L165" s="858">
        <f>I165*J165*K165</f>
        <v>320</v>
      </c>
      <c r="M165" s="455"/>
      <c r="N165" s="456"/>
      <c r="O165" s="895"/>
      <c r="P165" s="861"/>
      <c r="Q165" s="896"/>
      <c r="R165" s="1679"/>
      <c r="S165" s="844"/>
      <c r="T165" s="844"/>
      <c r="U165" s="844"/>
      <c r="V165" s="844"/>
      <c r="W165" s="844"/>
      <c r="X165" s="844"/>
      <c r="Y165" s="844"/>
      <c r="Z165" s="844"/>
      <c r="AA165" s="844"/>
      <c r="AB165" s="833"/>
      <c r="AC165" s="833"/>
      <c r="AD165" s="833"/>
      <c r="AE165" s="833"/>
      <c r="AF165" s="833"/>
      <c r="AG165" s="833"/>
      <c r="AH165" s="833"/>
      <c r="AI165" s="833"/>
      <c r="AJ165" s="833"/>
      <c r="AK165" s="833"/>
      <c r="AL165" s="833"/>
      <c r="AM165" s="833"/>
      <c r="AN165" s="833"/>
      <c r="AO165" s="833"/>
      <c r="AP165" s="833"/>
      <c r="AQ165" s="833"/>
      <c r="AR165" s="833"/>
      <c r="AS165" s="833"/>
      <c r="AT165" s="833"/>
      <c r="AU165" s="833"/>
      <c r="AV165" s="833"/>
      <c r="AW165" s="833"/>
      <c r="AX165" s="833"/>
      <c r="AY165" s="833"/>
      <c r="AZ165" s="833"/>
      <c r="BA165" s="833"/>
      <c r="BB165" s="833"/>
      <c r="BC165" s="833"/>
      <c r="BD165" s="833"/>
      <c r="BE165" s="833"/>
      <c r="BF165" s="833"/>
      <c r="BG165" s="833"/>
      <c r="BH165" s="833"/>
      <c r="BI165" s="833"/>
      <c r="BJ165" s="833"/>
      <c r="BK165" s="833"/>
    </row>
    <row r="166" spans="2:63" ht="14.45" customHeight="1" x14ac:dyDescent="0.2">
      <c r="C166" s="1671"/>
      <c r="D166" s="890" t="s">
        <v>309</v>
      </c>
      <c r="E166" s="466" t="s">
        <v>34</v>
      </c>
      <c r="F166" s="466"/>
      <c r="G166" s="466"/>
      <c r="H166" s="466" t="s">
        <v>659</v>
      </c>
      <c r="I166" s="964">
        <v>80</v>
      </c>
      <c r="J166" s="965">
        <v>10</v>
      </c>
      <c r="K166" s="966">
        <v>4</v>
      </c>
      <c r="L166" s="858">
        <f t="shared" ref="L166:L173" si="13">I166*J166*K166</f>
        <v>3200</v>
      </c>
      <c r="M166" s="455"/>
      <c r="N166" s="456"/>
      <c r="O166" s="895"/>
      <c r="P166" s="861"/>
      <c r="Q166" s="896"/>
      <c r="R166" s="1679"/>
      <c r="S166" s="844"/>
      <c r="T166" s="844"/>
      <c r="U166" s="844"/>
      <c r="V166" s="844"/>
      <c r="W166" s="844"/>
      <c r="X166" s="844"/>
      <c r="Y166" s="844"/>
      <c r="Z166" s="844"/>
      <c r="AA166" s="844"/>
      <c r="AB166" s="833"/>
      <c r="AC166" s="833"/>
      <c r="AD166" s="833"/>
      <c r="AE166" s="833"/>
      <c r="AF166" s="833"/>
      <c r="AG166" s="833"/>
      <c r="AH166" s="833"/>
      <c r="AI166" s="833"/>
      <c r="AJ166" s="833"/>
      <c r="AK166" s="833"/>
      <c r="AL166" s="833"/>
      <c r="AM166" s="833"/>
      <c r="AN166" s="833"/>
      <c r="AO166" s="833"/>
      <c r="AP166" s="833"/>
      <c r="AQ166" s="833"/>
      <c r="AR166" s="833"/>
      <c r="AS166" s="833"/>
      <c r="AT166" s="833"/>
      <c r="AU166" s="833"/>
      <c r="AV166" s="833"/>
      <c r="AW166" s="833"/>
      <c r="AX166" s="833"/>
      <c r="AY166" s="833"/>
      <c r="AZ166" s="833"/>
      <c r="BA166" s="833"/>
      <c r="BB166" s="833"/>
      <c r="BC166" s="833"/>
      <c r="BD166" s="833"/>
      <c r="BE166" s="833"/>
      <c r="BF166" s="833"/>
      <c r="BG166" s="833"/>
      <c r="BH166" s="833"/>
      <c r="BI166" s="833"/>
      <c r="BJ166" s="833"/>
      <c r="BK166" s="833"/>
    </row>
    <row r="167" spans="2:63" ht="14.45" customHeight="1" x14ac:dyDescent="0.2">
      <c r="C167" s="1671"/>
      <c r="D167" s="890" t="s">
        <v>310</v>
      </c>
      <c r="E167" s="466" t="s">
        <v>34</v>
      </c>
      <c r="F167" s="466"/>
      <c r="G167" s="466"/>
      <c r="H167" s="466" t="s">
        <v>659</v>
      </c>
      <c r="I167" s="964">
        <v>80</v>
      </c>
      <c r="J167" s="965">
        <v>1.5</v>
      </c>
      <c r="K167" s="966">
        <v>4</v>
      </c>
      <c r="L167" s="858">
        <f t="shared" si="13"/>
        <v>480</v>
      </c>
      <c r="M167" s="455"/>
      <c r="N167" s="456"/>
      <c r="O167" s="895"/>
      <c r="P167" s="861"/>
      <c r="Q167" s="896"/>
      <c r="R167" s="1679"/>
      <c r="S167" s="844"/>
      <c r="T167" s="844"/>
      <c r="U167" s="844"/>
      <c r="V167" s="844"/>
      <c r="W167" s="844"/>
      <c r="X167" s="844"/>
      <c r="Y167" s="844"/>
      <c r="Z167" s="844"/>
      <c r="AA167" s="844"/>
      <c r="AB167" s="833"/>
      <c r="AC167" s="833"/>
      <c r="AD167" s="833"/>
      <c r="AE167" s="833"/>
      <c r="AF167" s="833"/>
      <c r="AG167" s="833"/>
      <c r="AH167" s="833"/>
      <c r="AI167" s="833"/>
      <c r="AJ167" s="833"/>
      <c r="AK167" s="833"/>
      <c r="AL167" s="833"/>
      <c r="AM167" s="833"/>
      <c r="AN167" s="833"/>
      <c r="AO167" s="833"/>
      <c r="AP167" s="833"/>
      <c r="AQ167" s="833"/>
      <c r="AR167" s="833"/>
      <c r="AS167" s="833"/>
      <c r="AT167" s="833"/>
      <c r="AU167" s="833"/>
      <c r="AV167" s="833"/>
      <c r="AW167" s="833"/>
      <c r="AX167" s="833"/>
      <c r="AY167" s="833"/>
      <c r="AZ167" s="833"/>
      <c r="BA167" s="833"/>
      <c r="BB167" s="833"/>
      <c r="BC167" s="833"/>
      <c r="BD167" s="833"/>
      <c r="BE167" s="833"/>
      <c r="BF167" s="833"/>
      <c r="BG167" s="833"/>
      <c r="BH167" s="833"/>
      <c r="BI167" s="833"/>
      <c r="BJ167" s="833"/>
      <c r="BK167" s="833"/>
    </row>
    <row r="168" spans="2:63" ht="14.45" customHeight="1" x14ac:dyDescent="0.2">
      <c r="C168" s="1671"/>
      <c r="D168" s="890" t="s">
        <v>311</v>
      </c>
      <c r="E168" s="466" t="s">
        <v>34</v>
      </c>
      <c r="F168" s="466"/>
      <c r="G168" s="466"/>
      <c r="H168" s="466" t="s">
        <v>659</v>
      </c>
      <c r="I168" s="964">
        <v>25</v>
      </c>
      <c r="J168" s="965">
        <v>10</v>
      </c>
      <c r="K168" s="966">
        <v>4</v>
      </c>
      <c r="L168" s="858">
        <f t="shared" si="13"/>
        <v>1000</v>
      </c>
      <c r="M168" s="455"/>
      <c r="N168" s="456"/>
      <c r="O168" s="895"/>
      <c r="P168" s="861"/>
      <c r="Q168" s="896"/>
      <c r="R168" s="1679"/>
      <c r="S168" s="844"/>
      <c r="T168" s="844"/>
      <c r="U168" s="844"/>
      <c r="V168" s="844"/>
      <c r="W168" s="844"/>
      <c r="X168" s="844"/>
      <c r="Y168" s="844"/>
      <c r="Z168" s="844"/>
      <c r="AA168" s="844"/>
      <c r="AB168" s="833"/>
      <c r="AC168" s="833"/>
      <c r="AD168" s="833"/>
      <c r="AE168" s="833"/>
      <c r="AF168" s="833"/>
      <c r="AG168" s="833"/>
      <c r="AH168" s="833"/>
      <c r="AI168" s="833"/>
      <c r="AJ168" s="833"/>
      <c r="AK168" s="833"/>
      <c r="AL168" s="833"/>
      <c r="AM168" s="833"/>
      <c r="AN168" s="833"/>
      <c r="AO168" s="833"/>
      <c r="AP168" s="833"/>
      <c r="AQ168" s="833"/>
      <c r="AR168" s="833"/>
      <c r="AS168" s="833"/>
      <c r="AT168" s="833"/>
      <c r="AU168" s="833"/>
      <c r="AV168" s="833"/>
      <c r="AW168" s="833"/>
      <c r="AX168" s="833"/>
      <c r="AY168" s="833"/>
      <c r="AZ168" s="833"/>
      <c r="BA168" s="833"/>
      <c r="BB168" s="833"/>
      <c r="BC168" s="833"/>
      <c r="BD168" s="833"/>
      <c r="BE168" s="833"/>
      <c r="BF168" s="833"/>
      <c r="BG168" s="833"/>
      <c r="BH168" s="833"/>
      <c r="BI168" s="833"/>
      <c r="BJ168" s="833"/>
      <c r="BK168" s="833"/>
    </row>
    <row r="169" spans="2:63" ht="14.45" customHeight="1" x14ac:dyDescent="0.2">
      <c r="C169" s="1671"/>
      <c r="D169" s="890" t="s">
        <v>250</v>
      </c>
      <c r="E169" s="466" t="s">
        <v>34</v>
      </c>
      <c r="F169" s="466"/>
      <c r="G169" s="466"/>
      <c r="H169" s="466" t="s">
        <v>659</v>
      </c>
      <c r="I169" s="964">
        <v>25</v>
      </c>
      <c r="J169" s="965">
        <v>15</v>
      </c>
      <c r="K169" s="966">
        <v>4</v>
      </c>
      <c r="L169" s="858">
        <f t="shared" si="13"/>
        <v>1500</v>
      </c>
      <c r="M169" s="455"/>
      <c r="N169" s="456"/>
      <c r="O169" s="895"/>
      <c r="P169" s="861"/>
      <c r="Q169" s="896"/>
      <c r="R169" s="1679"/>
      <c r="S169" s="844"/>
      <c r="T169" s="844"/>
      <c r="U169" s="844"/>
      <c r="V169" s="844"/>
      <c r="W169" s="844"/>
      <c r="X169" s="844"/>
      <c r="Y169" s="844"/>
      <c r="Z169" s="844"/>
      <c r="AA169" s="844"/>
      <c r="AB169" s="833"/>
      <c r="AC169" s="833"/>
      <c r="AD169" s="833"/>
      <c r="AE169" s="833"/>
      <c r="AF169" s="833"/>
      <c r="AG169" s="833"/>
      <c r="AH169" s="833"/>
      <c r="AI169" s="833"/>
      <c r="AJ169" s="833"/>
      <c r="AK169" s="833"/>
      <c r="AL169" s="833"/>
      <c r="AM169" s="833"/>
      <c r="AN169" s="833"/>
      <c r="AO169" s="833"/>
      <c r="AP169" s="833"/>
      <c r="AQ169" s="833"/>
      <c r="AR169" s="833"/>
      <c r="AS169" s="833"/>
      <c r="AT169" s="833"/>
      <c r="AU169" s="833"/>
      <c r="AV169" s="833"/>
      <c r="AW169" s="833"/>
      <c r="AX169" s="833"/>
      <c r="AY169" s="833"/>
      <c r="AZ169" s="833"/>
      <c r="BA169" s="833"/>
      <c r="BB169" s="833"/>
      <c r="BC169" s="833"/>
      <c r="BD169" s="833"/>
      <c r="BE169" s="833"/>
      <c r="BF169" s="833"/>
      <c r="BG169" s="833"/>
      <c r="BH169" s="833"/>
      <c r="BI169" s="833"/>
      <c r="BJ169" s="833"/>
      <c r="BK169" s="833"/>
    </row>
    <row r="170" spans="2:63" ht="14.45" customHeight="1" x14ac:dyDescent="0.2">
      <c r="C170" s="1671"/>
      <c r="D170" s="890" t="s">
        <v>614</v>
      </c>
      <c r="E170" s="466" t="s">
        <v>34</v>
      </c>
      <c r="F170" s="466"/>
      <c r="G170" s="466"/>
      <c r="H170" s="466" t="s">
        <v>659</v>
      </c>
      <c r="I170" s="885">
        <v>4</v>
      </c>
      <c r="J170" s="967">
        <v>20</v>
      </c>
      <c r="K170" s="887">
        <v>4</v>
      </c>
      <c r="L170" s="858">
        <f t="shared" si="13"/>
        <v>320</v>
      </c>
      <c r="M170" s="467"/>
      <c r="N170" s="456"/>
      <c r="O170" s="895"/>
      <c r="P170" s="861"/>
      <c r="Q170" s="896"/>
      <c r="R170" s="1679"/>
      <c r="S170" s="844"/>
      <c r="T170" s="844"/>
      <c r="U170" s="844"/>
      <c r="V170" s="844"/>
      <c r="W170" s="844"/>
      <c r="X170" s="844"/>
      <c r="Y170" s="844"/>
      <c r="Z170" s="844"/>
      <c r="AA170" s="844"/>
      <c r="AB170" s="833"/>
      <c r="AC170" s="833"/>
      <c r="AD170" s="833"/>
      <c r="AE170" s="833"/>
      <c r="AF170" s="833"/>
      <c r="AG170" s="833"/>
      <c r="AH170" s="833"/>
      <c r="AI170" s="833"/>
      <c r="AJ170" s="833"/>
      <c r="AK170" s="833"/>
      <c r="AL170" s="833"/>
      <c r="AM170" s="833"/>
      <c r="AN170" s="833"/>
      <c r="AO170" s="833"/>
      <c r="AP170" s="833"/>
      <c r="AQ170" s="833"/>
      <c r="AR170" s="833"/>
      <c r="AS170" s="833"/>
      <c r="AT170" s="833"/>
      <c r="AU170" s="833"/>
      <c r="AV170" s="833"/>
      <c r="AW170" s="833"/>
      <c r="AX170" s="833"/>
      <c r="AY170" s="833"/>
      <c r="AZ170" s="833"/>
      <c r="BA170" s="833"/>
      <c r="BB170" s="833"/>
      <c r="BC170" s="833"/>
      <c r="BD170" s="833"/>
      <c r="BE170" s="833"/>
      <c r="BF170" s="833"/>
      <c r="BG170" s="833"/>
      <c r="BH170" s="833"/>
      <c r="BI170" s="833"/>
      <c r="BJ170" s="833"/>
      <c r="BK170" s="833"/>
    </row>
    <row r="171" spans="2:63" ht="14.45" customHeight="1" x14ac:dyDescent="0.2">
      <c r="C171" s="1671"/>
      <c r="D171" s="890" t="s">
        <v>236</v>
      </c>
      <c r="E171" s="466" t="s">
        <v>34</v>
      </c>
      <c r="F171" s="466"/>
      <c r="G171" s="466"/>
      <c r="H171" s="466" t="s">
        <v>659</v>
      </c>
      <c r="I171" s="885">
        <v>1</v>
      </c>
      <c r="J171" s="967">
        <v>40</v>
      </c>
      <c r="K171" s="887">
        <v>4</v>
      </c>
      <c r="L171" s="858">
        <f t="shared" si="13"/>
        <v>160</v>
      </c>
      <c r="M171" s="455"/>
      <c r="N171" s="456"/>
      <c r="O171" s="895"/>
      <c r="P171" s="861"/>
      <c r="Q171" s="896"/>
      <c r="R171" s="1679"/>
      <c r="S171" s="844"/>
      <c r="T171" s="844"/>
      <c r="U171" s="844"/>
      <c r="V171" s="844"/>
      <c r="W171" s="844"/>
      <c r="X171" s="844"/>
      <c r="Y171" s="844"/>
      <c r="Z171" s="844"/>
      <c r="AA171" s="844"/>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3"/>
      <c r="AY171" s="833"/>
      <c r="AZ171" s="833"/>
      <c r="BA171" s="833"/>
      <c r="BB171" s="833"/>
      <c r="BC171" s="833"/>
      <c r="BD171" s="833"/>
      <c r="BE171" s="833"/>
      <c r="BF171" s="833"/>
      <c r="BG171" s="833"/>
      <c r="BH171" s="833"/>
      <c r="BI171" s="833"/>
      <c r="BJ171" s="833"/>
      <c r="BK171" s="833"/>
    </row>
    <row r="172" spans="2:63" ht="14.45" customHeight="1" x14ac:dyDescent="0.2">
      <c r="C172" s="1671"/>
      <c r="D172" s="890" t="s">
        <v>226</v>
      </c>
      <c r="E172" s="466" t="s">
        <v>34</v>
      </c>
      <c r="F172" s="466"/>
      <c r="G172" s="466"/>
      <c r="H172" s="466" t="s">
        <v>659</v>
      </c>
      <c r="I172" s="885">
        <v>4</v>
      </c>
      <c r="J172" s="967">
        <v>10</v>
      </c>
      <c r="K172" s="887">
        <v>4</v>
      </c>
      <c r="L172" s="858">
        <f t="shared" si="13"/>
        <v>160</v>
      </c>
      <c r="M172" s="455"/>
      <c r="N172" s="456"/>
      <c r="O172" s="895"/>
      <c r="P172" s="861"/>
      <c r="Q172" s="896"/>
      <c r="R172" s="1679"/>
      <c r="S172" s="844"/>
      <c r="T172" s="844"/>
      <c r="U172" s="844"/>
      <c r="V172" s="844"/>
      <c r="W172" s="844"/>
      <c r="X172" s="844"/>
      <c r="Y172" s="844"/>
      <c r="Z172" s="844"/>
      <c r="AA172" s="844"/>
      <c r="AB172" s="833"/>
      <c r="AC172" s="833"/>
      <c r="AD172" s="833"/>
      <c r="AE172" s="833"/>
      <c r="AF172" s="833"/>
      <c r="AG172" s="833"/>
      <c r="AH172" s="833"/>
      <c r="AI172" s="833"/>
      <c r="AJ172" s="833"/>
      <c r="AK172" s="833"/>
      <c r="AL172" s="833"/>
      <c r="AM172" s="833"/>
      <c r="AN172" s="833"/>
      <c r="AO172" s="833"/>
      <c r="AP172" s="833"/>
      <c r="AQ172" s="833"/>
      <c r="AR172" s="833"/>
      <c r="AS172" s="833"/>
      <c r="AT172" s="833"/>
      <c r="AU172" s="833"/>
      <c r="AV172" s="833"/>
      <c r="AW172" s="833"/>
      <c r="AX172" s="833"/>
      <c r="AY172" s="833"/>
      <c r="AZ172" s="833"/>
      <c r="BA172" s="833"/>
      <c r="BB172" s="833"/>
      <c r="BC172" s="833"/>
      <c r="BD172" s="833"/>
      <c r="BE172" s="833"/>
      <c r="BF172" s="833"/>
      <c r="BG172" s="833"/>
      <c r="BH172" s="833"/>
      <c r="BI172" s="833"/>
      <c r="BJ172" s="833"/>
      <c r="BK172" s="833"/>
    </row>
    <row r="173" spans="2:63" ht="14.45" customHeight="1" x14ac:dyDescent="0.2">
      <c r="C173" s="1671"/>
      <c r="D173" s="890" t="s">
        <v>312</v>
      </c>
      <c r="E173" s="466" t="s">
        <v>34</v>
      </c>
      <c r="F173" s="466"/>
      <c r="G173" s="466"/>
      <c r="H173" s="466" t="s">
        <v>659</v>
      </c>
      <c r="I173" s="969">
        <v>55</v>
      </c>
      <c r="J173" s="970">
        <v>5</v>
      </c>
      <c r="K173" s="971">
        <v>4</v>
      </c>
      <c r="L173" s="858">
        <f t="shared" si="13"/>
        <v>1100</v>
      </c>
      <c r="M173" s="455"/>
      <c r="N173" s="456"/>
      <c r="O173" s="895"/>
      <c r="P173" s="861"/>
      <c r="Q173" s="896"/>
      <c r="R173" s="1679"/>
      <c r="S173" s="844"/>
      <c r="T173" s="844"/>
      <c r="U173" s="844"/>
      <c r="V173" s="844"/>
      <c r="W173" s="844"/>
      <c r="X173" s="844"/>
      <c r="Y173" s="844"/>
      <c r="Z173" s="844"/>
      <c r="AA173" s="844"/>
      <c r="AB173" s="833"/>
      <c r="AC173" s="833"/>
      <c r="AD173" s="833"/>
      <c r="AE173" s="833"/>
      <c r="AF173" s="833"/>
      <c r="AG173" s="833"/>
      <c r="AH173" s="833"/>
      <c r="AI173" s="833"/>
      <c r="AJ173" s="833"/>
      <c r="AK173" s="833"/>
      <c r="AL173" s="833"/>
      <c r="AM173" s="833"/>
      <c r="AN173" s="833"/>
      <c r="AO173" s="833"/>
      <c r="AP173" s="833"/>
      <c r="AQ173" s="833"/>
      <c r="AR173" s="833"/>
      <c r="AS173" s="833"/>
      <c r="AT173" s="833"/>
      <c r="AU173" s="833"/>
      <c r="AV173" s="833"/>
      <c r="AW173" s="833"/>
      <c r="AX173" s="833"/>
      <c r="AY173" s="833"/>
      <c r="AZ173" s="833"/>
      <c r="BA173" s="833"/>
      <c r="BB173" s="833"/>
      <c r="BC173" s="833"/>
      <c r="BD173" s="833"/>
      <c r="BE173" s="833"/>
      <c r="BF173" s="833"/>
      <c r="BG173" s="833"/>
      <c r="BH173" s="833"/>
      <c r="BI173" s="833"/>
      <c r="BJ173" s="833"/>
      <c r="BK173" s="833"/>
    </row>
    <row r="174" spans="2:63" x14ac:dyDescent="0.2">
      <c r="B174" s="869" t="s">
        <v>684</v>
      </c>
      <c r="C174" s="1671"/>
      <c r="D174" s="457" t="s">
        <v>246</v>
      </c>
      <c r="E174" s="457"/>
      <c r="F174" s="457"/>
      <c r="G174" s="457"/>
      <c r="H174" s="458"/>
      <c r="I174" s="458"/>
      <c r="J174" s="909"/>
      <c r="K174" s="909"/>
      <c r="L174" s="904">
        <f>SUM(L165:L173)</f>
        <v>8240</v>
      </c>
      <c r="M174" s="460">
        <v>30</v>
      </c>
      <c r="N174" s="461">
        <f>L174*M174/100</f>
        <v>2472</v>
      </c>
      <c r="O174" s="475"/>
      <c r="P174" s="876">
        <v>6546.98</v>
      </c>
      <c r="Q174" s="1013">
        <f>P174/L174</f>
        <v>0.79453640776699019</v>
      </c>
      <c r="R174" s="1679"/>
      <c r="S174" s="844"/>
      <c r="T174" s="844"/>
      <c r="U174" s="844"/>
      <c r="V174" s="844"/>
      <c r="W174" s="844"/>
      <c r="X174" s="844"/>
      <c r="Y174" s="844"/>
      <c r="Z174" s="844"/>
      <c r="AA174" s="878" t="s">
        <v>685</v>
      </c>
      <c r="AB174" s="833"/>
      <c r="AC174" s="833"/>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3"/>
      <c r="AY174" s="833"/>
      <c r="AZ174" s="833"/>
      <c r="BA174" s="833"/>
      <c r="BB174" s="833"/>
      <c r="BC174" s="833"/>
      <c r="BD174" s="833"/>
      <c r="BE174" s="833"/>
      <c r="BF174" s="833"/>
      <c r="BG174" s="833"/>
      <c r="BH174" s="833"/>
      <c r="BI174" s="833"/>
      <c r="BJ174" s="833"/>
      <c r="BK174" s="833"/>
    </row>
    <row r="175" spans="2:63" x14ac:dyDescent="0.2">
      <c r="C175" s="944"/>
      <c r="D175" s="453" t="s">
        <v>313</v>
      </c>
      <c r="E175" s="454"/>
      <c r="F175" s="454"/>
      <c r="G175" s="454"/>
      <c r="H175" s="454"/>
      <c r="I175" s="454"/>
      <c r="J175" s="910"/>
      <c r="K175" s="910"/>
      <c r="L175" s="911"/>
      <c r="M175" s="455"/>
      <c r="N175" s="456"/>
      <c r="O175" s="923"/>
      <c r="P175" s="880"/>
      <c r="Q175" s="912"/>
      <c r="R175" s="1673"/>
      <c r="S175" s="844"/>
      <c r="T175" s="844"/>
      <c r="U175" s="844"/>
      <c r="V175" s="844"/>
      <c r="W175" s="844"/>
      <c r="X175" s="844"/>
      <c r="Y175" s="844"/>
      <c r="Z175" s="844"/>
      <c r="AA175" s="844"/>
      <c r="AB175" s="833"/>
      <c r="AC175" s="833"/>
      <c r="AD175" s="833"/>
      <c r="AE175" s="833"/>
      <c r="AF175" s="833"/>
      <c r="AG175" s="833"/>
      <c r="AH175" s="833"/>
      <c r="AI175" s="833"/>
      <c r="AJ175" s="833"/>
      <c r="AK175" s="833"/>
      <c r="AL175" s="833"/>
      <c r="AM175" s="833"/>
      <c r="AN175" s="833"/>
      <c r="AO175" s="833"/>
      <c r="AP175" s="833"/>
      <c r="AQ175" s="833"/>
      <c r="AR175" s="833"/>
      <c r="AS175" s="833"/>
      <c r="AT175" s="833"/>
      <c r="AU175" s="833"/>
      <c r="AV175" s="833"/>
      <c r="AW175" s="833"/>
      <c r="AX175" s="833"/>
      <c r="AY175" s="833"/>
      <c r="AZ175" s="833"/>
      <c r="BA175" s="833"/>
      <c r="BB175" s="833"/>
      <c r="BC175" s="833"/>
      <c r="BD175" s="833"/>
      <c r="BE175" s="833"/>
      <c r="BF175" s="833"/>
      <c r="BG175" s="833"/>
      <c r="BH175" s="833"/>
      <c r="BI175" s="833"/>
      <c r="BJ175" s="833"/>
      <c r="BK175" s="833"/>
    </row>
    <row r="176" spans="2:63" x14ac:dyDescent="0.2">
      <c r="C176" s="944"/>
      <c r="D176" s="890" t="s">
        <v>314</v>
      </c>
      <c r="E176" s="466" t="s">
        <v>34</v>
      </c>
      <c r="F176" s="466"/>
      <c r="G176" s="466"/>
      <c r="H176" s="466" t="s">
        <v>659</v>
      </c>
      <c r="I176" s="964">
        <v>1</v>
      </c>
      <c r="J176" s="965">
        <v>50</v>
      </c>
      <c r="K176" s="966">
        <v>1</v>
      </c>
      <c r="L176" s="858">
        <f>I176*J176*K176</f>
        <v>50</v>
      </c>
      <c r="M176" s="455"/>
      <c r="N176" s="456"/>
      <c r="O176" s="895"/>
      <c r="P176" s="861"/>
      <c r="Q176" s="896"/>
      <c r="R176" s="1679"/>
      <c r="S176" s="844"/>
      <c r="T176" s="844"/>
      <c r="U176" s="844"/>
      <c r="V176" s="844"/>
      <c r="W176" s="844"/>
      <c r="X176" s="844"/>
      <c r="Y176" s="844"/>
      <c r="Z176" s="844"/>
      <c r="AA176" s="844"/>
      <c r="AB176" s="833"/>
      <c r="AC176" s="833"/>
      <c r="AD176" s="833"/>
      <c r="AE176" s="833"/>
      <c r="AF176" s="833"/>
      <c r="AG176" s="833"/>
      <c r="AH176" s="833"/>
      <c r="AI176" s="833"/>
      <c r="AJ176" s="833"/>
      <c r="AK176" s="833"/>
      <c r="AL176" s="833"/>
      <c r="AM176" s="833"/>
      <c r="AN176" s="833"/>
      <c r="AO176" s="833"/>
      <c r="AP176" s="833"/>
      <c r="AQ176" s="833"/>
      <c r="AR176" s="833"/>
      <c r="AS176" s="833"/>
      <c r="AT176" s="833"/>
      <c r="AU176" s="833"/>
      <c r="AV176" s="833"/>
      <c r="AW176" s="833"/>
      <c r="AX176" s="833"/>
      <c r="AY176" s="833"/>
      <c r="AZ176" s="833"/>
      <c r="BA176" s="833"/>
      <c r="BB176" s="833"/>
      <c r="BC176" s="833"/>
      <c r="BD176" s="833"/>
      <c r="BE176" s="833"/>
      <c r="BF176" s="833"/>
      <c r="BG176" s="833"/>
      <c r="BH176" s="833"/>
      <c r="BI176" s="833"/>
      <c r="BJ176" s="833"/>
      <c r="BK176" s="833"/>
    </row>
    <row r="177" spans="2:63" x14ac:dyDescent="0.2">
      <c r="C177" s="944"/>
      <c r="D177" s="890" t="s">
        <v>615</v>
      </c>
      <c r="E177" s="466" t="s">
        <v>34</v>
      </c>
      <c r="F177" s="466"/>
      <c r="G177" s="466"/>
      <c r="H177" s="466" t="s">
        <v>659</v>
      </c>
      <c r="I177" s="885">
        <v>70</v>
      </c>
      <c r="J177" s="967">
        <v>10</v>
      </c>
      <c r="K177" s="887">
        <v>1</v>
      </c>
      <c r="L177" s="858">
        <f t="shared" ref="L177:L185" si="14">I177*J177*K177</f>
        <v>700</v>
      </c>
      <c r="M177" s="455"/>
      <c r="N177" s="456"/>
      <c r="O177" s="895"/>
      <c r="P177" s="861"/>
      <c r="Q177" s="896"/>
      <c r="R177" s="1679"/>
      <c r="S177" s="844"/>
      <c r="T177" s="844"/>
      <c r="U177" s="844"/>
      <c r="V177" s="844"/>
      <c r="W177" s="844"/>
      <c r="X177" s="844"/>
      <c r="Y177" s="844"/>
      <c r="Z177" s="844"/>
      <c r="AA177" s="844"/>
      <c r="AB177" s="833"/>
      <c r="AC177" s="833"/>
      <c r="AD177" s="833"/>
      <c r="AE177" s="833"/>
      <c r="AF177" s="833"/>
      <c r="AG177" s="833"/>
      <c r="AH177" s="833"/>
      <c r="AI177" s="833"/>
      <c r="AJ177" s="833"/>
      <c r="AK177" s="833"/>
      <c r="AL177" s="833"/>
      <c r="AM177" s="833"/>
      <c r="AN177" s="833"/>
      <c r="AO177" s="833"/>
      <c r="AP177" s="833"/>
      <c r="AQ177" s="833"/>
      <c r="AR177" s="833"/>
      <c r="AS177" s="833"/>
      <c r="AT177" s="833"/>
      <c r="AU177" s="833"/>
      <c r="AV177" s="833"/>
      <c r="AW177" s="833"/>
      <c r="AX177" s="833"/>
      <c r="AY177" s="833"/>
      <c r="AZ177" s="833"/>
      <c r="BA177" s="833"/>
      <c r="BB177" s="833"/>
      <c r="BC177" s="833"/>
      <c r="BD177" s="833"/>
      <c r="BE177" s="833"/>
      <c r="BF177" s="833"/>
      <c r="BG177" s="833"/>
      <c r="BH177" s="833"/>
      <c r="BI177" s="833"/>
      <c r="BJ177" s="833"/>
      <c r="BK177" s="833"/>
    </row>
    <row r="178" spans="2:63" x14ac:dyDescent="0.2">
      <c r="C178" s="944"/>
      <c r="D178" s="890" t="s">
        <v>310</v>
      </c>
      <c r="E178" s="466" t="s">
        <v>34</v>
      </c>
      <c r="F178" s="466"/>
      <c r="G178" s="466"/>
      <c r="H178" s="466" t="s">
        <v>659</v>
      </c>
      <c r="I178" s="885">
        <v>70</v>
      </c>
      <c r="J178" s="967">
        <v>2</v>
      </c>
      <c r="K178" s="887">
        <v>1</v>
      </c>
      <c r="L178" s="858">
        <f t="shared" si="14"/>
        <v>140</v>
      </c>
      <c r="M178" s="455"/>
      <c r="N178" s="456"/>
      <c r="O178" s="895"/>
      <c r="P178" s="861"/>
      <c r="Q178" s="896"/>
      <c r="R178" s="1679"/>
      <c r="S178" s="844"/>
      <c r="T178" s="844"/>
      <c r="U178" s="844"/>
      <c r="V178" s="844"/>
      <c r="W178" s="844"/>
      <c r="X178" s="844"/>
      <c r="Y178" s="844"/>
      <c r="Z178" s="844"/>
      <c r="AA178" s="844"/>
      <c r="AB178" s="833"/>
      <c r="AC178" s="833"/>
      <c r="AD178" s="833"/>
      <c r="AE178" s="833"/>
      <c r="AF178" s="833"/>
      <c r="AG178" s="833"/>
      <c r="AH178" s="833"/>
      <c r="AI178" s="833"/>
      <c r="AJ178" s="833"/>
      <c r="AK178" s="833"/>
      <c r="AL178" s="833"/>
      <c r="AM178" s="833"/>
      <c r="AN178" s="833"/>
      <c r="AO178" s="833"/>
      <c r="AP178" s="833"/>
      <c r="AQ178" s="833"/>
      <c r="AR178" s="833"/>
      <c r="AS178" s="833"/>
      <c r="AT178" s="833"/>
      <c r="AU178" s="833"/>
      <c r="AV178" s="833"/>
      <c r="AW178" s="833"/>
      <c r="AX178" s="833"/>
      <c r="AY178" s="833"/>
      <c r="AZ178" s="833"/>
      <c r="BA178" s="833"/>
      <c r="BB178" s="833"/>
      <c r="BC178" s="833"/>
      <c r="BD178" s="833"/>
      <c r="BE178" s="833"/>
      <c r="BF178" s="833"/>
      <c r="BG178" s="833"/>
      <c r="BH178" s="833"/>
      <c r="BI178" s="833"/>
      <c r="BJ178" s="833"/>
      <c r="BK178" s="833"/>
    </row>
    <row r="179" spans="2:63" x14ac:dyDescent="0.2">
      <c r="C179" s="944"/>
      <c r="D179" s="890" t="s">
        <v>315</v>
      </c>
      <c r="E179" s="466" t="s">
        <v>34</v>
      </c>
      <c r="F179" s="466"/>
      <c r="G179" s="466"/>
      <c r="H179" s="466" t="s">
        <v>659</v>
      </c>
      <c r="I179" s="885">
        <v>40</v>
      </c>
      <c r="J179" s="967">
        <v>25</v>
      </c>
      <c r="K179" s="887">
        <v>1</v>
      </c>
      <c r="L179" s="858">
        <f t="shared" si="14"/>
        <v>1000</v>
      </c>
      <c r="M179" s="455"/>
      <c r="N179" s="456"/>
      <c r="O179" s="895"/>
      <c r="P179" s="861"/>
      <c r="Q179" s="896"/>
      <c r="R179" s="1679"/>
      <c r="S179" s="844"/>
      <c r="T179" s="844"/>
      <c r="U179" s="844"/>
      <c r="V179" s="844"/>
      <c r="W179" s="844"/>
      <c r="X179" s="844"/>
      <c r="Y179" s="844"/>
      <c r="Z179" s="844"/>
      <c r="AA179" s="844"/>
      <c r="AB179" s="833"/>
      <c r="AC179" s="833"/>
      <c r="AD179" s="833"/>
      <c r="AE179" s="833"/>
      <c r="AF179" s="833"/>
      <c r="AG179" s="833"/>
      <c r="AH179" s="833"/>
      <c r="AI179" s="833"/>
      <c r="AJ179" s="833"/>
      <c r="AK179" s="833"/>
      <c r="AL179" s="833"/>
      <c r="AM179" s="833"/>
      <c r="AN179" s="833"/>
      <c r="AO179" s="833"/>
      <c r="AP179" s="833"/>
      <c r="AQ179" s="833"/>
      <c r="AR179" s="833"/>
      <c r="AS179" s="833"/>
      <c r="AT179" s="833"/>
      <c r="AU179" s="833"/>
      <c r="AV179" s="833"/>
      <c r="AW179" s="833"/>
      <c r="AX179" s="833"/>
      <c r="AY179" s="833"/>
      <c r="AZ179" s="833"/>
      <c r="BA179" s="833"/>
      <c r="BB179" s="833"/>
      <c r="BC179" s="833"/>
      <c r="BD179" s="833"/>
      <c r="BE179" s="833"/>
      <c r="BF179" s="833"/>
      <c r="BG179" s="833"/>
      <c r="BH179" s="833"/>
      <c r="BI179" s="833"/>
      <c r="BJ179" s="833"/>
      <c r="BK179" s="833"/>
    </row>
    <row r="180" spans="2:63" x14ac:dyDescent="0.2">
      <c r="C180" s="944"/>
      <c r="D180" s="890" t="s">
        <v>316</v>
      </c>
      <c r="E180" s="466" t="s">
        <v>34</v>
      </c>
      <c r="F180" s="466"/>
      <c r="G180" s="466"/>
      <c r="H180" s="466" t="s">
        <v>659</v>
      </c>
      <c r="I180" s="885">
        <v>40</v>
      </c>
      <c r="J180" s="967">
        <v>10</v>
      </c>
      <c r="K180" s="887">
        <v>3</v>
      </c>
      <c r="L180" s="858">
        <f t="shared" si="14"/>
        <v>1200</v>
      </c>
      <c r="M180" s="455"/>
      <c r="N180" s="456"/>
      <c r="O180" s="895"/>
      <c r="P180" s="861"/>
      <c r="Q180" s="896"/>
      <c r="R180" s="1679"/>
      <c r="S180" s="844"/>
      <c r="T180" s="844"/>
      <c r="U180" s="844"/>
      <c r="V180" s="844"/>
      <c r="W180" s="844"/>
      <c r="X180" s="844"/>
      <c r="Y180" s="844"/>
      <c r="Z180" s="844"/>
      <c r="AA180" s="844"/>
      <c r="AB180" s="833"/>
      <c r="AC180" s="833"/>
      <c r="AD180" s="833"/>
      <c r="AE180" s="833"/>
      <c r="AF180" s="833"/>
      <c r="AG180" s="833"/>
      <c r="AH180" s="833"/>
      <c r="AI180" s="833"/>
      <c r="AJ180" s="833"/>
      <c r="AK180" s="833"/>
      <c r="AL180" s="833"/>
      <c r="AM180" s="833"/>
      <c r="AN180" s="833"/>
      <c r="AO180" s="833"/>
      <c r="AP180" s="833"/>
      <c r="AQ180" s="833"/>
      <c r="AR180" s="833"/>
      <c r="AS180" s="833"/>
      <c r="AT180" s="833"/>
      <c r="AU180" s="833"/>
      <c r="AV180" s="833"/>
      <c r="AW180" s="833"/>
      <c r="AX180" s="833"/>
      <c r="AY180" s="833"/>
      <c r="AZ180" s="833"/>
      <c r="BA180" s="833"/>
      <c r="BB180" s="833"/>
      <c r="BC180" s="833"/>
      <c r="BD180" s="833"/>
      <c r="BE180" s="833"/>
      <c r="BF180" s="833"/>
      <c r="BG180" s="833"/>
      <c r="BH180" s="833"/>
      <c r="BI180" s="833"/>
      <c r="BJ180" s="833"/>
      <c r="BK180" s="833"/>
    </row>
    <row r="181" spans="2:63" x14ac:dyDescent="0.2">
      <c r="C181" s="944"/>
      <c r="D181" s="890" t="s">
        <v>317</v>
      </c>
      <c r="E181" s="466" t="s">
        <v>34</v>
      </c>
      <c r="F181" s="466"/>
      <c r="G181" s="466"/>
      <c r="H181" s="466" t="s">
        <v>659</v>
      </c>
      <c r="I181" s="885">
        <v>30</v>
      </c>
      <c r="J181" s="967">
        <v>5</v>
      </c>
      <c r="K181" s="887">
        <v>1</v>
      </c>
      <c r="L181" s="858">
        <f t="shared" si="14"/>
        <v>150</v>
      </c>
      <c r="M181" s="455"/>
      <c r="N181" s="456"/>
      <c r="O181" s="895"/>
      <c r="P181" s="861"/>
      <c r="Q181" s="896"/>
      <c r="R181" s="1679"/>
      <c r="S181" s="844"/>
      <c r="T181" s="844"/>
      <c r="U181" s="844"/>
      <c r="V181" s="844"/>
      <c r="W181" s="844"/>
      <c r="X181" s="844"/>
      <c r="Y181" s="844"/>
      <c r="Z181" s="844"/>
      <c r="AA181" s="844"/>
      <c r="AB181" s="833"/>
      <c r="AC181" s="833"/>
      <c r="AD181" s="833"/>
      <c r="AE181" s="833"/>
      <c r="AF181" s="833"/>
      <c r="AG181" s="833"/>
      <c r="AH181" s="833"/>
      <c r="AI181" s="833"/>
      <c r="AJ181" s="833"/>
      <c r="AK181" s="833"/>
      <c r="AL181" s="833"/>
      <c r="AM181" s="833"/>
      <c r="AN181" s="833"/>
      <c r="AO181" s="833"/>
      <c r="AP181" s="833"/>
      <c r="AQ181" s="833"/>
      <c r="AR181" s="833"/>
      <c r="AS181" s="833"/>
      <c r="AT181" s="833"/>
      <c r="AU181" s="833"/>
      <c r="AV181" s="833"/>
      <c r="AW181" s="833"/>
      <c r="AX181" s="833"/>
      <c r="AY181" s="833"/>
      <c r="AZ181" s="833"/>
      <c r="BA181" s="833"/>
      <c r="BB181" s="833"/>
      <c r="BC181" s="833"/>
      <c r="BD181" s="833"/>
      <c r="BE181" s="833"/>
      <c r="BF181" s="833"/>
      <c r="BG181" s="833"/>
      <c r="BH181" s="833"/>
      <c r="BI181" s="833"/>
      <c r="BJ181" s="833"/>
      <c r="BK181" s="833"/>
    </row>
    <row r="182" spans="2:63" x14ac:dyDescent="0.2">
      <c r="C182" s="944"/>
      <c r="D182" s="890" t="s">
        <v>261</v>
      </c>
      <c r="E182" s="466" t="s">
        <v>34</v>
      </c>
      <c r="F182" s="466"/>
      <c r="G182" s="466"/>
      <c r="H182" s="466" t="s">
        <v>659</v>
      </c>
      <c r="I182" s="885">
        <v>1</v>
      </c>
      <c r="J182" s="967">
        <v>40</v>
      </c>
      <c r="K182" s="887">
        <v>5</v>
      </c>
      <c r="L182" s="858">
        <f t="shared" si="14"/>
        <v>200</v>
      </c>
      <c r="M182" s="455"/>
      <c r="N182" s="456"/>
      <c r="O182" s="895"/>
      <c r="P182" s="861"/>
      <c r="Q182" s="896"/>
      <c r="R182" s="1679"/>
      <c r="S182" s="844"/>
      <c r="T182" s="844"/>
      <c r="U182" s="844"/>
      <c r="V182" s="844"/>
      <c r="W182" s="844"/>
      <c r="X182" s="844"/>
      <c r="Y182" s="844"/>
      <c r="Z182" s="844"/>
      <c r="AA182" s="844"/>
      <c r="AB182" s="833"/>
      <c r="AC182" s="833"/>
      <c r="AD182" s="833"/>
      <c r="AE182" s="833"/>
      <c r="AF182" s="833"/>
      <c r="AG182" s="833"/>
      <c r="AH182" s="833"/>
      <c r="AI182" s="833"/>
      <c r="AJ182" s="833"/>
      <c r="AK182" s="833"/>
      <c r="AL182" s="833"/>
      <c r="AM182" s="833"/>
      <c r="AN182" s="833"/>
      <c r="AO182" s="833"/>
      <c r="AP182" s="833"/>
      <c r="AQ182" s="833"/>
      <c r="AR182" s="833"/>
      <c r="AS182" s="833"/>
      <c r="AT182" s="833"/>
      <c r="AU182" s="833"/>
      <c r="AV182" s="833"/>
      <c r="AW182" s="833"/>
      <c r="AX182" s="833"/>
      <c r="AY182" s="833"/>
      <c r="AZ182" s="833"/>
      <c r="BA182" s="833"/>
      <c r="BB182" s="833"/>
      <c r="BC182" s="833"/>
      <c r="BD182" s="833"/>
      <c r="BE182" s="833"/>
      <c r="BF182" s="833"/>
      <c r="BG182" s="833"/>
      <c r="BH182" s="833"/>
      <c r="BI182" s="833"/>
      <c r="BJ182" s="833"/>
      <c r="BK182" s="833"/>
    </row>
    <row r="183" spans="2:63" x14ac:dyDescent="0.2">
      <c r="C183" s="944"/>
      <c r="D183" s="890" t="s">
        <v>222</v>
      </c>
      <c r="E183" s="466" t="s">
        <v>34</v>
      </c>
      <c r="F183" s="466"/>
      <c r="G183" s="466"/>
      <c r="H183" s="466" t="s">
        <v>659</v>
      </c>
      <c r="I183" s="969">
        <v>4</v>
      </c>
      <c r="J183" s="970">
        <v>20</v>
      </c>
      <c r="K183" s="971">
        <v>5</v>
      </c>
      <c r="L183" s="858">
        <f t="shared" si="14"/>
        <v>400</v>
      </c>
      <c r="M183" s="467"/>
      <c r="N183" s="923"/>
      <c r="O183" s="895"/>
      <c r="P183" s="861"/>
      <c r="Q183" s="896"/>
      <c r="R183" s="1679"/>
      <c r="S183" s="844"/>
      <c r="T183" s="844"/>
      <c r="U183" s="844"/>
      <c r="V183" s="844"/>
      <c r="W183" s="844"/>
      <c r="X183" s="844"/>
      <c r="Y183" s="844"/>
      <c r="Z183" s="844"/>
      <c r="AA183" s="844"/>
      <c r="AB183" s="833"/>
      <c r="AC183" s="833"/>
      <c r="AD183" s="833"/>
      <c r="AE183" s="833"/>
      <c r="AF183" s="833"/>
      <c r="AG183" s="833"/>
      <c r="AH183" s="833"/>
      <c r="AI183" s="833"/>
      <c r="AJ183" s="833"/>
      <c r="AK183" s="833"/>
      <c r="AL183" s="833"/>
      <c r="AM183" s="833"/>
      <c r="AN183" s="833"/>
      <c r="AO183" s="833"/>
      <c r="AP183" s="833"/>
      <c r="AQ183" s="833"/>
      <c r="AR183" s="833"/>
      <c r="AS183" s="833"/>
      <c r="AT183" s="833"/>
      <c r="AU183" s="833"/>
      <c r="AV183" s="833"/>
      <c r="AW183" s="833"/>
      <c r="AX183" s="833"/>
      <c r="AY183" s="833"/>
      <c r="AZ183" s="833"/>
      <c r="BA183" s="833"/>
      <c r="BB183" s="833"/>
      <c r="BC183" s="833"/>
      <c r="BD183" s="833"/>
      <c r="BE183" s="833"/>
      <c r="BF183" s="833"/>
      <c r="BG183" s="833"/>
      <c r="BH183" s="833"/>
      <c r="BI183" s="833"/>
      <c r="BJ183" s="833"/>
      <c r="BK183" s="833"/>
    </row>
    <row r="184" spans="2:63" x14ac:dyDescent="0.2">
      <c r="C184" s="944"/>
      <c r="D184" s="890" t="s">
        <v>318</v>
      </c>
      <c r="E184" s="466" t="s">
        <v>34</v>
      </c>
      <c r="F184" s="466"/>
      <c r="G184" s="466"/>
      <c r="H184" s="466" t="s">
        <v>659</v>
      </c>
      <c r="I184" s="969">
        <v>180</v>
      </c>
      <c r="J184" s="970">
        <v>1.2</v>
      </c>
      <c r="K184" s="971">
        <v>1</v>
      </c>
      <c r="L184" s="858">
        <f t="shared" si="14"/>
        <v>216</v>
      </c>
      <c r="M184" s="455"/>
      <c r="N184" s="455"/>
      <c r="O184" s="455"/>
      <c r="P184" s="1014"/>
      <c r="Q184" s="455"/>
      <c r="R184" s="1679"/>
      <c r="S184" s="844"/>
      <c r="T184" s="844"/>
      <c r="U184" s="844"/>
      <c r="V184" s="844"/>
      <c r="W184" s="844"/>
      <c r="X184" s="844"/>
      <c r="Y184" s="844"/>
      <c r="Z184" s="844"/>
      <c r="AA184" s="844"/>
      <c r="AB184" s="833"/>
      <c r="AC184" s="833"/>
      <c r="AD184" s="833"/>
      <c r="AE184" s="833"/>
      <c r="AF184" s="833"/>
      <c r="AG184" s="833"/>
      <c r="AH184" s="833"/>
      <c r="AI184" s="833"/>
      <c r="AJ184" s="833"/>
      <c r="AK184" s="833"/>
      <c r="AL184" s="833"/>
      <c r="AM184" s="833"/>
      <c r="AN184" s="833"/>
      <c r="AO184" s="833"/>
      <c r="AP184" s="833"/>
      <c r="AQ184" s="833"/>
      <c r="AR184" s="833"/>
      <c r="AS184" s="833"/>
      <c r="AT184" s="833"/>
      <c r="AU184" s="833"/>
      <c r="AV184" s="833"/>
      <c r="AW184" s="833"/>
      <c r="AX184" s="833"/>
      <c r="AY184" s="833"/>
      <c r="AZ184" s="833"/>
      <c r="BA184" s="833"/>
      <c r="BB184" s="833"/>
      <c r="BC184" s="833"/>
      <c r="BD184" s="833"/>
      <c r="BE184" s="833"/>
      <c r="BF184" s="833"/>
      <c r="BG184" s="833"/>
      <c r="BH184" s="833"/>
      <c r="BI184" s="833"/>
      <c r="BJ184" s="833"/>
      <c r="BK184" s="833"/>
    </row>
    <row r="185" spans="2:63" x14ac:dyDescent="0.2">
      <c r="C185" s="944"/>
      <c r="D185" s="890" t="s">
        <v>319</v>
      </c>
      <c r="E185" s="466" t="s">
        <v>34</v>
      </c>
      <c r="F185" s="466"/>
      <c r="G185" s="466"/>
      <c r="H185" s="466" t="s">
        <v>659</v>
      </c>
      <c r="I185" s="969">
        <v>5</v>
      </c>
      <c r="J185" s="970">
        <v>5</v>
      </c>
      <c r="K185" s="971">
        <v>1</v>
      </c>
      <c r="L185" s="858">
        <f t="shared" si="14"/>
        <v>25</v>
      </c>
      <c r="M185" s="455"/>
      <c r="N185" s="455"/>
      <c r="O185" s="455"/>
      <c r="P185" s="1014"/>
      <c r="Q185" s="455"/>
      <c r="R185" s="1679"/>
      <c r="S185" s="844"/>
      <c r="T185" s="844"/>
      <c r="U185" s="844"/>
      <c r="V185" s="844"/>
      <c r="W185" s="844"/>
      <c r="X185" s="844"/>
      <c r="Y185" s="844"/>
      <c r="Z185" s="844"/>
      <c r="AA185" s="844"/>
      <c r="AB185" s="833"/>
      <c r="AC185" s="833"/>
      <c r="AD185" s="833"/>
      <c r="AE185" s="833"/>
      <c r="AF185" s="833"/>
      <c r="AG185" s="833"/>
      <c r="AH185" s="833"/>
      <c r="AI185" s="833"/>
      <c r="AJ185" s="833"/>
      <c r="AK185" s="833"/>
      <c r="AL185" s="833"/>
      <c r="AM185" s="833"/>
      <c r="AN185" s="833"/>
      <c r="AO185" s="833"/>
      <c r="AP185" s="833"/>
      <c r="AQ185" s="833"/>
      <c r="AR185" s="833"/>
      <c r="AS185" s="833"/>
      <c r="AT185" s="833"/>
      <c r="AU185" s="833"/>
      <c r="AV185" s="833"/>
      <c r="AW185" s="833"/>
      <c r="AX185" s="833"/>
      <c r="AY185" s="833"/>
      <c r="AZ185" s="833"/>
      <c r="BA185" s="833"/>
      <c r="BB185" s="833"/>
      <c r="BC185" s="833"/>
      <c r="BD185" s="833"/>
      <c r="BE185" s="833"/>
      <c r="BF185" s="833"/>
      <c r="BG185" s="833"/>
      <c r="BH185" s="833"/>
      <c r="BI185" s="833"/>
      <c r="BJ185" s="833"/>
      <c r="BK185" s="833"/>
    </row>
    <row r="186" spans="2:63" x14ac:dyDescent="0.2">
      <c r="B186" s="869" t="s">
        <v>686</v>
      </c>
      <c r="C186" s="944"/>
      <c r="D186" s="457" t="s">
        <v>246</v>
      </c>
      <c r="E186" s="457"/>
      <c r="F186" s="457"/>
      <c r="G186" s="457"/>
      <c r="H186" s="458"/>
      <c r="I186" s="458"/>
      <c r="J186" s="909"/>
      <c r="K186" s="909"/>
      <c r="L186" s="904">
        <f>SUM(L176:L185)</f>
        <v>4081</v>
      </c>
      <c r="M186" s="460">
        <v>30</v>
      </c>
      <c r="N186" s="461">
        <f>L186*M186/100</f>
        <v>1224.3</v>
      </c>
      <c r="O186" s="461"/>
      <c r="P186" s="876">
        <v>15447.74</v>
      </c>
      <c r="Q186" s="1006">
        <f>P186/L186</f>
        <v>3.7852830188679243</v>
      </c>
      <c r="R186" s="1680"/>
      <c r="S186" s="844"/>
      <c r="T186" s="844"/>
      <c r="U186" s="844"/>
      <c r="V186" s="844"/>
      <c r="W186" s="844"/>
      <c r="X186" s="844"/>
      <c r="Y186" s="844"/>
      <c r="Z186" s="844"/>
      <c r="AA186" s="878" t="s">
        <v>687</v>
      </c>
      <c r="AB186" s="833"/>
      <c r="AC186" s="833"/>
      <c r="AD186" s="833"/>
      <c r="AE186" s="833"/>
      <c r="AF186" s="833"/>
      <c r="AG186" s="833"/>
      <c r="AH186" s="833"/>
      <c r="AI186" s="833"/>
      <c r="AJ186" s="833"/>
      <c r="AK186" s="833"/>
      <c r="AL186" s="833"/>
      <c r="AM186" s="833"/>
      <c r="AN186" s="833"/>
      <c r="AO186" s="833"/>
      <c r="AP186" s="833"/>
      <c r="AQ186" s="833"/>
      <c r="AR186" s="833"/>
      <c r="AS186" s="833"/>
      <c r="AT186" s="833"/>
      <c r="AU186" s="833"/>
      <c r="AV186" s="833"/>
      <c r="AW186" s="833"/>
      <c r="AX186" s="833"/>
      <c r="AY186" s="833"/>
      <c r="AZ186" s="833"/>
      <c r="BA186" s="833"/>
      <c r="BB186" s="833"/>
      <c r="BC186" s="833"/>
      <c r="BD186" s="833"/>
      <c r="BE186" s="833"/>
      <c r="BF186" s="833"/>
      <c r="BG186" s="833"/>
      <c r="BH186" s="833"/>
      <c r="BI186" s="833"/>
      <c r="BJ186" s="833"/>
      <c r="BK186" s="833"/>
    </row>
    <row r="187" spans="2:63" ht="14.45" customHeight="1" x14ac:dyDescent="0.2">
      <c r="C187" s="944"/>
      <c r="D187" s="847" t="s">
        <v>320</v>
      </c>
      <c r="E187" s="848"/>
      <c r="F187" s="454"/>
      <c r="G187" s="454"/>
      <c r="H187" s="454"/>
      <c r="I187" s="454"/>
      <c r="J187" s="910"/>
      <c r="K187" s="910"/>
      <c r="L187" s="911"/>
      <c r="M187" s="1015">
        <f>195360+L174+L186+L189+L266+L276+L280+L285+L288</f>
        <v>249665.5</v>
      </c>
      <c r="N187" s="859"/>
      <c r="O187" s="859"/>
      <c r="Q187" s="844"/>
      <c r="R187" s="988"/>
      <c r="S187" s="844"/>
      <c r="T187" s="844"/>
      <c r="U187" s="844"/>
      <c r="V187" s="844"/>
      <c r="W187" s="844"/>
      <c r="X187" s="844"/>
      <c r="Y187" s="844"/>
      <c r="Z187" s="844"/>
      <c r="AA187" s="844"/>
      <c r="AB187" s="833"/>
      <c r="AC187" s="833"/>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3"/>
      <c r="AY187" s="833"/>
      <c r="AZ187" s="833"/>
      <c r="BA187" s="833"/>
      <c r="BB187" s="833"/>
      <c r="BC187" s="833"/>
      <c r="BD187" s="833"/>
      <c r="BE187" s="833"/>
      <c r="BF187" s="833"/>
      <c r="BG187" s="833"/>
      <c r="BH187" s="833"/>
      <c r="BI187" s="833"/>
      <c r="BJ187" s="833"/>
      <c r="BK187" s="833"/>
    </row>
    <row r="188" spans="2:63" ht="53.45" customHeight="1" x14ac:dyDescent="0.2">
      <c r="C188" s="944"/>
      <c r="D188" s="853" t="s">
        <v>321</v>
      </c>
      <c r="E188" s="853" t="s">
        <v>34</v>
      </c>
      <c r="F188" s="1016"/>
      <c r="G188" s="1016"/>
      <c r="H188" s="1017" t="s">
        <v>659</v>
      </c>
      <c r="I188" s="1018">
        <v>1</v>
      </c>
      <c r="J188" s="1018">
        <v>2000</v>
      </c>
      <c r="K188" s="1019">
        <v>2</v>
      </c>
      <c r="L188" s="1020">
        <f>I188*J188*K188</f>
        <v>4000</v>
      </c>
      <c r="M188" s="1021"/>
      <c r="N188" s="1022"/>
      <c r="O188" s="1023"/>
      <c r="P188" s="1024"/>
      <c r="Q188" s="1025"/>
      <c r="R188" s="1684"/>
      <c r="S188" s="844"/>
      <c r="T188" s="844"/>
      <c r="U188" s="844"/>
      <c r="V188" s="844"/>
      <c r="W188" s="844"/>
      <c r="X188" s="844"/>
      <c r="Y188" s="844"/>
      <c r="Z188" s="844"/>
      <c r="AA188" s="844"/>
      <c r="AB188" s="833"/>
      <c r="AC188" s="833"/>
      <c r="AD188" s="833"/>
      <c r="AE188" s="833"/>
      <c r="AF188" s="833"/>
      <c r="AG188" s="833"/>
      <c r="AH188" s="833"/>
      <c r="AI188" s="833"/>
      <c r="AJ188" s="833"/>
      <c r="AK188" s="833"/>
      <c r="AL188" s="833"/>
      <c r="AM188" s="833"/>
      <c r="AN188" s="833"/>
      <c r="AO188" s="833"/>
      <c r="AP188" s="833"/>
      <c r="AQ188" s="833"/>
      <c r="AR188" s="833"/>
      <c r="AS188" s="833"/>
      <c r="AT188" s="833"/>
      <c r="AU188" s="833"/>
      <c r="AV188" s="833"/>
      <c r="AW188" s="833"/>
      <c r="AX188" s="833"/>
      <c r="AY188" s="833"/>
      <c r="AZ188" s="833"/>
      <c r="BA188" s="833"/>
      <c r="BB188" s="833"/>
      <c r="BC188" s="833"/>
      <c r="BD188" s="833"/>
      <c r="BE188" s="833"/>
      <c r="BF188" s="833"/>
      <c r="BG188" s="833"/>
      <c r="BH188" s="833"/>
      <c r="BI188" s="833"/>
      <c r="BJ188" s="833"/>
      <c r="BK188" s="833"/>
    </row>
    <row r="189" spans="2:63" x14ac:dyDescent="0.2">
      <c r="B189" s="869" t="s">
        <v>688</v>
      </c>
      <c r="C189" s="1026"/>
      <c r="D189" s="1027" t="s">
        <v>689</v>
      </c>
      <c r="E189" s="1028"/>
      <c r="F189" s="1028"/>
      <c r="G189" s="1028"/>
      <c r="H189" s="1028"/>
      <c r="I189" s="1028"/>
      <c r="J189" s="1028"/>
      <c r="K189" s="1029"/>
      <c r="L189" s="1030">
        <f>SUM(L188)</f>
        <v>4000</v>
      </c>
      <c r="M189" s="873">
        <v>30</v>
      </c>
      <c r="N189" s="874">
        <f>L189*M189/100</f>
        <v>1200</v>
      </c>
      <c r="O189" s="875"/>
      <c r="P189" s="876">
        <v>10171.529999999999</v>
      </c>
      <c r="Q189" s="1013">
        <f>P189/L189</f>
        <v>2.5428824999999997</v>
      </c>
      <c r="R189" s="1685"/>
      <c r="S189" s="844"/>
      <c r="T189" s="844"/>
      <c r="U189" s="844"/>
      <c r="V189" s="844"/>
      <c r="W189" s="844"/>
      <c r="X189" s="844"/>
      <c r="Y189" s="844"/>
      <c r="Z189" s="844"/>
      <c r="AA189" s="878" t="s">
        <v>690</v>
      </c>
      <c r="AB189" s="833"/>
      <c r="AC189" s="833"/>
      <c r="AD189" s="833"/>
      <c r="AE189" s="833"/>
      <c r="AF189" s="833"/>
      <c r="AG189" s="833"/>
      <c r="AH189" s="833"/>
      <c r="AI189" s="833"/>
      <c r="AJ189" s="833"/>
      <c r="AK189" s="833"/>
      <c r="AL189" s="833"/>
      <c r="AM189" s="833"/>
      <c r="AN189" s="833"/>
      <c r="AO189" s="833"/>
      <c r="AP189" s="833"/>
      <c r="AQ189" s="833"/>
      <c r="AR189" s="833"/>
      <c r="AS189" s="833"/>
      <c r="AT189" s="833"/>
      <c r="AU189" s="833"/>
      <c r="AV189" s="833"/>
      <c r="AW189" s="833"/>
      <c r="AX189" s="833"/>
      <c r="AY189" s="833"/>
      <c r="AZ189" s="833"/>
      <c r="BA189" s="833"/>
      <c r="BB189" s="833"/>
      <c r="BC189" s="833"/>
      <c r="BD189" s="833"/>
      <c r="BE189" s="833"/>
      <c r="BF189" s="833"/>
      <c r="BG189" s="833"/>
      <c r="BH189" s="833"/>
      <c r="BI189" s="833"/>
      <c r="BJ189" s="833"/>
      <c r="BK189" s="833"/>
    </row>
    <row r="190" spans="2:63" x14ac:dyDescent="0.2">
      <c r="C190" s="1031"/>
      <c r="D190" s="1032" t="s">
        <v>0</v>
      </c>
      <c r="E190" s="1028"/>
      <c r="F190" s="1028"/>
      <c r="G190" s="1028"/>
      <c r="H190" s="1028"/>
      <c r="I190" s="1028"/>
      <c r="J190" s="1028"/>
      <c r="K190" s="1028"/>
      <c r="L190" s="1033"/>
      <c r="M190" s="873"/>
      <c r="N190" s="874"/>
      <c r="O190" s="875"/>
      <c r="P190" s="1034"/>
      <c r="Q190" s="889"/>
      <c r="R190" s="1035"/>
      <c r="S190" s="844"/>
      <c r="T190" s="844"/>
      <c r="U190" s="844"/>
      <c r="V190" s="844"/>
      <c r="W190" s="844"/>
      <c r="X190" s="844"/>
      <c r="Y190" s="844"/>
      <c r="Z190" s="844"/>
      <c r="AA190" s="960"/>
      <c r="AB190" s="833"/>
      <c r="AC190" s="833"/>
      <c r="AD190" s="833"/>
      <c r="AE190" s="833"/>
      <c r="AF190" s="833"/>
      <c r="AG190" s="833"/>
      <c r="AH190" s="833"/>
      <c r="AI190" s="833"/>
      <c r="AJ190" s="833"/>
      <c r="AK190" s="833"/>
      <c r="AL190" s="833"/>
      <c r="AM190" s="833"/>
      <c r="AN190" s="833"/>
      <c r="AO190" s="833"/>
      <c r="AP190" s="833"/>
      <c r="AQ190" s="833"/>
      <c r="AR190" s="833"/>
      <c r="AS190" s="833"/>
      <c r="AT190" s="833"/>
      <c r="AU190" s="833"/>
      <c r="AV190" s="833"/>
      <c r="AW190" s="833"/>
      <c r="AX190" s="833"/>
      <c r="AY190" s="833"/>
      <c r="AZ190" s="833"/>
      <c r="BA190" s="833"/>
      <c r="BB190" s="833"/>
      <c r="BC190" s="833"/>
      <c r="BD190" s="833"/>
      <c r="BE190" s="833"/>
      <c r="BF190" s="833"/>
      <c r="BG190" s="833"/>
      <c r="BH190" s="833"/>
      <c r="BI190" s="833"/>
      <c r="BJ190" s="833"/>
      <c r="BK190" s="833"/>
    </row>
    <row r="191" spans="2:63" x14ac:dyDescent="0.2">
      <c r="C191" s="1009" t="s">
        <v>322</v>
      </c>
      <c r="D191" s="1010"/>
      <c r="E191" s="1010"/>
      <c r="F191" s="1010"/>
      <c r="G191" s="1010"/>
      <c r="H191" s="1010"/>
      <c r="I191" s="1010"/>
      <c r="J191" s="1010"/>
      <c r="K191" s="1010"/>
      <c r="L191" s="1011"/>
      <c r="M191" s="844"/>
      <c r="N191" s="859"/>
      <c r="O191" s="859"/>
      <c r="P191" s="987"/>
      <c r="Q191" s="844"/>
      <c r="R191" s="988"/>
      <c r="S191" s="844"/>
      <c r="T191" s="844"/>
      <c r="U191" s="844"/>
      <c r="V191" s="844"/>
      <c r="W191" s="844"/>
      <c r="X191" s="844"/>
      <c r="Y191" s="844"/>
      <c r="Z191" s="844"/>
      <c r="AA191" s="844"/>
      <c r="AB191" s="833"/>
      <c r="AC191" s="833"/>
      <c r="AD191" s="833"/>
      <c r="AE191" s="833"/>
      <c r="AF191" s="833"/>
      <c r="AG191" s="833"/>
      <c r="AH191" s="833"/>
      <c r="AI191" s="833"/>
      <c r="AJ191" s="833"/>
      <c r="AK191" s="833"/>
      <c r="AL191" s="833"/>
      <c r="AM191" s="833"/>
      <c r="AN191" s="833"/>
      <c r="AO191" s="833"/>
      <c r="AP191" s="833"/>
      <c r="AQ191" s="833"/>
      <c r="AR191" s="833"/>
      <c r="AS191" s="833"/>
      <c r="AT191" s="833"/>
      <c r="AU191" s="833"/>
      <c r="AV191" s="833"/>
      <c r="AW191" s="833"/>
      <c r="AX191" s="833"/>
      <c r="AY191" s="833"/>
      <c r="AZ191" s="833"/>
      <c r="BA191" s="833"/>
      <c r="BB191" s="833"/>
      <c r="BC191" s="833"/>
      <c r="BD191" s="833"/>
      <c r="BE191" s="833"/>
      <c r="BF191" s="833"/>
      <c r="BG191" s="833"/>
      <c r="BH191" s="833"/>
      <c r="BI191" s="833"/>
      <c r="BJ191" s="833"/>
      <c r="BK191" s="833"/>
    </row>
    <row r="192" spans="2:63" ht="18.75" customHeight="1" x14ac:dyDescent="0.2">
      <c r="C192" s="1686" t="s">
        <v>323</v>
      </c>
      <c r="D192" s="847" t="s">
        <v>324</v>
      </c>
      <c r="E192" s="848"/>
      <c r="F192" s="848"/>
      <c r="G192" s="848"/>
      <c r="H192" s="848"/>
      <c r="I192" s="848"/>
      <c r="J192" s="848"/>
      <c r="K192" s="848"/>
      <c r="L192" s="849"/>
      <c r="M192" s="844"/>
      <c r="N192" s="859"/>
      <c r="O192" s="859"/>
      <c r="P192" s="987"/>
      <c r="Q192" s="844"/>
      <c r="R192" s="988"/>
      <c r="S192" s="844"/>
      <c r="T192" s="844"/>
      <c r="U192" s="844"/>
      <c r="V192" s="844"/>
      <c r="W192" s="844"/>
      <c r="X192" s="844"/>
      <c r="Y192" s="844"/>
      <c r="Z192" s="844"/>
      <c r="AA192" s="844"/>
      <c r="AB192" s="833"/>
      <c r="AC192" s="833"/>
      <c r="AD192" s="833"/>
      <c r="AE192" s="833"/>
      <c r="AF192" s="833"/>
      <c r="AG192" s="833"/>
      <c r="AH192" s="833"/>
      <c r="AI192" s="833"/>
      <c r="AJ192" s="833"/>
      <c r="AK192" s="833"/>
      <c r="AL192" s="833"/>
      <c r="AM192" s="833"/>
      <c r="AN192" s="833"/>
      <c r="AO192" s="833"/>
      <c r="AP192" s="833"/>
      <c r="AQ192" s="833"/>
      <c r="AR192" s="833"/>
      <c r="AS192" s="833"/>
      <c r="AT192" s="833"/>
      <c r="AU192" s="833"/>
      <c r="AV192" s="833"/>
      <c r="AW192" s="833"/>
      <c r="AX192" s="833"/>
      <c r="AY192" s="833"/>
      <c r="AZ192" s="833"/>
      <c r="BA192" s="833"/>
      <c r="BB192" s="833"/>
      <c r="BC192" s="833"/>
      <c r="BD192" s="833"/>
      <c r="BE192" s="833"/>
      <c r="BF192" s="833"/>
      <c r="BG192" s="833"/>
      <c r="BH192" s="833"/>
      <c r="BI192" s="833"/>
      <c r="BJ192" s="833"/>
      <c r="BK192" s="833"/>
    </row>
    <row r="193" spans="2:63" s="1036" customFormat="1" ht="25.5" x14ac:dyDescent="0.2">
      <c r="B193" s="1037" t="s">
        <v>691</v>
      </c>
      <c r="C193" s="1687"/>
      <c r="D193" s="1038" t="s">
        <v>692</v>
      </c>
      <c r="E193" s="1039" t="s">
        <v>14</v>
      </c>
      <c r="F193" s="1040"/>
      <c r="G193" s="1040"/>
      <c r="H193" s="1041" t="s">
        <v>217</v>
      </c>
      <c r="I193" s="1042">
        <v>1</v>
      </c>
      <c r="J193" s="1043">
        <v>200</v>
      </c>
      <c r="K193" s="1042">
        <v>1</v>
      </c>
      <c r="L193" s="1044">
        <f>K193*J193*I193</f>
        <v>200</v>
      </c>
      <c r="M193" s="1045"/>
      <c r="N193" s="1046"/>
      <c r="O193" s="1046"/>
      <c r="P193" s="1047">
        <v>273.20999999999998</v>
      </c>
      <c r="Q193" s="1048">
        <f>P193/L193</f>
        <v>1.36605</v>
      </c>
      <c r="R193" s="1049"/>
      <c r="S193" s="1045"/>
      <c r="T193" s="1045"/>
      <c r="U193" s="1045"/>
      <c r="V193" s="1045"/>
      <c r="W193" s="1045"/>
      <c r="X193" s="1045"/>
      <c r="Y193" s="1045"/>
      <c r="Z193" s="1045"/>
      <c r="AA193" s="1045"/>
      <c r="AB193" s="833"/>
      <c r="AC193" s="833"/>
      <c r="AD193" s="833"/>
      <c r="AE193" s="833"/>
      <c r="AF193" s="833"/>
      <c r="AG193" s="833"/>
      <c r="AH193" s="833"/>
      <c r="AI193" s="833"/>
      <c r="AJ193" s="833"/>
      <c r="AK193" s="833"/>
      <c r="AL193" s="833"/>
      <c r="AM193" s="833"/>
      <c r="AN193" s="833"/>
      <c r="AO193" s="833"/>
      <c r="AP193" s="833"/>
      <c r="AQ193" s="833"/>
      <c r="AR193" s="833"/>
      <c r="AS193" s="833"/>
      <c r="AT193" s="833"/>
      <c r="AU193" s="833"/>
      <c r="AV193" s="833"/>
      <c r="AW193" s="833"/>
      <c r="AX193" s="833"/>
      <c r="AY193" s="833"/>
      <c r="AZ193" s="833"/>
      <c r="BA193" s="833"/>
      <c r="BB193" s="833"/>
      <c r="BC193" s="833"/>
      <c r="BD193" s="833"/>
      <c r="BE193" s="833"/>
      <c r="BF193" s="833"/>
      <c r="BG193" s="833"/>
      <c r="BH193" s="833"/>
      <c r="BI193" s="833"/>
      <c r="BJ193" s="1050"/>
      <c r="BK193" s="1050"/>
    </row>
    <row r="194" spans="2:63" x14ac:dyDescent="0.2">
      <c r="B194" s="869" t="s">
        <v>693</v>
      </c>
      <c r="C194" s="1687"/>
      <c r="D194" s="1051" t="s">
        <v>325</v>
      </c>
      <c r="E194" s="853" t="s">
        <v>12</v>
      </c>
      <c r="F194" s="1016"/>
      <c r="G194" s="1016"/>
      <c r="H194" s="1052" t="s">
        <v>217</v>
      </c>
      <c r="I194" s="1053">
        <v>1</v>
      </c>
      <c r="J194" s="1054">
        <v>1500</v>
      </c>
      <c r="K194" s="1055">
        <v>2</v>
      </c>
      <c r="L194" s="1056">
        <f t="shared" ref="L194:L201" si="15">K194*J194*I194</f>
        <v>3000</v>
      </c>
      <c r="M194" s="844"/>
      <c r="N194" s="859"/>
      <c r="O194" s="859"/>
      <c r="P194" s="1057">
        <v>3029.4354838709673</v>
      </c>
      <c r="Q194" s="257">
        <f>L194/(3000+720)</f>
        <v>0.80645161290322576</v>
      </c>
      <c r="R194" s="988"/>
      <c r="S194" s="844"/>
      <c r="T194" s="844"/>
      <c r="U194" s="844"/>
      <c r="V194" s="844"/>
      <c r="W194" s="844"/>
      <c r="X194" s="844"/>
      <c r="Y194" s="844"/>
      <c r="Z194" s="844"/>
      <c r="AA194" s="844"/>
      <c r="AB194" s="833"/>
      <c r="AC194" s="833"/>
      <c r="AD194" s="833"/>
      <c r="AE194" s="833"/>
      <c r="AF194" s="833"/>
      <c r="AG194" s="833"/>
      <c r="AH194" s="833"/>
      <c r="AI194" s="833"/>
      <c r="AJ194" s="833"/>
      <c r="AK194" s="833"/>
      <c r="AL194" s="833"/>
      <c r="AM194" s="833"/>
      <c r="AN194" s="833"/>
      <c r="AO194" s="833"/>
      <c r="AP194" s="833"/>
      <c r="AQ194" s="833"/>
      <c r="AR194" s="833"/>
      <c r="AS194" s="833"/>
      <c r="AT194" s="833"/>
      <c r="AU194" s="833"/>
      <c r="AV194" s="833"/>
      <c r="AW194" s="833"/>
      <c r="AX194" s="833"/>
      <c r="AY194" s="833"/>
      <c r="AZ194" s="833"/>
      <c r="BA194" s="833"/>
      <c r="BB194" s="833"/>
      <c r="BC194" s="833"/>
      <c r="BD194" s="833"/>
      <c r="BE194" s="833"/>
      <c r="BF194" s="833"/>
      <c r="BG194" s="833"/>
      <c r="BH194" s="833"/>
      <c r="BI194" s="833"/>
      <c r="BJ194" s="833"/>
      <c r="BK194" s="833"/>
    </row>
    <row r="195" spans="2:63" x14ac:dyDescent="0.2">
      <c r="B195" s="869" t="s">
        <v>694</v>
      </c>
      <c r="C195" s="1687"/>
      <c r="D195" s="1051" t="s">
        <v>326</v>
      </c>
      <c r="E195" s="853" t="s">
        <v>14</v>
      </c>
      <c r="F195" s="1016"/>
      <c r="G195" s="1016"/>
      <c r="H195" s="1058" t="s">
        <v>217</v>
      </c>
      <c r="I195" s="1055">
        <v>1</v>
      </c>
      <c r="J195" s="1059">
        <v>100</v>
      </c>
      <c r="K195" s="1055">
        <v>2</v>
      </c>
      <c r="L195" s="1060">
        <f t="shared" si="15"/>
        <v>200</v>
      </c>
      <c r="M195" s="844"/>
      <c r="N195" s="859"/>
      <c r="O195" s="859"/>
      <c r="P195" s="1057">
        <v>250.62857142857143</v>
      </c>
      <c r="Q195" s="257">
        <f>L195/3500</f>
        <v>5.7142857142857141E-2</v>
      </c>
      <c r="R195" s="988"/>
      <c r="S195" s="844"/>
      <c r="T195" s="844"/>
      <c r="U195" s="844"/>
      <c r="V195" s="844"/>
      <c r="W195" s="844"/>
      <c r="X195" s="844"/>
      <c r="Y195" s="844"/>
      <c r="Z195" s="844"/>
      <c r="AA195" s="844"/>
      <c r="AB195" s="833"/>
      <c r="AC195" s="833"/>
      <c r="AD195" s="833"/>
      <c r="AE195" s="833"/>
      <c r="AF195" s="833"/>
      <c r="AG195" s="833"/>
      <c r="AH195" s="833"/>
      <c r="AI195" s="833"/>
      <c r="AJ195" s="833"/>
      <c r="AK195" s="833"/>
      <c r="AL195" s="833"/>
      <c r="AM195" s="833"/>
      <c r="AN195" s="833"/>
      <c r="AO195" s="833"/>
      <c r="AP195" s="833"/>
      <c r="AQ195" s="833"/>
      <c r="AR195" s="833"/>
      <c r="AS195" s="833"/>
      <c r="AT195" s="833"/>
      <c r="AU195" s="833"/>
      <c r="AV195" s="833"/>
      <c r="AW195" s="833"/>
      <c r="AX195" s="833"/>
      <c r="AY195" s="833"/>
      <c r="AZ195" s="833"/>
      <c r="BA195" s="833"/>
      <c r="BB195" s="833"/>
      <c r="BC195" s="833"/>
      <c r="BD195" s="833"/>
      <c r="BE195" s="833"/>
      <c r="BF195" s="833"/>
      <c r="BG195" s="833"/>
      <c r="BH195" s="833"/>
      <c r="BI195" s="833"/>
      <c r="BJ195" s="833"/>
      <c r="BK195" s="833"/>
    </row>
    <row r="196" spans="2:63" x14ac:dyDescent="0.2">
      <c r="B196" s="869" t="s">
        <v>694</v>
      </c>
      <c r="C196" s="1687"/>
      <c r="D196" s="1051" t="s">
        <v>327</v>
      </c>
      <c r="E196" s="853" t="s">
        <v>14</v>
      </c>
      <c r="F196" s="1016"/>
      <c r="G196" s="1016"/>
      <c r="H196" s="1058" t="s">
        <v>217</v>
      </c>
      <c r="I196" s="1055">
        <v>1</v>
      </c>
      <c r="J196" s="1059">
        <v>300</v>
      </c>
      <c r="K196" s="1055">
        <v>2</v>
      </c>
      <c r="L196" s="1060">
        <f t="shared" si="15"/>
        <v>600</v>
      </c>
      <c r="M196" s="844"/>
      <c r="N196" s="859"/>
      <c r="O196" s="859"/>
      <c r="P196" s="1057">
        <v>751.88571428571424</v>
      </c>
      <c r="Q196" s="257">
        <f>L196/3500</f>
        <v>0.17142857142857143</v>
      </c>
      <c r="R196" s="988"/>
      <c r="S196" s="844"/>
      <c r="T196" s="844"/>
      <c r="U196" s="844"/>
      <c r="V196" s="844"/>
      <c r="W196" s="844"/>
      <c r="X196" s="844"/>
      <c r="Y196" s="844"/>
      <c r="Z196" s="844"/>
      <c r="AA196" s="844"/>
      <c r="AB196" s="833"/>
      <c r="AC196" s="833"/>
      <c r="AD196" s="833"/>
      <c r="AE196" s="833"/>
      <c r="AF196" s="833"/>
      <c r="AG196" s="833"/>
      <c r="AH196" s="833"/>
      <c r="AI196" s="833"/>
      <c r="AJ196" s="833"/>
      <c r="AK196" s="833"/>
      <c r="AL196" s="833"/>
      <c r="AM196" s="833"/>
      <c r="AN196" s="833"/>
      <c r="AO196" s="833"/>
      <c r="AP196" s="833"/>
      <c r="AQ196" s="833"/>
      <c r="AR196" s="833"/>
      <c r="AS196" s="833"/>
      <c r="AT196" s="833"/>
      <c r="AU196" s="833"/>
      <c r="AV196" s="833"/>
      <c r="AW196" s="833"/>
      <c r="AX196" s="833"/>
      <c r="AY196" s="833"/>
      <c r="AZ196" s="833"/>
      <c r="BA196" s="833"/>
      <c r="BB196" s="833"/>
      <c r="BC196" s="833"/>
      <c r="BD196" s="833"/>
      <c r="BE196" s="833"/>
      <c r="BF196" s="833"/>
      <c r="BG196" s="833"/>
      <c r="BH196" s="833"/>
      <c r="BI196" s="833"/>
      <c r="BJ196" s="833"/>
      <c r="BK196" s="833"/>
    </row>
    <row r="197" spans="2:63" x14ac:dyDescent="0.2">
      <c r="B197" s="869" t="s">
        <v>694</v>
      </c>
      <c r="C197" s="1687"/>
      <c r="D197" s="1051" t="s">
        <v>328</v>
      </c>
      <c r="E197" s="853" t="s">
        <v>14</v>
      </c>
      <c r="F197" s="1016"/>
      <c r="G197" s="1016"/>
      <c r="H197" s="1058" t="s">
        <v>217</v>
      </c>
      <c r="I197" s="1055">
        <v>1</v>
      </c>
      <c r="J197" s="1059">
        <v>250</v>
      </c>
      <c r="K197" s="1055">
        <v>2</v>
      </c>
      <c r="L197" s="1060">
        <f t="shared" si="15"/>
        <v>500</v>
      </c>
      <c r="M197" s="844"/>
      <c r="N197" s="859"/>
      <c r="O197" s="859"/>
      <c r="P197" s="1057">
        <v>626.57142857142856</v>
      </c>
      <c r="Q197" s="257">
        <f t="shared" ref="Q197:Q201" si="16">L197/3500</f>
        <v>0.14285714285714285</v>
      </c>
      <c r="R197" s="988"/>
      <c r="S197" s="844"/>
      <c r="T197" s="844"/>
      <c r="U197" s="844"/>
      <c r="V197" s="844"/>
      <c r="W197" s="844"/>
      <c r="X197" s="844"/>
      <c r="Y197" s="844"/>
      <c r="Z197" s="844"/>
      <c r="AA197" s="844"/>
      <c r="AB197" s="833"/>
      <c r="AC197" s="833"/>
      <c r="AD197" s="833"/>
      <c r="AE197" s="833"/>
      <c r="AF197" s="833"/>
      <c r="AG197" s="833"/>
      <c r="AH197" s="833"/>
      <c r="AI197" s="833"/>
      <c r="AJ197" s="833"/>
      <c r="AK197" s="833"/>
      <c r="AL197" s="833"/>
      <c r="AM197" s="833"/>
      <c r="AN197" s="833"/>
      <c r="AO197" s="833"/>
      <c r="AP197" s="833"/>
      <c r="AQ197" s="833"/>
      <c r="AR197" s="833"/>
      <c r="AS197" s="833"/>
      <c r="AT197" s="833"/>
      <c r="AU197" s="833"/>
      <c r="AV197" s="833"/>
      <c r="AW197" s="833"/>
      <c r="AX197" s="833"/>
      <c r="AY197" s="833"/>
      <c r="AZ197" s="833"/>
      <c r="BA197" s="833"/>
      <c r="BB197" s="833"/>
      <c r="BC197" s="833"/>
      <c r="BD197" s="833"/>
      <c r="BE197" s="833"/>
      <c r="BF197" s="833"/>
      <c r="BG197" s="833"/>
      <c r="BH197" s="833"/>
      <c r="BI197" s="833"/>
      <c r="BJ197" s="833"/>
      <c r="BK197" s="833"/>
    </row>
    <row r="198" spans="2:63" x14ac:dyDescent="0.2">
      <c r="B198" s="869" t="s">
        <v>694</v>
      </c>
      <c r="C198" s="1687"/>
      <c r="D198" s="1051" t="s">
        <v>329</v>
      </c>
      <c r="E198" s="853" t="s">
        <v>14</v>
      </c>
      <c r="F198" s="1016"/>
      <c r="G198" s="1016"/>
      <c r="H198" s="1058" t="s">
        <v>217</v>
      </c>
      <c r="I198" s="1055">
        <v>1</v>
      </c>
      <c r="J198" s="1059">
        <v>500</v>
      </c>
      <c r="K198" s="1055">
        <v>2</v>
      </c>
      <c r="L198" s="1060">
        <f t="shared" si="15"/>
        <v>1000</v>
      </c>
      <c r="M198" s="844"/>
      <c r="N198" s="859"/>
      <c r="O198" s="859"/>
      <c r="P198" s="1057">
        <v>1253.1428571428571</v>
      </c>
      <c r="Q198" s="257">
        <f t="shared" si="16"/>
        <v>0.2857142857142857</v>
      </c>
      <c r="R198" s="988"/>
      <c r="S198" s="844"/>
      <c r="T198" s="844"/>
      <c r="U198" s="844"/>
      <c r="V198" s="844"/>
      <c r="W198" s="844"/>
      <c r="X198" s="844"/>
      <c r="Y198" s="844"/>
      <c r="Z198" s="844"/>
      <c r="AA198" s="844"/>
      <c r="AB198" s="833"/>
      <c r="AC198" s="833"/>
      <c r="AD198" s="833"/>
      <c r="AE198" s="833"/>
      <c r="AF198" s="833"/>
      <c r="AG198" s="833"/>
      <c r="AH198" s="833"/>
      <c r="AI198" s="833"/>
      <c r="AJ198" s="833"/>
      <c r="AK198" s="833"/>
      <c r="AL198" s="833"/>
      <c r="AM198" s="833"/>
      <c r="AN198" s="833"/>
      <c r="AO198" s="833"/>
      <c r="AP198" s="833"/>
      <c r="AQ198" s="833"/>
      <c r="AR198" s="833"/>
      <c r="AS198" s="833"/>
      <c r="AT198" s="833"/>
      <c r="AU198" s="833"/>
      <c r="AV198" s="833"/>
      <c r="AW198" s="833"/>
      <c r="AX198" s="833"/>
      <c r="AY198" s="833"/>
      <c r="AZ198" s="833"/>
      <c r="BA198" s="833"/>
      <c r="BB198" s="833"/>
      <c r="BC198" s="833"/>
      <c r="BD198" s="833"/>
      <c r="BE198" s="833"/>
      <c r="BF198" s="833"/>
      <c r="BG198" s="833"/>
      <c r="BH198" s="833"/>
      <c r="BI198" s="833"/>
      <c r="BJ198" s="833"/>
      <c r="BK198" s="833"/>
    </row>
    <row r="199" spans="2:63" x14ac:dyDescent="0.2">
      <c r="B199" s="869" t="s">
        <v>694</v>
      </c>
      <c r="C199" s="1687"/>
      <c r="D199" s="1051" t="s">
        <v>330</v>
      </c>
      <c r="E199" s="853" t="s">
        <v>14</v>
      </c>
      <c r="F199" s="1016"/>
      <c r="G199" s="1016"/>
      <c r="H199" s="1058" t="s">
        <v>217</v>
      </c>
      <c r="I199" s="1061">
        <v>40</v>
      </c>
      <c r="J199" s="1059">
        <v>10</v>
      </c>
      <c r="K199" s="1055">
        <v>2</v>
      </c>
      <c r="L199" s="1060">
        <f t="shared" si="15"/>
        <v>800</v>
      </c>
      <c r="M199" s="844"/>
      <c r="N199" s="859"/>
      <c r="O199" s="859"/>
      <c r="P199" s="1057">
        <v>1002.5142857142857</v>
      </c>
      <c r="Q199" s="257">
        <f t="shared" si="16"/>
        <v>0.22857142857142856</v>
      </c>
      <c r="R199" s="988"/>
      <c r="S199" s="844"/>
      <c r="T199" s="844"/>
      <c r="U199" s="844"/>
      <c r="V199" s="844"/>
      <c r="W199" s="844"/>
      <c r="X199" s="844"/>
      <c r="Y199" s="844"/>
      <c r="Z199" s="844"/>
      <c r="AA199" s="844"/>
      <c r="AB199" s="833"/>
      <c r="AC199" s="833"/>
      <c r="AD199" s="833"/>
      <c r="AE199" s="833"/>
      <c r="AF199" s="833"/>
      <c r="AG199" s="833"/>
      <c r="AH199" s="833"/>
      <c r="AI199" s="833"/>
      <c r="AJ199" s="833"/>
      <c r="AK199" s="833"/>
      <c r="AL199" s="833"/>
      <c r="AM199" s="833"/>
      <c r="AN199" s="833"/>
      <c r="AO199" s="833"/>
      <c r="AP199" s="833"/>
      <c r="AQ199" s="833"/>
      <c r="AR199" s="833"/>
      <c r="AS199" s="833"/>
      <c r="AT199" s="833"/>
      <c r="AU199" s="833"/>
      <c r="AV199" s="833"/>
      <c r="AW199" s="833"/>
      <c r="AX199" s="833"/>
      <c r="AY199" s="833"/>
      <c r="AZ199" s="833"/>
      <c r="BA199" s="833"/>
      <c r="BB199" s="833"/>
      <c r="BC199" s="833"/>
      <c r="BD199" s="833"/>
      <c r="BE199" s="833"/>
      <c r="BF199" s="833"/>
      <c r="BG199" s="833"/>
      <c r="BH199" s="833"/>
      <c r="BI199" s="833"/>
      <c r="BJ199" s="833"/>
      <c r="BK199" s="833"/>
    </row>
    <row r="200" spans="2:63" x14ac:dyDescent="0.2">
      <c r="B200" s="869" t="s">
        <v>694</v>
      </c>
      <c r="C200" s="1687"/>
      <c r="D200" s="1051" t="s">
        <v>331</v>
      </c>
      <c r="E200" s="853" t="s">
        <v>14</v>
      </c>
      <c r="F200" s="1016"/>
      <c r="G200" s="1016"/>
      <c r="H200" s="1058" t="s">
        <v>217</v>
      </c>
      <c r="I200" s="1055">
        <v>1</v>
      </c>
      <c r="J200" s="1059">
        <v>100</v>
      </c>
      <c r="K200" s="1055">
        <v>2</v>
      </c>
      <c r="L200" s="1060">
        <f t="shared" si="15"/>
        <v>200</v>
      </c>
      <c r="M200" s="844"/>
      <c r="N200" s="859"/>
      <c r="O200" s="859"/>
      <c r="P200" s="1057">
        <v>250.62857142857143</v>
      </c>
      <c r="Q200" s="257">
        <f t="shared" si="16"/>
        <v>5.7142857142857141E-2</v>
      </c>
      <c r="R200" s="988"/>
      <c r="S200" s="844"/>
      <c r="T200" s="844"/>
      <c r="U200" s="844"/>
      <c r="V200" s="844"/>
      <c r="W200" s="844"/>
      <c r="X200" s="844"/>
      <c r="Y200" s="844"/>
      <c r="Z200" s="844"/>
      <c r="AA200" s="844"/>
      <c r="AB200" s="833"/>
      <c r="AC200" s="833"/>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3"/>
      <c r="AY200" s="833"/>
      <c r="AZ200" s="833"/>
      <c r="BA200" s="833"/>
      <c r="BB200" s="833"/>
      <c r="BC200" s="833"/>
      <c r="BD200" s="833"/>
      <c r="BE200" s="833"/>
      <c r="BF200" s="833"/>
      <c r="BG200" s="833"/>
      <c r="BH200" s="833"/>
      <c r="BI200" s="833"/>
      <c r="BJ200" s="833"/>
      <c r="BK200" s="833"/>
    </row>
    <row r="201" spans="2:63" x14ac:dyDescent="0.2">
      <c r="B201" s="869" t="s">
        <v>694</v>
      </c>
      <c r="C201" s="1687"/>
      <c r="D201" s="1051" t="s">
        <v>332</v>
      </c>
      <c r="E201" s="853" t="s">
        <v>14</v>
      </c>
      <c r="F201" s="1016"/>
      <c r="G201" s="1016"/>
      <c r="H201" s="1058" t="s">
        <v>217</v>
      </c>
      <c r="I201" s="1055">
        <v>1</v>
      </c>
      <c r="J201" s="1059">
        <v>100</v>
      </c>
      <c r="K201" s="1055">
        <v>2</v>
      </c>
      <c r="L201" s="1060">
        <f t="shared" si="15"/>
        <v>200</v>
      </c>
      <c r="M201" s="844"/>
      <c r="N201" s="859"/>
      <c r="O201" s="859"/>
      <c r="P201" s="1057">
        <v>250.62857142857143</v>
      </c>
      <c r="Q201" s="257">
        <f t="shared" si="16"/>
        <v>5.7142857142857141E-2</v>
      </c>
      <c r="R201" s="988"/>
      <c r="S201" s="844"/>
      <c r="T201" s="844"/>
      <c r="U201" s="844"/>
      <c r="V201" s="844"/>
      <c r="W201" s="844"/>
      <c r="X201" s="844"/>
      <c r="Y201" s="844"/>
      <c r="Z201" s="844"/>
      <c r="AA201" s="844"/>
      <c r="AB201" s="833"/>
      <c r="AC201" s="833"/>
      <c r="AD201" s="833"/>
      <c r="AE201" s="833"/>
      <c r="AF201" s="833"/>
      <c r="AG201" s="833"/>
      <c r="AH201" s="833"/>
      <c r="AI201" s="833"/>
      <c r="AJ201" s="833"/>
      <c r="AK201" s="833"/>
      <c r="AL201" s="833"/>
      <c r="AM201" s="833"/>
      <c r="AN201" s="833"/>
      <c r="AO201" s="833"/>
      <c r="AP201" s="833"/>
      <c r="AQ201" s="833"/>
      <c r="AR201" s="833"/>
      <c r="AS201" s="833"/>
      <c r="AT201" s="833"/>
      <c r="AU201" s="833"/>
      <c r="AV201" s="833"/>
      <c r="AW201" s="833"/>
      <c r="AX201" s="833"/>
      <c r="AY201" s="833"/>
      <c r="AZ201" s="833"/>
      <c r="BA201" s="833"/>
      <c r="BB201" s="833"/>
      <c r="BC201" s="833"/>
      <c r="BD201" s="833"/>
      <c r="BE201" s="833"/>
      <c r="BF201" s="833"/>
      <c r="BG201" s="833"/>
      <c r="BH201" s="833"/>
      <c r="BI201" s="833"/>
      <c r="BJ201" s="833"/>
      <c r="BK201" s="833"/>
    </row>
    <row r="202" spans="2:63" x14ac:dyDescent="0.2">
      <c r="B202" s="869" t="s">
        <v>693</v>
      </c>
      <c r="C202" s="1687"/>
      <c r="D202" s="1051" t="s">
        <v>333</v>
      </c>
      <c r="E202" s="853" t="s">
        <v>12</v>
      </c>
      <c r="F202" s="1016"/>
      <c r="G202" s="1016"/>
      <c r="H202" s="1052" t="s">
        <v>217</v>
      </c>
      <c r="I202" s="1053">
        <v>1</v>
      </c>
      <c r="J202" s="1062">
        <v>360</v>
      </c>
      <c r="K202" s="1055">
        <v>2</v>
      </c>
      <c r="L202" s="1056">
        <f>K202*J202</f>
        <v>720</v>
      </c>
      <c r="M202" s="844"/>
      <c r="N202" s="859"/>
      <c r="O202" s="859"/>
      <c r="P202" s="1057">
        <v>727.0645161290322</v>
      </c>
      <c r="Q202" s="257">
        <f>L202/(3000+720)</f>
        <v>0.19354838709677419</v>
      </c>
      <c r="R202" s="988"/>
      <c r="S202" s="844"/>
      <c r="T202" s="844"/>
      <c r="U202" s="844"/>
      <c r="V202" s="844"/>
      <c r="W202" s="844"/>
      <c r="X202" s="844"/>
      <c r="Y202" s="844"/>
      <c r="Z202" s="844"/>
      <c r="AA202" s="844"/>
      <c r="AB202" s="833"/>
      <c r="AC202" s="833"/>
      <c r="AD202" s="833"/>
      <c r="AE202" s="833"/>
      <c r="AF202" s="833"/>
      <c r="AG202" s="833"/>
      <c r="AH202" s="833"/>
      <c r="AI202" s="833"/>
      <c r="AJ202" s="833"/>
      <c r="AK202" s="833"/>
      <c r="AL202" s="833"/>
      <c r="AM202" s="833"/>
      <c r="AN202" s="833"/>
      <c r="AO202" s="833"/>
      <c r="AP202" s="833"/>
      <c r="AQ202" s="833"/>
      <c r="AR202" s="833"/>
      <c r="AS202" s="833"/>
      <c r="AT202" s="833"/>
      <c r="AU202" s="833"/>
      <c r="AV202" s="833"/>
      <c r="AW202" s="833"/>
      <c r="AX202" s="833"/>
      <c r="AY202" s="833"/>
      <c r="AZ202" s="833"/>
      <c r="BA202" s="833"/>
      <c r="BB202" s="833"/>
      <c r="BC202" s="833"/>
      <c r="BD202" s="833"/>
      <c r="BE202" s="833"/>
      <c r="BF202" s="833"/>
      <c r="BG202" s="833"/>
      <c r="BH202" s="833"/>
      <c r="BI202" s="833"/>
      <c r="BJ202" s="833"/>
      <c r="BK202" s="833"/>
    </row>
    <row r="203" spans="2:63" x14ac:dyDescent="0.2">
      <c r="B203" s="1063"/>
      <c r="C203" s="1687"/>
      <c r="D203" s="1064" t="s">
        <v>246</v>
      </c>
      <c r="E203" s="1065"/>
      <c r="F203" s="1065"/>
      <c r="G203" s="1065"/>
      <c r="H203" s="1066" t="s">
        <v>246</v>
      </c>
      <c r="I203" s="1064"/>
      <c r="J203" s="1064"/>
      <c r="K203" s="1064"/>
      <c r="L203" s="1067">
        <f>SUM(L193:L202)</f>
        <v>7420</v>
      </c>
      <c r="M203" s="873">
        <v>50</v>
      </c>
      <c r="N203" s="874">
        <f>L203*M203/100</f>
        <v>3710</v>
      </c>
      <c r="O203" s="874"/>
      <c r="P203" s="1068">
        <f>SUM(P193:P202)</f>
        <v>8415.7099999999991</v>
      </c>
      <c r="Q203" s="1006">
        <f>P203/L203</f>
        <v>1.1341927223719674</v>
      </c>
      <c r="R203" s="906"/>
      <c r="S203" s="844"/>
      <c r="T203" s="844"/>
      <c r="U203" s="844"/>
      <c r="V203" s="844"/>
      <c r="W203" s="844"/>
      <c r="X203" s="844"/>
      <c r="Y203" s="844"/>
      <c r="Z203" s="844"/>
      <c r="AA203" s="878" t="s">
        <v>695</v>
      </c>
      <c r="AB203" s="833"/>
      <c r="AC203" s="833"/>
      <c r="AD203" s="833"/>
      <c r="AE203" s="833"/>
      <c r="AF203" s="833"/>
      <c r="AG203" s="833"/>
      <c r="AH203" s="833"/>
      <c r="AI203" s="833"/>
      <c r="AJ203" s="833"/>
      <c r="AK203" s="833"/>
      <c r="AL203" s="833"/>
      <c r="AM203" s="833"/>
      <c r="AN203" s="833"/>
      <c r="AO203" s="833"/>
      <c r="AP203" s="833"/>
      <c r="AQ203" s="833"/>
      <c r="AR203" s="833"/>
      <c r="AS203" s="833"/>
      <c r="AT203" s="833"/>
      <c r="AU203" s="833"/>
      <c r="AV203" s="833"/>
      <c r="AW203" s="833"/>
      <c r="AX203" s="833"/>
      <c r="AY203" s="833"/>
      <c r="AZ203" s="833"/>
      <c r="BA203" s="833"/>
      <c r="BB203" s="833"/>
      <c r="BC203" s="833"/>
      <c r="BD203" s="833"/>
      <c r="BE203" s="833"/>
      <c r="BF203" s="833"/>
      <c r="BG203" s="833"/>
      <c r="BH203" s="833"/>
      <c r="BI203" s="833"/>
      <c r="BJ203" s="833"/>
      <c r="BK203" s="833"/>
    </row>
    <row r="204" spans="2:63" x14ac:dyDescent="0.2">
      <c r="C204" s="1687"/>
      <c r="D204" s="847" t="s">
        <v>334</v>
      </c>
      <c r="E204" s="848"/>
      <c r="F204" s="848"/>
      <c r="G204" s="848"/>
      <c r="H204" s="848"/>
      <c r="I204" s="848"/>
      <c r="J204" s="848"/>
      <c r="K204" s="848"/>
      <c r="L204" s="849"/>
      <c r="M204" s="844"/>
      <c r="N204" s="859"/>
      <c r="O204" s="859"/>
      <c r="P204" s="987"/>
      <c r="Q204" s="844"/>
      <c r="R204" s="988"/>
      <c r="S204" s="844"/>
      <c r="T204" s="844"/>
      <c r="U204" s="844"/>
      <c r="V204" s="844"/>
      <c r="W204" s="844"/>
      <c r="X204" s="844"/>
      <c r="Y204" s="844"/>
      <c r="Z204" s="844"/>
      <c r="AA204" s="844"/>
      <c r="AB204" s="833"/>
      <c r="AC204" s="833"/>
      <c r="AD204" s="833"/>
      <c r="AE204" s="833"/>
      <c r="AF204" s="833"/>
      <c r="AG204" s="833"/>
      <c r="AH204" s="833"/>
      <c r="AI204" s="833"/>
      <c r="AJ204" s="833"/>
      <c r="AK204" s="833"/>
      <c r="AL204" s="833"/>
      <c r="AM204" s="833"/>
      <c r="AN204" s="833"/>
      <c r="AO204" s="833"/>
      <c r="AP204" s="833"/>
      <c r="AQ204" s="833"/>
      <c r="AR204" s="833"/>
      <c r="AS204" s="833"/>
      <c r="AT204" s="833"/>
      <c r="AU204" s="833"/>
      <c r="AV204" s="833"/>
      <c r="AW204" s="833"/>
      <c r="AX204" s="833"/>
      <c r="AY204" s="833"/>
      <c r="AZ204" s="833"/>
      <c r="BA204" s="833"/>
      <c r="BB204" s="833"/>
      <c r="BC204" s="833"/>
      <c r="BD204" s="833"/>
      <c r="BE204" s="833"/>
      <c r="BF204" s="833"/>
      <c r="BG204" s="833"/>
      <c r="BH204" s="833"/>
      <c r="BI204" s="833"/>
      <c r="BJ204" s="833"/>
      <c r="BK204" s="833"/>
    </row>
    <row r="205" spans="2:63" ht="38.25" x14ac:dyDescent="0.2">
      <c r="B205" s="869" t="s">
        <v>696</v>
      </c>
      <c r="C205" s="1687"/>
      <c r="D205" s="1069" t="s">
        <v>335</v>
      </c>
      <c r="E205" s="853" t="s">
        <v>14</v>
      </c>
      <c r="F205" s="1016"/>
      <c r="G205" s="1016"/>
      <c r="H205" s="1058" t="s">
        <v>217</v>
      </c>
      <c r="I205" s="1055">
        <v>1</v>
      </c>
      <c r="J205" s="1070">
        <v>200</v>
      </c>
      <c r="K205" s="1055">
        <v>1</v>
      </c>
      <c r="L205" s="1060">
        <f t="shared" ref="L205:L213" si="17">K205*J205*I205</f>
        <v>200</v>
      </c>
      <c r="M205" s="844"/>
      <c r="N205" s="859"/>
      <c r="O205" s="859"/>
      <c r="P205" s="1057">
        <v>720</v>
      </c>
      <c r="Q205" s="257">
        <f>L205/3500</f>
        <v>5.7142857142857141E-2</v>
      </c>
      <c r="R205" s="988"/>
      <c r="S205" s="844"/>
      <c r="T205" s="844"/>
      <c r="U205" s="844"/>
      <c r="V205" s="844"/>
      <c r="W205" s="844"/>
      <c r="X205" s="844"/>
      <c r="Y205" s="844"/>
      <c r="Z205" s="844"/>
      <c r="AA205" s="844"/>
      <c r="AB205" s="833"/>
      <c r="AC205" s="833"/>
      <c r="AD205" s="833"/>
      <c r="AE205" s="833"/>
      <c r="AF205" s="833"/>
      <c r="AG205" s="833"/>
      <c r="AH205" s="833"/>
      <c r="AI205" s="833"/>
      <c r="AJ205" s="833"/>
      <c r="AK205" s="833"/>
      <c r="AL205" s="833"/>
      <c r="AM205" s="833"/>
      <c r="AN205" s="833"/>
      <c r="AO205" s="833"/>
      <c r="AP205" s="833"/>
      <c r="AQ205" s="833"/>
      <c r="AR205" s="833"/>
      <c r="AS205" s="833"/>
      <c r="AT205" s="833"/>
      <c r="AU205" s="833"/>
      <c r="AV205" s="833"/>
      <c r="AW205" s="833"/>
      <c r="AX205" s="833"/>
      <c r="AY205" s="833"/>
      <c r="AZ205" s="833"/>
      <c r="BA205" s="833"/>
      <c r="BB205" s="833"/>
      <c r="BC205" s="833"/>
      <c r="BD205" s="833"/>
      <c r="BE205" s="833"/>
      <c r="BF205" s="833"/>
      <c r="BG205" s="833"/>
      <c r="BH205" s="833"/>
      <c r="BI205" s="833"/>
      <c r="BJ205" s="833"/>
      <c r="BK205" s="833"/>
    </row>
    <row r="206" spans="2:63" x14ac:dyDescent="0.2">
      <c r="B206" s="869" t="s">
        <v>697</v>
      </c>
      <c r="C206" s="1687"/>
      <c r="D206" s="1051" t="s">
        <v>336</v>
      </c>
      <c r="E206" s="1021" t="s">
        <v>13</v>
      </c>
      <c r="F206" s="1071"/>
      <c r="G206" s="1071"/>
      <c r="H206" s="1058" t="s">
        <v>217</v>
      </c>
      <c r="I206" s="1053">
        <v>5</v>
      </c>
      <c r="J206" s="1059">
        <v>100</v>
      </c>
      <c r="K206" s="1055">
        <v>5</v>
      </c>
      <c r="L206" s="1060">
        <f t="shared" si="17"/>
        <v>2500</v>
      </c>
      <c r="M206" s="844"/>
      <c r="N206" s="859"/>
      <c r="O206" s="859"/>
      <c r="P206" s="1057">
        <v>3983</v>
      </c>
      <c r="Q206" s="257">
        <f t="shared" ref="Q206:Q207" si="18">L206/3500</f>
        <v>0.7142857142857143</v>
      </c>
      <c r="R206" s="988"/>
      <c r="S206" s="844"/>
      <c r="T206" s="844"/>
      <c r="U206" s="844"/>
      <c r="V206" s="844"/>
      <c r="W206" s="844"/>
      <c r="X206" s="844"/>
      <c r="Y206" s="844"/>
      <c r="Z206" s="844"/>
      <c r="AA206" s="844"/>
      <c r="AB206" s="833"/>
      <c r="AC206" s="833"/>
      <c r="AD206" s="833"/>
      <c r="AE206" s="833"/>
      <c r="AF206" s="833"/>
      <c r="AG206" s="833"/>
      <c r="AH206" s="833"/>
      <c r="AI206" s="833"/>
      <c r="AJ206" s="833"/>
      <c r="AK206" s="833"/>
      <c r="AL206" s="833"/>
      <c r="AM206" s="833"/>
      <c r="AN206" s="833"/>
      <c r="AO206" s="833"/>
      <c r="AP206" s="833"/>
      <c r="AQ206" s="833"/>
      <c r="AR206" s="833"/>
      <c r="AS206" s="833"/>
      <c r="AT206" s="833"/>
      <c r="AU206" s="833"/>
      <c r="AV206" s="833"/>
      <c r="AW206" s="833"/>
      <c r="AX206" s="833"/>
      <c r="AY206" s="833"/>
      <c r="AZ206" s="833"/>
      <c r="BA206" s="833"/>
      <c r="BB206" s="833"/>
      <c r="BC206" s="833"/>
      <c r="BD206" s="833"/>
      <c r="BE206" s="833"/>
      <c r="BF206" s="833"/>
      <c r="BG206" s="833"/>
      <c r="BH206" s="833"/>
      <c r="BI206" s="833"/>
      <c r="BJ206" s="833"/>
      <c r="BK206" s="833"/>
    </row>
    <row r="207" spans="2:63" x14ac:dyDescent="0.2">
      <c r="B207" s="869" t="s">
        <v>698</v>
      </c>
      <c r="C207" s="1687"/>
      <c r="D207" s="1051" t="s">
        <v>337</v>
      </c>
      <c r="E207" s="1021" t="s">
        <v>14</v>
      </c>
      <c r="F207" s="1071"/>
      <c r="G207" s="1071"/>
      <c r="H207" s="1058" t="s">
        <v>217</v>
      </c>
      <c r="I207" s="1055">
        <v>400</v>
      </c>
      <c r="J207" s="1059">
        <v>1</v>
      </c>
      <c r="K207" s="1055">
        <v>2</v>
      </c>
      <c r="L207" s="1060">
        <f t="shared" si="17"/>
        <v>800</v>
      </c>
      <c r="M207" s="844"/>
      <c r="N207" s="859"/>
      <c r="O207" s="859"/>
      <c r="P207" s="1057">
        <v>1120</v>
      </c>
      <c r="Q207" s="257">
        <f t="shared" si="18"/>
        <v>0.22857142857142856</v>
      </c>
      <c r="R207" s="988"/>
      <c r="S207" s="844"/>
      <c r="T207" s="844"/>
      <c r="U207" s="844"/>
      <c r="V207" s="844"/>
      <c r="W207" s="844"/>
      <c r="X207" s="844"/>
      <c r="Y207" s="844"/>
      <c r="Z207" s="844"/>
      <c r="AA207" s="844"/>
      <c r="AB207" s="833"/>
      <c r="AC207" s="833"/>
      <c r="AD207" s="833"/>
      <c r="AE207" s="833"/>
      <c r="AF207" s="833"/>
      <c r="AG207" s="833"/>
      <c r="AH207" s="833"/>
      <c r="AI207" s="833"/>
      <c r="AJ207" s="833"/>
      <c r="AK207" s="833"/>
      <c r="AL207" s="833"/>
      <c r="AM207" s="833"/>
      <c r="AN207" s="833"/>
      <c r="AO207" s="833"/>
      <c r="AP207" s="833"/>
      <c r="AQ207" s="833"/>
      <c r="AR207" s="833"/>
      <c r="AS207" s="833"/>
      <c r="AT207" s="833"/>
      <c r="AU207" s="833"/>
      <c r="AV207" s="833"/>
      <c r="AW207" s="833"/>
      <c r="AX207" s="833"/>
      <c r="AY207" s="833"/>
      <c r="AZ207" s="833"/>
      <c r="BA207" s="833"/>
      <c r="BB207" s="833"/>
      <c r="BC207" s="833"/>
      <c r="BD207" s="833"/>
      <c r="BE207" s="833"/>
      <c r="BF207" s="833"/>
      <c r="BG207" s="833"/>
      <c r="BH207" s="833"/>
      <c r="BI207" s="833"/>
      <c r="BJ207" s="833"/>
      <c r="BK207" s="833"/>
    </row>
    <row r="208" spans="2:63" x14ac:dyDescent="0.2">
      <c r="B208" s="869" t="s">
        <v>699</v>
      </c>
      <c r="C208" s="1687"/>
      <c r="D208" s="1051" t="s">
        <v>338</v>
      </c>
      <c r="E208" s="1021" t="s">
        <v>14</v>
      </c>
      <c r="F208" s="1071"/>
      <c r="G208" s="1071"/>
      <c r="H208" s="1058" t="s">
        <v>217</v>
      </c>
      <c r="I208" s="1055">
        <v>3</v>
      </c>
      <c r="J208" s="1059">
        <v>100</v>
      </c>
      <c r="K208" s="1055">
        <v>2</v>
      </c>
      <c r="L208" s="1060">
        <f t="shared" si="17"/>
        <v>600</v>
      </c>
      <c r="M208" s="844"/>
      <c r="N208" s="859"/>
      <c r="O208" s="859"/>
      <c r="P208" s="1057">
        <v>591.7619047619047</v>
      </c>
      <c r="Q208" s="257">
        <f>L208/2520</f>
        <v>0.23809523809523808</v>
      </c>
      <c r="R208" s="988"/>
      <c r="S208" s="844"/>
      <c r="T208" s="844"/>
      <c r="U208" s="844"/>
      <c r="V208" s="844"/>
      <c r="W208" s="844"/>
      <c r="X208" s="844"/>
      <c r="Y208" s="844"/>
      <c r="Z208" s="844"/>
      <c r="AA208" s="844"/>
      <c r="AB208" s="833"/>
      <c r="AC208" s="833"/>
      <c r="AD208" s="833"/>
      <c r="AE208" s="833"/>
      <c r="AF208" s="833"/>
      <c r="AG208" s="833"/>
      <c r="AH208" s="833"/>
      <c r="AI208" s="833"/>
      <c r="AJ208" s="833"/>
      <c r="AK208" s="833"/>
      <c r="AL208" s="833"/>
      <c r="AM208" s="833"/>
      <c r="AN208" s="833"/>
      <c r="AO208" s="833"/>
      <c r="AP208" s="833"/>
      <c r="AQ208" s="833"/>
      <c r="AR208" s="833"/>
      <c r="AS208" s="833"/>
      <c r="AT208" s="833"/>
      <c r="AU208" s="833"/>
      <c r="AV208" s="833"/>
      <c r="AW208" s="833"/>
      <c r="AX208" s="833"/>
      <c r="AY208" s="833"/>
      <c r="AZ208" s="833"/>
      <c r="BA208" s="833"/>
      <c r="BB208" s="833"/>
      <c r="BC208" s="833"/>
      <c r="BD208" s="833"/>
      <c r="BE208" s="833"/>
      <c r="BF208" s="833"/>
      <c r="BG208" s="833"/>
      <c r="BH208" s="833"/>
      <c r="BI208" s="833"/>
      <c r="BJ208" s="833"/>
      <c r="BK208" s="833"/>
    </row>
    <row r="209" spans="2:63" ht="38.25" x14ac:dyDescent="0.2">
      <c r="B209" s="869" t="s">
        <v>699</v>
      </c>
      <c r="C209" s="1687"/>
      <c r="D209" s="1069" t="s">
        <v>339</v>
      </c>
      <c r="E209" s="1021" t="s">
        <v>14</v>
      </c>
      <c r="F209" s="1071"/>
      <c r="G209" s="1071"/>
      <c r="H209" s="1058" t="s">
        <v>217</v>
      </c>
      <c r="I209" s="1055">
        <v>30</v>
      </c>
      <c r="J209" s="1059">
        <v>10</v>
      </c>
      <c r="K209" s="1055">
        <v>2</v>
      </c>
      <c r="L209" s="1060">
        <f t="shared" si="17"/>
        <v>600</v>
      </c>
      <c r="M209" s="844"/>
      <c r="N209" s="859"/>
      <c r="O209" s="859"/>
      <c r="P209" s="1057">
        <v>591.7619047619047</v>
      </c>
      <c r="Q209" s="257">
        <f t="shared" ref="Q209:Q214" si="19">L209/2520</f>
        <v>0.23809523809523808</v>
      </c>
      <c r="R209" s="988"/>
      <c r="S209" s="844"/>
      <c r="T209" s="844"/>
      <c r="U209" s="844"/>
      <c r="V209" s="844"/>
      <c r="W209" s="844"/>
      <c r="X209" s="844"/>
      <c r="Y209" s="844"/>
      <c r="Z209" s="844"/>
      <c r="AA209" s="844"/>
      <c r="AB209" s="833"/>
      <c r="AC209" s="833"/>
      <c r="AD209" s="833"/>
      <c r="AE209" s="833"/>
      <c r="AF209" s="833"/>
      <c r="AG209" s="833"/>
      <c r="AH209" s="833"/>
      <c r="AI209" s="833"/>
      <c r="AJ209" s="833"/>
      <c r="AK209" s="833"/>
      <c r="AL209" s="833"/>
      <c r="AM209" s="833"/>
      <c r="AN209" s="833"/>
      <c r="AO209" s="833"/>
      <c r="AP209" s="833"/>
      <c r="AQ209" s="833"/>
      <c r="AR209" s="833"/>
      <c r="AS209" s="833"/>
      <c r="AT209" s="833"/>
      <c r="AU209" s="833"/>
      <c r="AV209" s="833"/>
      <c r="AW209" s="833"/>
      <c r="AX209" s="833"/>
      <c r="AY209" s="833"/>
      <c r="AZ209" s="833"/>
      <c r="BA209" s="833"/>
      <c r="BB209" s="833"/>
      <c r="BC209" s="833"/>
      <c r="BD209" s="833"/>
      <c r="BE209" s="833"/>
      <c r="BF209" s="833"/>
      <c r="BG209" s="833"/>
      <c r="BH209" s="833"/>
      <c r="BI209" s="833"/>
      <c r="BJ209" s="833"/>
      <c r="BK209" s="833"/>
    </row>
    <row r="210" spans="2:63" x14ac:dyDescent="0.2">
      <c r="B210" s="869" t="s">
        <v>699</v>
      </c>
      <c r="C210" s="1687"/>
      <c r="D210" s="1051" t="s">
        <v>340</v>
      </c>
      <c r="E210" s="1021" t="s">
        <v>12</v>
      </c>
      <c r="F210" s="1071"/>
      <c r="G210" s="1071"/>
      <c r="H210" s="1052" t="s">
        <v>217</v>
      </c>
      <c r="I210" s="1053">
        <v>40</v>
      </c>
      <c r="J210" s="1054">
        <v>20</v>
      </c>
      <c r="K210" s="1055">
        <v>1</v>
      </c>
      <c r="L210" s="1060">
        <f t="shared" si="17"/>
        <v>800</v>
      </c>
      <c r="M210" s="844"/>
      <c r="N210" s="859"/>
      <c r="O210" s="859"/>
      <c r="P210" s="1057">
        <v>789.01587301587301</v>
      </c>
      <c r="Q210" s="257">
        <f t="shared" si="19"/>
        <v>0.31746031746031744</v>
      </c>
      <c r="R210" s="988"/>
      <c r="S210" s="844"/>
      <c r="T210" s="844"/>
      <c r="U210" s="844"/>
      <c r="V210" s="844"/>
      <c r="W210" s="844"/>
      <c r="X210" s="844"/>
      <c r="Y210" s="844"/>
      <c r="Z210" s="844"/>
      <c r="AA210" s="844"/>
      <c r="AB210" s="833"/>
      <c r="AC210" s="833"/>
      <c r="AD210" s="833"/>
      <c r="AE210" s="833"/>
      <c r="AF210" s="833"/>
      <c r="AG210" s="833"/>
      <c r="AH210" s="833"/>
      <c r="AI210" s="833"/>
      <c r="AJ210" s="833"/>
      <c r="AK210" s="833"/>
      <c r="AL210" s="833"/>
      <c r="AM210" s="833"/>
      <c r="AN210" s="833"/>
      <c r="AO210" s="833"/>
      <c r="AP210" s="833"/>
      <c r="AQ210" s="833"/>
      <c r="AR210" s="833"/>
      <c r="AS210" s="833"/>
      <c r="AT210" s="833"/>
      <c r="AU210" s="833"/>
      <c r="AV210" s="833"/>
      <c r="AW210" s="833"/>
      <c r="AX210" s="833"/>
      <c r="AY210" s="833"/>
      <c r="AZ210" s="833"/>
      <c r="BA210" s="833"/>
      <c r="BB210" s="833"/>
      <c r="BC210" s="833"/>
      <c r="BD210" s="833"/>
      <c r="BE210" s="833"/>
      <c r="BF210" s="833"/>
      <c r="BG210" s="833"/>
      <c r="BH210" s="833"/>
      <c r="BI210" s="833"/>
      <c r="BJ210" s="833"/>
      <c r="BK210" s="833"/>
    </row>
    <row r="211" spans="2:63" x14ac:dyDescent="0.2">
      <c r="B211" s="869" t="s">
        <v>699</v>
      </c>
      <c r="C211" s="1687"/>
      <c r="D211" s="1051" t="s">
        <v>61</v>
      </c>
      <c r="E211" s="1021" t="s">
        <v>14</v>
      </c>
      <c r="F211" s="1071"/>
      <c r="G211" s="1071"/>
      <c r="H211" s="1058" t="s">
        <v>217</v>
      </c>
      <c r="I211" s="1055">
        <v>1</v>
      </c>
      <c r="J211" s="1059">
        <v>100</v>
      </c>
      <c r="K211" s="1055">
        <v>2</v>
      </c>
      <c r="L211" s="1060">
        <f t="shared" si="17"/>
        <v>200</v>
      </c>
      <c r="M211" s="844"/>
      <c r="N211" s="859"/>
      <c r="O211" s="859"/>
      <c r="P211" s="1057">
        <v>197.25396825396825</v>
      </c>
      <c r="Q211" s="257">
        <f t="shared" si="19"/>
        <v>7.9365079365079361E-2</v>
      </c>
      <c r="R211" s="988"/>
      <c r="S211" s="844"/>
      <c r="T211" s="844"/>
      <c r="U211" s="844"/>
      <c r="V211" s="844"/>
      <c r="W211" s="844"/>
      <c r="X211" s="844"/>
      <c r="Y211" s="844"/>
      <c r="Z211" s="844"/>
      <c r="AA211" s="844"/>
      <c r="AB211" s="833"/>
      <c r="AC211" s="833"/>
      <c r="AD211" s="833"/>
      <c r="AE211" s="833"/>
      <c r="AF211" s="833"/>
      <c r="AG211" s="833"/>
      <c r="AH211" s="833"/>
      <c r="AI211" s="833"/>
      <c r="AJ211" s="833"/>
      <c r="AK211" s="833"/>
      <c r="AL211" s="833"/>
      <c r="AM211" s="833"/>
      <c r="AN211" s="833"/>
      <c r="AO211" s="833"/>
      <c r="AP211" s="833"/>
      <c r="AQ211" s="833"/>
      <c r="AR211" s="833"/>
      <c r="AS211" s="833"/>
      <c r="AT211" s="833"/>
      <c r="AU211" s="833"/>
      <c r="AV211" s="833"/>
      <c r="AW211" s="833"/>
      <c r="AX211" s="833"/>
      <c r="AY211" s="833"/>
      <c r="AZ211" s="833"/>
      <c r="BA211" s="833"/>
      <c r="BB211" s="833"/>
      <c r="BC211" s="833"/>
      <c r="BD211" s="833"/>
      <c r="BE211" s="833"/>
      <c r="BF211" s="833"/>
      <c r="BG211" s="833"/>
      <c r="BH211" s="833"/>
      <c r="BI211" s="833"/>
      <c r="BJ211" s="833"/>
      <c r="BK211" s="833"/>
    </row>
    <row r="212" spans="2:63" x14ac:dyDescent="0.2">
      <c r="B212" s="869" t="s">
        <v>699</v>
      </c>
      <c r="C212" s="852"/>
      <c r="D212" s="1051" t="s">
        <v>341</v>
      </c>
      <c r="E212" s="1021" t="s">
        <v>33</v>
      </c>
      <c r="F212" s="1071"/>
      <c r="G212" s="1071"/>
      <c r="H212" s="1058" t="s">
        <v>217</v>
      </c>
      <c r="I212" s="1055">
        <v>1</v>
      </c>
      <c r="J212" s="1059">
        <v>100</v>
      </c>
      <c r="K212" s="1055">
        <v>2</v>
      </c>
      <c r="L212" s="1060">
        <f t="shared" si="17"/>
        <v>200</v>
      </c>
      <c r="M212" s="844"/>
      <c r="N212" s="859"/>
      <c r="O212" s="859"/>
      <c r="P212" s="1057">
        <v>197.25396825396825</v>
      </c>
      <c r="Q212" s="257">
        <f t="shared" si="19"/>
        <v>7.9365079365079361E-2</v>
      </c>
      <c r="R212" s="988"/>
      <c r="S212" s="844"/>
      <c r="T212" s="844"/>
      <c r="U212" s="844"/>
      <c r="V212" s="844"/>
      <c r="W212" s="844"/>
      <c r="X212" s="844"/>
      <c r="Y212" s="844"/>
      <c r="Z212" s="844"/>
      <c r="AA212" s="844"/>
      <c r="AB212" s="833"/>
      <c r="AC212" s="833"/>
      <c r="AD212" s="833"/>
      <c r="AE212" s="833"/>
      <c r="AF212" s="833"/>
      <c r="AG212" s="833"/>
      <c r="AH212" s="833"/>
      <c r="AI212" s="833"/>
      <c r="AJ212" s="833"/>
      <c r="AK212" s="833"/>
      <c r="AL212" s="833"/>
      <c r="AM212" s="833"/>
      <c r="AN212" s="833"/>
      <c r="AO212" s="833"/>
      <c r="AP212" s="833"/>
      <c r="AQ212" s="833"/>
      <c r="AR212" s="833"/>
      <c r="AS212" s="833"/>
      <c r="AT212" s="833"/>
      <c r="AU212" s="833"/>
      <c r="AV212" s="833"/>
      <c r="AW212" s="833"/>
      <c r="AX212" s="833"/>
      <c r="AY212" s="833"/>
      <c r="AZ212" s="833"/>
      <c r="BA212" s="833"/>
      <c r="BB212" s="833"/>
      <c r="BC212" s="833"/>
      <c r="BD212" s="833"/>
      <c r="BE212" s="833"/>
      <c r="BF212" s="833"/>
      <c r="BG212" s="833"/>
      <c r="BH212" s="833"/>
      <c r="BI212" s="833"/>
      <c r="BJ212" s="833"/>
      <c r="BK212" s="833"/>
    </row>
    <row r="213" spans="2:63" x14ac:dyDescent="0.2">
      <c r="B213" s="869" t="s">
        <v>699</v>
      </c>
      <c r="C213" s="852"/>
      <c r="D213" s="1051" t="s">
        <v>342</v>
      </c>
      <c r="E213" s="1021" t="s">
        <v>14</v>
      </c>
      <c r="F213" s="1071"/>
      <c r="G213" s="1071"/>
      <c r="H213" s="1058" t="s">
        <v>217</v>
      </c>
      <c r="I213" s="1055">
        <v>1</v>
      </c>
      <c r="J213" s="1070">
        <v>60</v>
      </c>
      <c r="K213" s="1055">
        <v>2</v>
      </c>
      <c r="L213" s="1060">
        <f t="shared" si="17"/>
        <v>120</v>
      </c>
      <c r="M213" s="844"/>
      <c r="N213" s="859"/>
      <c r="O213" s="859"/>
      <c r="P213" s="1057">
        <v>118.35238095238095</v>
      </c>
      <c r="Q213" s="257">
        <f t="shared" si="19"/>
        <v>4.7619047619047616E-2</v>
      </c>
      <c r="R213" s="988"/>
      <c r="S213" s="844"/>
      <c r="T213" s="844"/>
      <c r="U213" s="844"/>
      <c r="V213" s="844"/>
      <c r="W213" s="844"/>
      <c r="X213" s="844"/>
      <c r="Y213" s="844"/>
      <c r="Z213" s="844"/>
      <c r="AA213" s="844"/>
      <c r="AB213" s="833"/>
      <c r="AC213" s="833"/>
      <c r="AD213" s="833"/>
      <c r="AE213" s="833"/>
      <c r="AF213" s="833"/>
      <c r="AG213" s="833"/>
      <c r="AH213" s="833"/>
      <c r="AI213" s="833"/>
      <c r="AJ213" s="833"/>
      <c r="AK213" s="833"/>
      <c r="AL213" s="833"/>
      <c r="AM213" s="833"/>
      <c r="AN213" s="833"/>
      <c r="AO213" s="833"/>
      <c r="AP213" s="833"/>
      <c r="AQ213" s="833"/>
      <c r="AR213" s="833"/>
      <c r="AS213" s="833"/>
      <c r="AT213" s="833"/>
      <c r="AU213" s="833"/>
      <c r="AV213" s="833"/>
      <c r="AW213" s="833"/>
      <c r="AX213" s="833"/>
      <c r="AY213" s="833"/>
      <c r="AZ213" s="833"/>
      <c r="BA213" s="833"/>
      <c r="BB213" s="833"/>
      <c r="BC213" s="833"/>
      <c r="BD213" s="833"/>
      <c r="BE213" s="833"/>
      <c r="BF213" s="833"/>
      <c r="BG213" s="833"/>
      <c r="BH213" s="833"/>
      <c r="BI213" s="833"/>
      <c r="BJ213" s="833"/>
      <c r="BK213" s="833"/>
    </row>
    <row r="214" spans="2:63" ht="15" x14ac:dyDescent="0.25">
      <c r="B214" s="1072"/>
      <c r="C214" s="941"/>
      <c r="D214" s="1073" t="s">
        <v>246</v>
      </c>
      <c r="E214" s="1074"/>
      <c r="F214" s="1074"/>
      <c r="G214" s="1074"/>
      <c r="H214" s="1074"/>
      <c r="I214" s="1074"/>
      <c r="J214" s="1074"/>
      <c r="K214" s="1075"/>
      <c r="L214" s="1076">
        <f>SUM(L205:L213)</f>
        <v>6020</v>
      </c>
      <c r="M214" s="873">
        <v>15</v>
      </c>
      <c r="N214" s="874">
        <f>L214*M214/100</f>
        <v>903</v>
      </c>
      <c r="O214" s="1077"/>
      <c r="P214" s="1078">
        <f>SUM(P205:P213)</f>
        <v>8308.4</v>
      </c>
      <c r="Q214" s="257">
        <f t="shared" si="19"/>
        <v>2.3888888888888888</v>
      </c>
      <c r="R214" s="906"/>
      <c r="S214" s="844"/>
      <c r="T214" s="844"/>
      <c r="U214" s="844"/>
      <c r="V214" s="844"/>
      <c r="W214" s="844"/>
      <c r="X214" s="844"/>
      <c r="Y214" s="844"/>
      <c r="Z214" s="844"/>
      <c r="AA214" s="960" t="s">
        <v>700</v>
      </c>
      <c r="AB214" s="833"/>
      <c r="AC214" s="833"/>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3"/>
      <c r="AY214" s="833"/>
      <c r="AZ214" s="833"/>
      <c r="BA214" s="833"/>
      <c r="BB214" s="833"/>
      <c r="BC214" s="833"/>
      <c r="BD214" s="833"/>
      <c r="BE214" s="833"/>
      <c r="BF214" s="833"/>
      <c r="BG214" s="833"/>
      <c r="BH214" s="833"/>
      <c r="BI214" s="833"/>
      <c r="BJ214" s="833"/>
      <c r="BK214" s="833"/>
    </row>
    <row r="215" spans="2:63" x14ac:dyDescent="0.2">
      <c r="C215" s="999" t="s">
        <v>343</v>
      </c>
      <c r="D215" s="1000"/>
      <c r="E215" s="1079"/>
      <c r="F215" s="1079"/>
      <c r="G215" s="1079"/>
      <c r="H215" s="1080"/>
      <c r="I215" s="1081"/>
      <c r="J215" s="1082"/>
      <c r="K215" s="1083"/>
      <c r="L215" s="1084">
        <f>L174+L186+L189+L203+L214</f>
        <v>29761</v>
      </c>
      <c r="M215" s="1008"/>
      <c r="N215" s="1085"/>
      <c r="O215" s="1084"/>
      <c r="P215" s="1084">
        <f>P174+P186+P189+P203+P214</f>
        <v>48890.36</v>
      </c>
      <c r="Q215" s="1086">
        <f>P215/L215</f>
        <v>1.6427660360874972</v>
      </c>
      <c r="R215" s="988"/>
      <c r="S215" s="844"/>
      <c r="T215" s="844"/>
      <c r="U215" s="844"/>
      <c r="V215" s="844"/>
      <c r="W215" s="844"/>
      <c r="X215" s="844"/>
      <c r="Y215" s="844"/>
      <c r="Z215" s="844"/>
      <c r="AA215" s="960"/>
      <c r="AB215" s="833"/>
      <c r="AC215" s="833"/>
      <c r="AD215" s="833"/>
      <c r="AE215" s="833"/>
      <c r="AF215" s="833"/>
      <c r="AG215" s="833"/>
      <c r="AH215" s="833"/>
      <c r="AI215" s="833"/>
      <c r="AJ215" s="833"/>
      <c r="AK215" s="833"/>
      <c r="AL215" s="833"/>
      <c r="AM215" s="833"/>
      <c r="AN215" s="833"/>
      <c r="AO215" s="833"/>
      <c r="AP215" s="833"/>
      <c r="AQ215" s="833"/>
      <c r="AR215" s="833"/>
      <c r="AS215" s="833"/>
      <c r="AT215" s="833"/>
      <c r="AU215" s="833"/>
      <c r="AV215" s="833"/>
      <c r="AW215" s="833"/>
      <c r="AX215" s="833"/>
      <c r="AY215" s="833"/>
      <c r="AZ215" s="833"/>
      <c r="BA215" s="833"/>
      <c r="BB215" s="833"/>
      <c r="BC215" s="833"/>
      <c r="BD215" s="833"/>
      <c r="BE215" s="833"/>
      <c r="BF215" s="833"/>
      <c r="BG215" s="833"/>
      <c r="BH215" s="833"/>
      <c r="BI215" s="833"/>
      <c r="BJ215" s="833"/>
      <c r="BK215" s="833"/>
    </row>
    <row r="216" spans="2:63" ht="13.9" customHeight="1" x14ac:dyDescent="0.2">
      <c r="C216" s="961" t="s">
        <v>344</v>
      </c>
      <c r="D216" s="962"/>
      <c r="E216" s="962"/>
      <c r="F216" s="962"/>
      <c r="G216" s="962"/>
      <c r="H216" s="962"/>
      <c r="I216" s="962"/>
      <c r="J216" s="962"/>
      <c r="K216" s="962"/>
      <c r="L216" s="963"/>
      <c r="M216" s="1087"/>
      <c r="N216" s="859"/>
      <c r="O216" s="859"/>
      <c r="P216" s="987"/>
      <c r="Q216" s="844"/>
      <c r="R216" s="988"/>
      <c r="S216" s="844"/>
      <c r="T216" s="844"/>
      <c r="U216" s="844"/>
      <c r="V216" s="844"/>
      <c r="W216" s="844"/>
      <c r="X216" s="844"/>
      <c r="Y216" s="844"/>
      <c r="Z216" s="844"/>
      <c r="AA216" s="844"/>
      <c r="AB216" s="833"/>
      <c r="AC216" s="833"/>
      <c r="AD216" s="833"/>
      <c r="AE216" s="833"/>
      <c r="AF216" s="833"/>
      <c r="AG216" s="833"/>
      <c r="AH216" s="833"/>
      <c r="AI216" s="833"/>
      <c r="AJ216" s="833"/>
      <c r="AK216" s="833"/>
      <c r="AL216" s="833"/>
      <c r="AM216" s="833"/>
      <c r="AN216" s="833"/>
      <c r="AO216" s="833"/>
      <c r="AP216" s="833"/>
      <c r="AQ216" s="833"/>
      <c r="AR216" s="833"/>
      <c r="AS216" s="833"/>
      <c r="AT216" s="833"/>
      <c r="AU216" s="833"/>
      <c r="AV216" s="833"/>
      <c r="AW216" s="833"/>
      <c r="AX216" s="833"/>
      <c r="AY216" s="833"/>
      <c r="AZ216" s="833"/>
      <c r="BA216" s="833"/>
      <c r="BB216" s="833"/>
      <c r="BC216" s="833"/>
      <c r="BD216" s="833"/>
      <c r="BE216" s="833"/>
      <c r="BF216" s="833"/>
      <c r="BG216" s="833"/>
      <c r="BH216" s="833"/>
      <c r="BI216" s="833"/>
      <c r="BJ216" s="833"/>
      <c r="BK216" s="833"/>
    </row>
    <row r="217" spans="2:63" x14ac:dyDescent="0.2">
      <c r="C217" s="1009" t="s">
        <v>345</v>
      </c>
      <c r="D217" s="1010" t="s">
        <v>346</v>
      </c>
      <c r="E217" s="1010"/>
      <c r="F217" s="1010"/>
      <c r="G217" s="1010"/>
      <c r="H217" s="1010"/>
      <c r="I217" s="1010"/>
      <c r="J217" s="1010"/>
      <c r="K217" s="1010"/>
      <c r="L217" s="1011"/>
      <c r="M217" s="844"/>
      <c r="N217" s="859"/>
      <c r="O217" s="859"/>
      <c r="P217" s="987"/>
      <c r="Q217" s="844"/>
      <c r="R217" s="988"/>
      <c r="S217" s="844"/>
      <c r="T217" s="844"/>
      <c r="U217" s="844"/>
      <c r="V217" s="844"/>
      <c r="W217" s="844"/>
      <c r="X217" s="844"/>
      <c r="Y217" s="844"/>
      <c r="Z217" s="844"/>
      <c r="AA217" s="844"/>
      <c r="AB217" s="833"/>
      <c r="AC217" s="833"/>
      <c r="AD217" s="833"/>
      <c r="AE217" s="833"/>
      <c r="AF217" s="833"/>
      <c r="AG217" s="833"/>
      <c r="AH217" s="833"/>
      <c r="AI217" s="833"/>
      <c r="AJ217" s="833"/>
      <c r="AK217" s="833"/>
      <c r="AL217" s="833"/>
      <c r="AM217" s="833"/>
      <c r="AN217" s="833"/>
      <c r="AO217" s="833"/>
      <c r="AP217" s="833"/>
      <c r="AQ217" s="833"/>
      <c r="AR217" s="833"/>
      <c r="AS217" s="833"/>
      <c r="AT217" s="833"/>
      <c r="AU217" s="833"/>
      <c r="AV217" s="833"/>
      <c r="AW217" s="833"/>
      <c r="AX217" s="833"/>
      <c r="AY217" s="833"/>
      <c r="AZ217" s="833"/>
      <c r="BA217" s="833"/>
      <c r="BB217" s="833"/>
      <c r="BC217" s="833"/>
      <c r="BD217" s="833"/>
      <c r="BE217" s="833"/>
      <c r="BF217" s="833"/>
      <c r="BG217" s="833"/>
      <c r="BH217" s="833"/>
      <c r="BI217" s="833"/>
      <c r="BJ217" s="833"/>
      <c r="BK217" s="833"/>
    </row>
    <row r="218" spans="2:63" ht="24.75" customHeight="1" x14ac:dyDescent="0.2">
      <c r="C218" s="1688" t="s">
        <v>701</v>
      </c>
      <c r="D218" s="453" t="s">
        <v>347</v>
      </c>
      <c r="E218" s="454"/>
      <c r="F218" s="454"/>
      <c r="G218" s="454"/>
      <c r="H218" s="494"/>
      <c r="I218" s="454"/>
      <c r="J218" s="910"/>
      <c r="K218" s="910"/>
      <c r="L218" s="911"/>
      <c r="M218" s="455"/>
      <c r="N218" s="456"/>
      <c r="O218" s="456"/>
      <c r="P218" s="987"/>
      <c r="Q218" s="455"/>
      <c r="R218" s="988"/>
      <c r="S218" s="844"/>
      <c r="T218" s="844"/>
      <c r="U218" s="844"/>
      <c r="V218" s="844"/>
      <c r="W218" s="844"/>
      <c r="X218" s="844"/>
      <c r="Y218" s="844"/>
      <c r="Z218" s="844"/>
      <c r="AA218" s="844"/>
      <c r="AB218" s="833"/>
      <c r="AC218" s="833"/>
      <c r="AD218" s="833"/>
      <c r="AE218" s="833"/>
      <c r="AF218" s="833"/>
      <c r="AG218" s="833"/>
      <c r="AH218" s="833"/>
      <c r="AI218" s="833"/>
      <c r="AJ218" s="833"/>
      <c r="AK218" s="833"/>
      <c r="AL218" s="833"/>
      <c r="AM218" s="833"/>
      <c r="AN218" s="833"/>
      <c r="AO218" s="833"/>
      <c r="AP218" s="833"/>
      <c r="AQ218" s="833"/>
      <c r="AR218" s="833"/>
      <c r="AS218" s="833"/>
      <c r="AT218" s="833"/>
      <c r="AU218" s="833"/>
      <c r="AV218" s="833"/>
      <c r="AW218" s="833"/>
      <c r="AX218" s="833"/>
      <c r="AY218" s="833"/>
      <c r="AZ218" s="833"/>
      <c r="BA218" s="833"/>
      <c r="BB218" s="833"/>
      <c r="BC218" s="833"/>
      <c r="BD218" s="833"/>
      <c r="BE218" s="833"/>
      <c r="BF218" s="833"/>
      <c r="BG218" s="833"/>
      <c r="BH218" s="833"/>
      <c r="BI218" s="833"/>
      <c r="BJ218" s="833"/>
      <c r="BK218" s="833"/>
    </row>
    <row r="219" spans="2:63" ht="38.25" x14ac:dyDescent="0.2">
      <c r="C219" s="1689"/>
      <c r="D219" s="498" t="s">
        <v>348</v>
      </c>
      <c r="E219" s="466" t="s">
        <v>14</v>
      </c>
      <c r="F219" s="989"/>
      <c r="G219" s="989"/>
      <c r="H219" s="495" t="s">
        <v>217</v>
      </c>
      <c r="I219" s="484">
        <v>1</v>
      </c>
      <c r="J219" s="1088">
        <v>300</v>
      </c>
      <c r="K219" s="1089">
        <v>1</v>
      </c>
      <c r="L219" s="1090">
        <f t="shared" ref="L219:L224" si="20">I219*J219*K219</f>
        <v>300</v>
      </c>
      <c r="M219" s="455"/>
      <c r="N219" s="456"/>
      <c r="O219" s="456"/>
      <c r="P219" s="987"/>
      <c r="Q219" s="455"/>
      <c r="R219" s="988"/>
      <c r="S219" s="844"/>
      <c r="T219" s="844"/>
      <c r="U219" s="844"/>
      <c r="V219" s="844"/>
      <c r="W219" s="844"/>
      <c r="X219" s="844"/>
      <c r="Y219" s="844"/>
      <c r="Z219" s="844"/>
      <c r="AA219" s="844"/>
      <c r="AB219" s="833"/>
      <c r="AC219" s="833"/>
      <c r="AD219" s="833"/>
      <c r="AE219" s="833"/>
      <c r="AF219" s="833"/>
      <c r="AG219" s="833"/>
      <c r="AH219" s="833"/>
      <c r="AI219" s="833"/>
      <c r="AJ219" s="833"/>
      <c r="AK219" s="833"/>
      <c r="AL219" s="833"/>
      <c r="AM219" s="833"/>
      <c r="AN219" s="833"/>
      <c r="AO219" s="833"/>
      <c r="AP219" s="833"/>
      <c r="AQ219" s="833"/>
      <c r="AR219" s="833"/>
      <c r="AS219" s="833"/>
      <c r="AT219" s="833"/>
      <c r="AU219" s="833"/>
      <c r="AV219" s="833"/>
      <c r="AW219" s="833"/>
      <c r="AX219" s="833"/>
      <c r="AY219" s="833"/>
      <c r="AZ219" s="833"/>
      <c r="BA219" s="833"/>
      <c r="BB219" s="833"/>
      <c r="BC219" s="833"/>
      <c r="BD219" s="833"/>
      <c r="BE219" s="833"/>
      <c r="BF219" s="833"/>
      <c r="BG219" s="833"/>
      <c r="BH219" s="833"/>
      <c r="BI219" s="833"/>
      <c r="BJ219" s="833"/>
      <c r="BK219" s="833"/>
    </row>
    <row r="220" spans="2:63" ht="25.5" x14ac:dyDescent="0.2">
      <c r="C220" s="1689"/>
      <c r="D220" s="498" t="s">
        <v>349</v>
      </c>
      <c r="E220" s="466" t="s">
        <v>14</v>
      </c>
      <c r="F220" s="989"/>
      <c r="G220" s="989"/>
      <c r="H220" s="495" t="s">
        <v>217</v>
      </c>
      <c r="I220" s="484">
        <v>1</v>
      </c>
      <c r="J220" s="1088">
        <v>350</v>
      </c>
      <c r="K220" s="1089">
        <v>2</v>
      </c>
      <c r="L220" s="1090">
        <f t="shared" si="20"/>
        <v>700</v>
      </c>
      <c r="M220" s="455"/>
      <c r="N220" s="456"/>
      <c r="O220" s="456"/>
      <c r="P220" s="987"/>
      <c r="Q220" s="455"/>
      <c r="R220" s="988"/>
      <c r="S220" s="844"/>
      <c r="T220" s="844"/>
      <c r="U220" s="844"/>
      <c r="V220" s="844"/>
      <c r="W220" s="844"/>
      <c r="X220" s="844"/>
      <c r="Y220" s="844"/>
      <c r="Z220" s="844"/>
      <c r="AA220" s="844"/>
      <c r="AB220" s="833"/>
      <c r="AC220" s="833"/>
      <c r="AD220" s="833"/>
      <c r="AE220" s="833"/>
      <c r="AF220" s="833"/>
      <c r="AG220" s="833"/>
      <c r="AH220" s="833"/>
      <c r="AI220" s="833"/>
      <c r="AJ220" s="833"/>
      <c r="AK220" s="833"/>
      <c r="AL220" s="833"/>
      <c r="AM220" s="833"/>
      <c r="AN220" s="833"/>
      <c r="AO220" s="833"/>
      <c r="AP220" s="833"/>
      <c r="AQ220" s="833"/>
      <c r="AR220" s="833"/>
      <c r="AS220" s="833"/>
      <c r="AT220" s="833"/>
      <c r="AU220" s="833"/>
      <c r="AV220" s="833"/>
      <c r="AW220" s="833"/>
      <c r="AX220" s="833"/>
      <c r="AY220" s="833"/>
      <c r="AZ220" s="833"/>
      <c r="BA220" s="833"/>
      <c r="BB220" s="833"/>
      <c r="BC220" s="833"/>
      <c r="BD220" s="833"/>
      <c r="BE220" s="833"/>
      <c r="BF220" s="833"/>
      <c r="BG220" s="833"/>
      <c r="BH220" s="833"/>
      <c r="BI220" s="833"/>
      <c r="BJ220" s="833"/>
      <c r="BK220" s="833"/>
    </row>
    <row r="221" spans="2:63" x14ac:dyDescent="0.2">
      <c r="C221" s="1689"/>
      <c r="D221" s="452" t="s">
        <v>350</v>
      </c>
      <c r="E221" s="466" t="s">
        <v>14</v>
      </c>
      <c r="F221" s="989"/>
      <c r="G221" s="989"/>
      <c r="H221" s="495" t="s">
        <v>217</v>
      </c>
      <c r="I221" s="484">
        <v>1</v>
      </c>
      <c r="J221" s="1088">
        <v>12000</v>
      </c>
      <c r="K221" s="1089">
        <v>3</v>
      </c>
      <c r="L221" s="1090">
        <f t="shared" si="20"/>
        <v>36000</v>
      </c>
      <c r="M221" s="455"/>
      <c r="N221" s="456"/>
      <c r="O221" s="456"/>
      <c r="P221" s="987"/>
      <c r="Q221" s="455"/>
      <c r="R221" s="988"/>
      <c r="S221" s="844"/>
      <c r="T221" s="844"/>
      <c r="U221" s="844"/>
      <c r="V221" s="844"/>
      <c r="W221" s="844"/>
      <c r="X221" s="844"/>
      <c r="Y221" s="844"/>
      <c r="Z221" s="844"/>
      <c r="AA221" s="844"/>
      <c r="AB221" s="833"/>
      <c r="AC221" s="833"/>
      <c r="AD221" s="833"/>
      <c r="AE221" s="833"/>
      <c r="AF221" s="833"/>
      <c r="AG221" s="833"/>
      <c r="AH221" s="833"/>
      <c r="AI221" s="833"/>
      <c r="AJ221" s="833"/>
      <c r="AK221" s="833"/>
      <c r="AL221" s="833"/>
      <c r="AM221" s="833"/>
      <c r="AN221" s="833"/>
      <c r="AO221" s="833"/>
      <c r="AP221" s="833"/>
      <c r="AQ221" s="833"/>
      <c r="AR221" s="833"/>
      <c r="AS221" s="833"/>
      <c r="AT221" s="833"/>
      <c r="AU221" s="833"/>
      <c r="AV221" s="833"/>
      <c r="AW221" s="833"/>
      <c r="AX221" s="833"/>
      <c r="AY221" s="833"/>
      <c r="AZ221" s="833"/>
      <c r="BA221" s="833"/>
      <c r="BB221" s="833"/>
      <c r="BC221" s="833"/>
      <c r="BD221" s="833"/>
      <c r="BE221" s="833"/>
      <c r="BF221" s="833"/>
      <c r="BG221" s="833"/>
      <c r="BH221" s="833"/>
      <c r="BI221" s="833"/>
      <c r="BJ221" s="833"/>
      <c r="BK221" s="833"/>
    </row>
    <row r="222" spans="2:63" x14ac:dyDescent="0.2">
      <c r="C222" s="1689"/>
      <c r="D222" s="452" t="s">
        <v>351</v>
      </c>
      <c r="E222" s="466" t="s">
        <v>14</v>
      </c>
      <c r="F222" s="989"/>
      <c r="G222" s="989"/>
      <c r="H222" s="495" t="s">
        <v>217</v>
      </c>
      <c r="I222" s="484">
        <v>1</v>
      </c>
      <c r="J222" s="1088">
        <v>35000</v>
      </c>
      <c r="K222" s="1089">
        <v>1</v>
      </c>
      <c r="L222" s="1090">
        <f t="shared" si="20"/>
        <v>35000</v>
      </c>
      <c r="M222" s="455"/>
      <c r="N222" s="1091"/>
      <c r="O222" s="1091"/>
      <c r="P222" s="987"/>
      <c r="Q222" s="1092"/>
      <c r="R222" s="988"/>
      <c r="S222" s="844"/>
      <c r="T222" s="844"/>
      <c r="U222" s="844"/>
      <c r="V222" s="844"/>
      <c r="W222" s="844"/>
      <c r="X222" s="844"/>
      <c r="Y222" s="844"/>
      <c r="Z222" s="844"/>
      <c r="AA222" s="844"/>
      <c r="AB222" s="833"/>
      <c r="AC222" s="833"/>
      <c r="AD222" s="833"/>
      <c r="AE222" s="833"/>
      <c r="AF222" s="833"/>
      <c r="AG222" s="833"/>
      <c r="AH222" s="833"/>
      <c r="AI222" s="833"/>
      <c r="AJ222" s="833"/>
      <c r="AK222" s="833"/>
      <c r="AL222" s="833"/>
      <c r="AM222" s="833"/>
      <c r="AN222" s="833"/>
      <c r="AO222" s="833"/>
      <c r="AP222" s="833"/>
      <c r="AQ222" s="833"/>
      <c r="AR222" s="833"/>
      <c r="AS222" s="833"/>
      <c r="AT222" s="833"/>
      <c r="AU222" s="833"/>
      <c r="AV222" s="833"/>
      <c r="AW222" s="833"/>
      <c r="AX222" s="833"/>
      <c r="AY222" s="833"/>
      <c r="AZ222" s="833"/>
      <c r="BA222" s="833"/>
      <c r="BB222" s="833"/>
      <c r="BC222" s="833"/>
      <c r="BD222" s="833"/>
      <c r="BE222" s="833"/>
      <c r="BF222" s="833"/>
      <c r="BG222" s="833"/>
      <c r="BH222" s="833"/>
      <c r="BI222" s="833"/>
      <c r="BJ222" s="833"/>
      <c r="BK222" s="833"/>
    </row>
    <row r="223" spans="2:63" x14ac:dyDescent="0.2">
      <c r="C223" s="1689"/>
      <c r="D223" s="452" t="s">
        <v>352</v>
      </c>
      <c r="E223" s="466" t="s">
        <v>14</v>
      </c>
      <c r="F223" s="989"/>
      <c r="G223" s="989"/>
      <c r="H223" s="495" t="s">
        <v>217</v>
      </c>
      <c r="I223" s="484">
        <v>1</v>
      </c>
      <c r="J223" s="1088">
        <v>17000</v>
      </c>
      <c r="K223" s="1089">
        <v>1</v>
      </c>
      <c r="L223" s="1090">
        <f t="shared" si="20"/>
        <v>17000</v>
      </c>
      <c r="M223" s="455"/>
      <c r="N223" s="456"/>
      <c r="O223" s="456"/>
      <c r="P223" s="987"/>
      <c r="Q223" s="455"/>
      <c r="R223" s="988"/>
      <c r="S223" s="844"/>
      <c r="T223" s="844"/>
      <c r="U223" s="844"/>
      <c r="V223" s="844"/>
      <c r="W223" s="844"/>
      <c r="X223" s="844"/>
      <c r="Y223" s="844"/>
      <c r="Z223" s="844"/>
      <c r="AA223" s="844"/>
      <c r="AB223" s="833"/>
      <c r="AC223" s="833"/>
      <c r="AD223" s="833"/>
      <c r="AE223" s="833"/>
      <c r="AF223" s="833"/>
      <c r="AG223" s="833"/>
      <c r="AH223" s="833"/>
      <c r="AI223" s="833"/>
      <c r="AJ223" s="833"/>
      <c r="AK223" s="833"/>
      <c r="AL223" s="833"/>
      <c r="AM223" s="833"/>
      <c r="AN223" s="833"/>
      <c r="AO223" s="833"/>
      <c r="AP223" s="833"/>
      <c r="AQ223" s="833"/>
      <c r="AR223" s="833"/>
      <c r="AS223" s="833"/>
      <c r="AT223" s="833"/>
      <c r="AU223" s="833"/>
      <c r="AV223" s="833"/>
      <c r="AW223" s="833"/>
      <c r="AX223" s="833"/>
      <c r="AY223" s="833"/>
      <c r="AZ223" s="833"/>
      <c r="BA223" s="833"/>
      <c r="BB223" s="833"/>
      <c r="BC223" s="833"/>
      <c r="BD223" s="833"/>
      <c r="BE223" s="833"/>
      <c r="BF223" s="833"/>
      <c r="BG223" s="833"/>
      <c r="BH223" s="833"/>
      <c r="BI223" s="833"/>
      <c r="BJ223" s="833"/>
      <c r="BK223" s="833"/>
    </row>
    <row r="224" spans="2:63" x14ac:dyDescent="0.2">
      <c r="C224" s="1689"/>
      <c r="D224" s="452" t="s">
        <v>353</v>
      </c>
      <c r="E224" s="466" t="s">
        <v>14</v>
      </c>
      <c r="F224" s="989"/>
      <c r="G224" s="989"/>
      <c r="H224" s="495" t="s">
        <v>217</v>
      </c>
      <c r="I224" s="484">
        <v>1</v>
      </c>
      <c r="J224" s="1088">
        <v>3500</v>
      </c>
      <c r="K224" s="1089">
        <v>1</v>
      </c>
      <c r="L224" s="1090">
        <f t="shared" si="20"/>
        <v>3500</v>
      </c>
      <c r="M224" s="455"/>
      <c r="N224" s="456"/>
      <c r="O224" s="456"/>
      <c r="P224" s="987"/>
      <c r="Q224" s="455"/>
      <c r="R224" s="988"/>
      <c r="S224" s="844"/>
      <c r="T224" s="844"/>
      <c r="U224" s="844"/>
      <c r="V224" s="844"/>
      <c r="W224" s="844"/>
      <c r="X224" s="844"/>
      <c r="Y224" s="844"/>
      <c r="Z224" s="844"/>
      <c r="AA224" s="844"/>
      <c r="AB224" s="833"/>
      <c r="AC224" s="833"/>
      <c r="AD224" s="833"/>
      <c r="AE224" s="833"/>
      <c r="AF224" s="833"/>
      <c r="AG224" s="833"/>
      <c r="AH224" s="833"/>
      <c r="AI224" s="833"/>
      <c r="AJ224" s="833"/>
      <c r="AK224" s="833"/>
      <c r="AL224" s="833"/>
      <c r="AM224" s="833"/>
      <c r="AN224" s="833"/>
      <c r="AO224" s="833"/>
      <c r="AP224" s="833"/>
      <c r="AQ224" s="833"/>
      <c r="AR224" s="833"/>
      <c r="AS224" s="833"/>
      <c r="AT224" s="833"/>
      <c r="AU224" s="833"/>
      <c r="AV224" s="833"/>
      <c r="AW224" s="833"/>
      <c r="AX224" s="833"/>
      <c r="AY224" s="833"/>
      <c r="AZ224" s="833"/>
      <c r="BA224" s="833"/>
      <c r="BB224" s="833"/>
      <c r="BC224" s="833"/>
      <c r="BD224" s="833"/>
      <c r="BE224" s="833"/>
      <c r="BF224" s="833"/>
      <c r="BG224" s="833"/>
      <c r="BH224" s="833"/>
      <c r="BI224" s="833"/>
      <c r="BJ224" s="833"/>
      <c r="BK224" s="833"/>
    </row>
    <row r="225" spans="2:63" ht="33.75" customHeight="1" x14ac:dyDescent="0.2">
      <c r="B225" s="869" t="s">
        <v>702</v>
      </c>
      <c r="C225" s="1690"/>
      <c r="D225" s="1093" t="s">
        <v>246</v>
      </c>
      <c r="E225" s="1094"/>
      <c r="F225" s="1094"/>
      <c r="G225" s="1094"/>
      <c r="H225" s="1094"/>
      <c r="I225" s="1094"/>
      <c r="J225" s="1094"/>
      <c r="K225" s="1095"/>
      <c r="L225" s="1096">
        <f>SUM(L219:L224)</f>
        <v>92500</v>
      </c>
      <c r="M225" s="873">
        <v>20</v>
      </c>
      <c r="N225" s="874">
        <f>L225*M225/100</f>
        <v>18500</v>
      </c>
      <c r="O225" s="874"/>
      <c r="P225" s="876">
        <v>92464.39</v>
      </c>
      <c r="Q225" s="1006">
        <f>P225/L225</f>
        <v>0.99961502702702698</v>
      </c>
      <c r="R225" s="906"/>
      <c r="S225" s="844"/>
      <c r="T225" s="844"/>
      <c r="U225" s="844"/>
      <c r="V225" s="844"/>
      <c r="W225" s="844"/>
      <c r="X225" s="844"/>
      <c r="Y225" s="844"/>
      <c r="Z225" s="844"/>
      <c r="AA225" s="878" t="s">
        <v>703</v>
      </c>
      <c r="AB225" s="833"/>
      <c r="AC225" s="833"/>
      <c r="AD225" s="833"/>
      <c r="AE225" s="833"/>
      <c r="AF225" s="833"/>
      <c r="AG225" s="833"/>
      <c r="AH225" s="833"/>
      <c r="AI225" s="833"/>
      <c r="AJ225" s="833"/>
      <c r="AK225" s="833"/>
      <c r="AL225" s="833"/>
      <c r="AM225" s="833"/>
      <c r="AN225" s="833"/>
      <c r="AO225" s="833"/>
      <c r="AP225" s="833"/>
      <c r="AQ225" s="833"/>
      <c r="AR225" s="833"/>
      <c r="AS225" s="833"/>
      <c r="AT225" s="833"/>
      <c r="AU225" s="833"/>
      <c r="AV225" s="833"/>
      <c r="AW225" s="833"/>
      <c r="AX225" s="833"/>
      <c r="AY225" s="833"/>
      <c r="AZ225" s="833"/>
      <c r="BA225" s="833"/>
      <c r="BB225" s="833"/>
      <c r="BC225" s="833"/>
      <c r="BD225" s="833"/>
      <c r="BE225" s="833"/>
      <c r="BF225" s="833"/>
      <c r="BG225" s="833"/>
      <c r="BH225" s="833"/>
      <c r="BI225" s="833"/>
      <c r="BJ225" s="833"/>
      <c r="BK225" s="833"/>
    </row>
    <row r="226" spans="2:63" x14ac:dyDescent="0.2">
      <c r="C226" s="1009" t="s">
        <v>354</v>
      </c>
      <c r="D226" s="1010" t="s">
        <v>355</v>
      </c>
      <c r="E226" s="1010"/>
      <c r="F226" s="1010"/>
      <c r="G226" s="1010"/>
      <c r="H226" s="1010"/>
      <c r="I226" s="1010"/>
      <c r="J226" s="1010"/>
      <c r="K226" s="1010"/>
      <c r="L226" s="1011"/>
      <c r="M226" s="844"/>
      <c r="N226" s="859"/>
      <c r="O226" s="859"/>
      <c r="P226" s="987"/>
      <c r="Q226" s="844"/>
      <c r="R226" s="988"/>
      <c r="S226" s="844"/>
      <c r="T226" s="844"/>
      <c r="U226" s="844"/>
      <c r="V226" s="844"/>
      <c r="W226" s="844"/>
      <c r="X226" s="844"/>
      <c r="Y226" s="844"/>
      <c r="Z226" s="844"/>
      <c r="AA226" s="844"/>
      <c r="AB226" s="833"/>
      <c r="AC226" s="833"/>
      <c r="AD226" s="833"/>
      <c r="AE226" s="833"/>
      <c r="AF226" s="833"/>
      <c r="AG226" s="833"/>
      <c r="AH226" s="833"/>
      <c r="AI226" s="833"/>
      <c r="AJ226" s="833"/>
      <c r="AK226" s="833"/>
      <c r="AL226" s="833"/>
      <c r="AM226" s="833"/>
      <c r="AN226" s="833"/>
      <c r="AO226" s="833"/>
      <c r="AP226" s="833"/>
      <c r="AQ226" s="833"/>
      <c r="AR226" s="833"/>
      <c r="AS226" s="833"/>
      <c r="AT226" s="833"/>
      <c r="AU226" s="833"/>
      <c r="AV226" s="833"/>
      <c r="AW226" s="833"/>
      <c r="AX226" s="833"/>
      <c r="AY226" s="833"/>
      <c r="AZ226" s="833"/>
      <c r="BA226" s="833"/>
      <c r="BB226" s="833"/>
      <c r="BC226" s="833"/>
      <c r="BD226" s="833"/>
      <c r="BE226" s="833"/>
      <c r="BF226" s="833"/>
      <c r="BG226" s="833"/>
      <c r="BH226" s="833"/>
      <c r="BI226" s="833"/>
      <c r="BJ226" s="833"/>
      <c r="BK226" s="833"/>
    </row>
    <row r="227" spans="2:63" ht="45" x14ac:dyDescent="0.2">
      <c r="C227" s="1097" t="s">
        <v>704</v>
      </c>
      <c r="D227" s="847" t="s">
        <v>705</v>
      </c>
      <c r="E227" s="848"/>
      <c r="F227" s="848"/>
      <c r="G227" s="848"/>
      <c r="H227" s="848"/>
      <c r="I227" s="848"/>
      <c r="J227" s="848"/>
      <c r="K227" s="848"/>
      <c r="L227" s="849"/>
      <c r="M227" s="844"/>
      <c r="N227" s="859"/>
      <c r="O227" s="859"/>
      <c r="P227" s="987"/>
      <c r="Q227" s="844"/>
      <c r="R227" s="988"/>
      <c r="S227" s="844"/>
      <c r="T227" s="844"/>
      <c r="U227" s="844"/>
      <c r="V227" s="844"/>
      <c r="W227" s="844"/>
      <c r="X227" s="844"/>
      <c r="Y227" s="844"/>
      <c r="Z227" s="844"/>
      <c r="AA227" s="844"/>
      <c r="AB227" s="833"/>
      <c r="AC227" s="833"/>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3"/>
      <c r="AY227" s="833"/>
      <c r="AZ227" s="833"/>
      <c r="BA227" s="833"/>
      <c r="BB227" s="833"/>
      <c r="BC227" s="833"/>
      <c r="BD227" s="833"/>
      <c r="BE227" s="833"/>
      <c r="BF227" s="833"/>
      <c r="BG227" s="833"/>
      <c r="BH227" s="833"/>
      <c r="BI227" s="833"/>
      <c r="BJ227" s="833"/>
      <c r="BK227" s="833"/>
    </row>
    <row r="228" spans="2:63" ht="38.25" x14ac:dyDescent="0.2">
      <c r="C228" s="1098"/>
      <c r="D228" s="1069" t="s">
        <v>356</v>
      </c>
      <c r="E228" s="1051" t="s">
        <v>14</v>
      </c>
      <c r="F228" s="1099"/>
      <c r="G228" s="1099"/>
      <c r="H228" s="1058" t="s">
        <v>217</v>
      </c>
      <c r="I228" s="1100">
        <v>3</v>
      </c>
      <c r="J228" s="1101">
        <v>100</v>
      </c>
      <c r="K228" s="1100">
        <v>1</v>
      </c>
      <c r="L228" s="1102">
        <f>K228*J228*I228</f>
        <v>300</v>
      </c>
      <c r="M228" s="844"/>
      <c r="N228" s="859"/>
      <c r="O228" s="859"/>
      <c r="P228" s="987"/>
      <c r="Q228" s="844"/>
      <c r="R228" s="988"/>
      <c r="S228" s="844"/>
      <c r="T228" s="844"/>
      <c r="U228" s="844"/>
      <c r="V228" s="844"/>
      <c r="W228" s="844"/>
      <c r="X228" s="844"/>
      <c r="Y228" s="844"/>
      <c r="Z228" s="844"/>
      <c r="AA228" s="844"/>
      <c r="AB228" s="833"/>
      <c r="AC228" s="833"/>
      <c r="AD228" s="833"/>
      <c r="AE228" s="833"/>
      <c r="AF228" s="833"/>
      <c r="AG228" s="833"/>
      <c r="AH228" s="833"/>
      <c r="AI228" s="833"/>
      <c r="AJ228" s="833"/>
      <c r="AK228" s="833"/>
      <c r="AL228" s="833"/>
      <c r="AM228" s="833"/>
      <c r="AN228" s="833"/>
      <c r="AO228" s="833"/>
      <c r="AP228" s="833"/>
      <c r="AQ228" s="833"/>
      <c r="AR228" s="833"/>
      <c r="AS228" s="833"/>
      <c r="AT228" s="833"/>
      <c r="AU228" s="833"/>
      <c r="AV228" s="833"/>
      <c r="AW228" s="833"/>
      <c r="AX228" s="833"/>
      <c r="AY228" s="833"/>
      <c r="AZ228" s="833"/>
      <c r="BA228" s="833"/>
      <c r="BB228" s="833"/>
      <c r="BC228" s="833"/>
      <c r="BD228" s="833"/>
      <c r="BE228" s="833"/>
      <c r="BF228" s="833"/>
      <c r="BG228" s="833"/>
      <c r="BH228" s="833"/>
      <c r="BI228" s="833"/>
      <c r="BJ228" s="833"/>
      <c r="BK228" s="833"/>
    </row>
    <row r="229" spans="2:63" x14ac:dyDescent="0.2">
      <c r="B229" s="869" t="s">
        <v>706</v>
      </c>
      <c r="C229" s="1098"/>
      <c r="D229" s="1027" t="s">
        <v>246</v>
      </c>
      <c r="E229" s="1028"/>
      <c r="F229" s="1028"/>
      <c r="G229" s="1028"/>
      <c r="H229" s="1028"/>
      <c r="I229" s="1028"/>
      <c r="J229" s="1028"/>
      <c r="K229" s="1029"/>
      <c r="L229" s="1096">
        <f>SUM(L228)</f>
        <v>300</v>
      </c>
      <c r="M229" s="873">
        <v>100</v>
      </c>
      <c r="N229" s="874">
        <f>L229*M229/100</f>
        <v>300</v>
      </c>
      <c r="O229" s="874"/>
      <c r="P229" s="876">
        <v>389.11956521739131</v>
      </c>
      <c r="Q229" s="1006">
        <f>P229/L229</f>
        <v>1.2970652173913044</v>
      </c>
      <c r="R229" s="906"/>
      <c r="S229" s="844"/>
      <c r="T229" s="844"/>
      <c r="U229" s="844"/>
      <c r="V229" s="844"/>
      <c r="W229" s="844"/>
      <c r="X229" s="844"/>
      <c r="Y229" s="844"/>
      <c r="Z229" s="844"/>
      <c r="AA229" s="960" t="s">
        <v>707</v>
      </c>
      <c r="AB229" s="833"/>
      <c r="AC229" s="833"/>
      <c r="AD229" s="833"/>
      <c r="AE229" s="833"/>
      <c r="AF229" s="833"/>
      <c r="AG229" s="833"/>
      <c r="AH229" s="833"/>
      <c r="AI229" s="833"/>
      <c r="AJ229" s="833"/>
      <c r="AK229" s="833"/>
      <c r="AL229" s="833"/>
      <c r="AM229" s="833"/>
      <c r="AN229" s="833"/>
      <c r="AO229" s="833"/>
      <c r="AP229" s="833"/>
      <c r="AQ229" s="833"/>
      <c r="AR229" s="833"/>
      <c r="AS229" s="833"/>
      <c r="AT229" s="833"/>
      <c r="AU229" s="833"/>
      <c r="AV229" s="833"/>
      <c r="AW229" s="833"/>
      <c r="AX229" s="833"/>
      <c r="AY229" s="833"/>
      <c r="AZ229" s="833"/>
      <c r="BA229" s="833"/>
      <c r="BB229" s="833"/>
      <c r="BC229" s="833"/>
      <c r="BD229" s="833"/>
      <c r="BE229" s="833"/>
      <c r="BF229" s="833"/>
      <c r="BG229" s="833"/>
      <c r="BH229" s="833"/>
      <c r="BI229" s="833"/>
      <c r="BJ229" s="833"/>
      <c r="BK229" s="833"/>
    </row>
    <row r="230" spans="2:63" ht="45" x14ac:dyDescent="0.2">
      <c r="C230" s="1098"/>
      <c r="D230" s="1103" t="s">
        <v>708</v>
      </c>
      <c r="E230" s="1021"/>
      <c r="F230" s="1104"/>
      <c r="G230" s="1104"/>
      <c r="H230" s="848"/>
      <c r="I230" s="1105"/>
      <c r="J230" s="1105"/>
      <c r="K230" s="848"/>
      <c r="L230" s="849"/>
      <c r="M230" s="844"/>
      <c r="N230" s="859"/>
      <c r="O230" s="859"/>
      <c r="P230" s="987"/>
      <c r="Q230" s="844"/>
      <c r="R230" s="988"/>
      <c r="S230" s="844"/>
      <c r="T230" s="844"/>
      <c r="U230" s="844"/>
      <c r="V230" s="844"/>
      <c r="W230" s="844"/>
      <c r="X230" s="844"/>
      <c r="Y230" s="844"/>
      <c r="Z230" s="844"/>
      <c r="AA230" s="844"/>
      <c r="AB230" s="833"/>
      <c r="AC230" s="833"/>
      <c r="AD230" s="833"/>
      <c r="AE230" s="833"/>
      <c r="AF230" s="833"/>
      <c r="AG230" s="833"/>
      <c r="AH230" s="833"/>
      <c r="AI230" s="833"/>
      <c r="AJ230" s="833"/>
      <c r="AK230" s="833"/>
      <c r="AL230" s="833"/>
      <c r="AM230" s="833"/>
      <c r="AN230" s="833"/>
      <c r="AO230" s="833"/>
      <c r="AP230" s="833"/>
      <c r="AQ230" s="833"/>
      <c r="AR230" s="833"/>
      <c r="AS230" s="833"/>
      <c r="AT230" s="833"/>
      <c r="AU230" s="833"/>
      <c r="AV230" s="833"/>
      <c r="AW230" s="833"/>
      <c r="AX230" s="833"/>
      <c r="AY230" s="833"/>
      <c r="AZ230" s="833"/>
      <c r="BA230" s="833"/>
      <c r="BB230" s="833"/>
      <c r="BC230" s="833"/>
      <c r="BD230" s="833"/>
      <c r="BE230" s="833"/>
      <c r="BF230" s="833"/>
      <c r="BG230" s="833"/>
      <c r="BH230" s="833"/>
      <c r="BI230" s="833"/>
      <c r="BJ230" s="833"/>
      <c r="BK230" s="833"/>
    </row>
    <row r="231" spans="2:63" ht="13.9" customHeight="1" x14ac:dyDescent="0.2">
      <c r="C231" s="944"/>
      <c r="D231" s="853" t="s">
        <v>357</v>
      </c>
      <c r="E231" s="853" t="s">
        <v>14</v>
      </c>
      <c r="F231" s="1016"/>
      <c r="G231" s="1016"/>
      <c r="H231" s="1058" t="s">
        <v>217</v>
      </c>
      <c r="I231" s="1101">
        <v>3</v>
      </c>
      <c r="J231" s="1106">
        <v>80</v>
      </c>
      <c r="K231" s="1101">
        <v>1</v>
      </c>
      <c r="L231" s="907">
        <f>K231*J231*I231</f>
        <v>240</v>
      </c>
      <c r="M231" s="844"/>
      <c r="N231" s="859"/>
      <c r="O231" s="859"/>
      <c r="P231" s="987"/>
      <c r="Q231" s="844"/>
      <c r="R231" s="988"/>
      <c r="S231" s="844"/>
      <c r="T231" s="844"/>
      <c r="U231" s="844"/>
      <c r="V231" s="844"/>
      <c r="W231" s="844"/>
      <c r="X231" s="844"/>
      <c r="Y231" s="844"/>
      <c r="Z231" s="844"/>
      <c r="AA231" s="844"/>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3"/>
      <c r="AY231" s="833"/>
      <c r="AZ231" s="833"/>
      <c r="BA231" s="833"/>
      <c r="BB231" s="833"/>
      <c r="BC231" s="833"/>
      <c r="BD231" s="833"/>
      <c r="BE231" s="833"/>
      <c r="BF231" s="833"/>
      <c r="BG231" s="833"/>
      <c r="BH231" s="833"/>
      <c r="BI231" s="833"/>
      <c r="BJ231" s="833"/>
      <c r="BK231" s="833"/>
    </row>
    <row r="232" spans="2:63" x14ac:dyDescent="0.2">
      <c r="C232" s="944"/>
      <c r="D232" s="853" t="s">
        <v>358</v>
      </c>
      <c r="E232" s="853" t="s">
        <v>14</v>
      </c>
      <c r="F232" s="1016"/>
      <c r="G232" s="1016"/>
      <c r="H232" s="1058" t="s">
        <v>217</v>
      </c>
      <c r="I232" s="1101">
        <v>3</v>
      </c>
      <c r="J232" s="1106">
        <v>100</v>
      </c>
      <c r="K232" s="1101">
        <v>1</v>
      </c>
      <c r="L232" s="907">
        <f>K232*J232*I232</f>
        <v>300</v>
      </c>
      <c r="M232" s="844"/>
      <c r="N232" s="859"/>
      <c r="O232" s="859"/>
      <c r="P232" s="987"/>
      <c r="Q232" s="844"/>
      <c r="R232" s="988"/>
      <c r="S232" s="844"/>
      <c r="T232" s="844"/>
      <c r="U232" s="844"/>
      <c r="V232" s="844"/>
      <c r="W232" s="844"/>
      <c r="X232" s="844"/>
      <c r="Y232" s="844"/>
      <c r="Z232" s="844"/>
      <c r="AA232" s="844"/>
      <c r="AB232" s="833"/>
      <c r="AC232" s="833"/>
      <c r="AD232" s="833"/>
      <c r="AE232" s="833"/>
      <c r="AF232" s="833"/>
      <c r="AG232" s="833"/>
      <c r="AH232" s="833"/>
      <c r="AI232" s="833"/>
      <c r="AJ232" s="833"/>
      <c r="AK232" s="833"/>
      <c r="AL232" s="833"/>
      <c r="AM232" s="833"/>
      <c r="AN232" s="833"/>
      <c r="AO232" s="833"/>
      <c r="AP232" s="833"/>
      <c r="AQ232" s="833"/>
      <c r="AR232" s="833"/>
      <c r="AS232" s="833"/>
      <c r="AT232" s="833"/>
      <c r="AU232" s="833"/>
      <c r="AV232" s="833"/>
      <c r="AW232" s="833"/>
      <c r="AX232" s="833"/>
      <c r="AY232" s="833"/>
      <c r="AZ232" s="833"/>
      <c r="BA232" s="833"/>
      <c r="BB232" s="833"/>
      <c r="BC232" s="833"/>
      <c r="BD232" s="833"/>
      <c r="BE232" s="833"/>
      <c r="BF232" s="833"/>
      <c r="BG232" s="833"/>
      <c r="BH232" s="833"/>
      <c r="BI232" s="833"/>
      <c r="BJ232" s="833"/>
      <c r="BK232" s="833"/>
    </row>
    <row r="233" spans="2:63" x14ac:dyDescent="0.2">
      <c r="C233" s="944"/>
      <c r="D233" s="853" t="s">
        <v>359</v>
      </c>
      <c r="E233" s="853" t="s">
        <v>14</v>
      </c>
      <c r="F233" s="1016"/>
      <c r="G233" s="1016"/>
      <c r="H233" s="1058" t="s">
        <v>217</v>
      </c>
      <c r="I233" s="1101">
        <v>3</v>
      </c>
      <c r="J233" s="1106">
        <v>100</v>
      </c>
      <c r="K233" s="1101">
        <v>1</v>
      </c>
      <c r="L233" s="907">
        <f>K233*J233*I233</f>
        <v>300</v>
      </c>
      <c r="M233" s="844"/>
      <c r="N233" s="859"/>
      <c r="O233" s="859"/>
      <c r="P233" s="987"/>
      <c r="Q233" s="844"/>
      <c r="R233" s="988"/>
      <c r="S233" s="844"/>
      <c r="T233" s="844"/>
      <c r="U233" s="844"/>
      <c r="V233" s="844"/>
      <c r="W233" s="844"/>
      <c r="X233" s="844"/>
      <c r="Y233" s="844"/>
      <c r="Z233" s="844"/>
      <c r="AA233" s="844"/>
      <c r="AB233" s="833"/>
      <c r="AC233" s="833"/>
      <c r="AD233" s="833"/>
      <c r="AE233" s="833"/>
      <c r="AF233" s="833"/>
      <c r="AG233" s="833"/>
      <c r="AH233" s="833"/>
      <c r="AI233" s="833"/>
      <c r="AJ233" s="833"/>
      <c r="AK233" s="833"/>
      <c r="AL233" s="833"/>
      <c r="AM233" s="833"/>
      <c r="AN233" s="833"/>
      <c r="AO233" s="833"/>
      <c r="AP233" s="833"/>
      <c r="AQ233" s="833"/>
      <c r="AR233" s="833"/>
      <c r="AS233" s="833"/>
      <c r="AT233" s="833"/>
      <c r="AU233" s="833"/>
      <c r="AV233" s="833"/>
      <c r="AW233" s="833"/>
      <c r="AX233" s="833"/>
      <c r="AY233" s="833"/>
      <c r="AZ233" s="833"/>
      <c r="BA233" s="833"/>
      <c r="BB233" s="833"/>
      <c r="BC233" s="833"/>
      <c r="BD233" s="833"/>
      <c r="BE233" s="833"/>
      <c r="BF233" s="833"/>
      <c r="BG233" s="833"/>
      <c r="BH233" s="833"/>
      <c r="BI233" s="833"/>
      <c r="BJ233" s="833"/>
      <c r="BK233" s="833"/>
    </row>
    <row r="234" spans="2:63" x14ac:dyDescent="0.2">
      <c r="C234" s="944"/>
      <c r="D234" s="853" t="s">
        <v>360</v>
      </c>
      <c r="E234" s="853" t="s">
        <v>14</v>
      </c>
      <c r="F234" s="1016"/>
      <c r="G234" s="1016"/>
      <c r="H234" s="1058" t="s">
        <v>217</v>
      </c>
      <c r="I234" s="1101">
        <v>3</v>
      </c>
      <c r="J234" s="1106">
        <v>80</v>
      </c>
      <c r="K234" s="1101">
        <v>1</v>
      </c>
      <c r="L234" s="907">
        <f>K234*J234*I234</f>
        <v>240</v>
      </c>
      <c r="M234" s="844"/>
      <c r="N234" s="859"/>
      <c r="O234" s="859"/>
      <c r="P234" s="987"/>
      <c r="Q234" s="844"/>
      <c r="R234" s="988"/>
      <c r="S234" s="844"/>
      <c r="T234" s="844"/>
      <c r="U234" s="844"/>
      <c r="V234" s="844"/>
      <c r="W234" s="844"/>
      <c r="X234" s="844"/>
      <c r="Y234" s="844"/>
      <c r="Z234" s="844"/>
      <c r="AA234" s="844"/>
      <c r="AB234" s="833"/>
      <c r="AC234" s="833"/>
      <c r="AD234" s="833"/>
      <c r="AE234" s="833"/>
      <c r="AF234" s="833"/>
      <c r="AG234" s="833"/>
      <c r="AH234" s="833"/>
      <c r="AI234" s="833"/>
      <c r="AJ234" s="833"/>
      <c r="AK234" s="833"/>
      <c r="AL234" s="833"/>
      <c r="AM234" s="833"/>
      <c r="AN234" s="833"/>
      <c r="AO234" s="833"/>
      <c r="AP234" s="833"/>
      <c r="AQ234" s="833"/>
      <c r="AR234" s="833"/>
      <c r="AS234" s="833"/>
      <c r="AT234" s="833"/>
      <c r="AU234" s="833"/>
      <c r="AV234" s="833"/>
      <c r="AW234" s="833"/>
      <c r="AX234" s="833"/>
      <c r="AY234" s="833"/>
      <c r="AZ234" s="833"/>
      <c r="BA234" s="833"/>
      <c r="BB234" s="833"/>
      <c r="BC234" s="833"/>
      <c r="BD234" s="833"/>
      <c r="BE234" s="833"/>
      <c r="BF234" s="833"/>
      <c r="BG234" s="833"/>
      <c r="BH234" s="833"/>
      <c r="BI234" s="833"/>
      <c r="BJ234" s="833"/>
      <c r="BK234" s="833"/>
    </row>
    <row r="235" spans="2:63" x14ac:dyDescent="0.2">
      <c r="B235" s="869" t="s">
        <v>706</v>
      </c>
      <c r="C235" s="1026"/>
      <c r="D235" s="1027" t="s">
        <v>246</v>
      </c>
      <c r="E235" s="1028"/>
      <c r="F235" s="1028"/>
      <c r="G235" s="1028"/>
      <c r="H235" s="1029"/>
      <c r="I235" s="870"/>
      <c r="J235" s="870"/>
      <c r="K235" s="871"/>
      <c r="L235" s="1096">
        <f>SUM(L230:L234)</f>
        <v>1080</v>
      </c>
      <c r="M235" s="873">
        <v>100</v>
      </c>
      <c r="N235" s="874">
        <f>L235*M235/100</f>
        <v>1080</v>
      </c>
      <c r="O235" s="874"/>
      <c r="P235" s="876">
        <v>1400.8304347826088</v>
      </c>
      <c r="Q235" s="1006">
        <f>P235/L235</f>
        <v>1.2970652173913044</v>
      </c>
      <c r="R235" s="906"/>
      <c r="S235" s="844"/>
      <c r="T235" s="844"/>
      <c r="U235" s="844"/>
      <c r="V235" s="844"/>
      <c r="W235" s="844"/>
      <c r="X235" s="844"/>
      <c r="Y235" s="844"/>
      <c r="Z235" s="844"/>
      <c r="AA235" s="960" t="s">
        <v>707</v>
      </c>
      <c r="AB235" s="833"/>
      <c r="AC235" s="833"/>
      <c r="AD235" s="833"/>
      <c r="AE235" s="833"/>
      <c r="AF235" s="833"/>
      <c r="AG235" s="833"/>
      <c r="AH235" s="833"/>
      <c r="AI235" s="833"/>
      <c r="AJ235" s="833"/>
      <c r="AK235" s="833"/>
      <c r="AL235" s="833"/>
      <c r="AM235" s="833"/>
      <c r="AN235" s="833"/>
      <c r="AO235" s="833"/>
      <c r="AP235" s="833"/>
      <c r="AQ235" s="833"/>
      <c r="AR235" s="833"/>
      <c r="AS235" s="833"/>
      <c r="AT235" s="833"/>
      <c r="AU235" s="833"/>
      <c r="AV235" s="833"/>
      <c r="AW235" s="833"/>
      <c r="AX235" s="833"/>
      <c r="AY235" s="833"/>
      <c r="AZ235" s="833"/>
      <c r="BA235" s="833"/>
      <c r="BB235" s="833"/>
      <c r="BC235" s="833"/>
      <c r="BD235" s="833"/>
      <c r="BE235" s="833"/>
      <c r="BF235" s="833"/>
      <c r="BG235" s="833"/>
      <c r="BH235" s="833"/>
      <c r="BI235" s="833"/>
      <c r="BJ235" s="833"/>
      <c r="BK235" s="833"/>
    </row>
    <row r="236" spans="2:63" ht="15" customHeight="1" x14ac:dyDescent="0.2">
      <c r="C236" s="1107" t="s">
        <v>709</v>
      </c>
      <c r="D236" s="847" t="s">
        <v>361</v>
      </c>
      <c r="E236" s="848"/>
      <c r="F236" s="848"/>
      <c r="G236" s="848"/>
      <c r="H236" s="848"/>
      <c r="I236" s="848"/>
      <c r="J236" s="848"/>
      <c r="K236" s="848"/>
      <c r="L236" s="849"/>
      <c r="M236" s="844"/>
      <c r="N236" s="859"/>
      <c r="O236" s="859"/>
      <c r="P236" s="987"/>
      <c r="Q236" s="844"/>
      <c r="R236" s="988"/>
      <c r="S236" s="844"/>
      <c r="T236" s="844"/>
      <c r="U236" s="844"/>
      <c r="V236" s="844"/>
      <c r="W236" s="844"/>
      <c r="X236" s="844"/>
      <c r="Y236" s="844"/>
      <c r="Z236" s="844"/>
      <c r="AA236" s="844"/>
      <c r="AB236" s="833"/>
      <c r="AC236" s="833"/>
      <c r="AD236" s="833"/>
      <c r="AE236" s="833"/>
      <c r="AF236" s="833"/>
      <c r="AG236" s="833"/>
      <c r="AH236" s="833"/>
      <c r="AI236" s="833"/>
      <c r="AJ236" s="833"/>
      <c r="AK236" s="833"/>
      <c r="AL236" s="833"/>
      <c r="AM236" s="833"/>
      <c r="AN236" s="833"/>
      <c r="AO236" s="833"/>
      <c r="AP236" s="833"/>
      <c r="AQ236" s="833"/>
      <c r="AR236" s="833"/>
      <c r="AS236" s="833"/>
      <c r="AT236" s="833"/>
      <c r="AU236" s="833"/>
      <c r="AV236" s="833"/>
      <c r="AW236" s="833"/>
      <c r="AX236" s="833"/>
      <c r="AY236" s="833"/>
      <c r="AZ236" s="833"/>
      <c r="BA236" s="833"/>
      <c r="BB236" s="833"/>
      <c r="BC236" s="833"/>
      <c r="BD236" s="833"/>
      <c r="BE236" s="833"/>
      <c r="BF236" s="833"/>
      <c r="BG236" s="833"/>
      <c r="BH236" s="833"/>
      <c r="BI236" s="833"/>
      <c r="BJ236" s="833"/>
      <c r="BK236" s="833"/>
    </row>
    <row r="237" spans="2:63" x14ac:dyDescent="0.2">
      <c r="C237" s="1108"/>
      <c r="D237" s="853" t="s">
        <v>362</v>
      </c>
      <c r="E237" s="853" t="s">
        <v>33</v>
      </c>
      <c r="F237" s="1016"/>
      <c r="G237" s="1016"/>
      <c r="H237" s="1058" t="s">
        <v>217</v>
      </c>
      <c r="I237" s="1109">
        <v>3</v>
      </c>
      <c r="J237" s="1110">
        <v>100</v>
      </c>
      <c r="K237" s="1109">
        <v>3</v>
      </c>
      <c r="L237" s="1111">
        <f t="shared" ref="L237:L238" si="21">K237*J237*I237</f>
        <v>900</v>
      </c>
      <c r="M237" s="844"/>
      <c r="N237" s="859"/>
      <c r="O237" s="859"/>
      <c r="P237" s="987"/>
      <c r="Q237" s="844"/>
      <c r="R237" s="988"/>
      <c r="S237" s="844"/>
      <c r="T237" s="844"/>
      <c r="U237" s="844"/>
      <c r="V237" s="844"/>
      <c r="W237" s="844"/>
      <c r="X237" s="844"/>
      <c r="Y237" s="844"/>
      <c r="Z237" s="844"/>
      <c r="AA237" s="844"/>
      <c r="AB237" s="833"/>
      <c r="AC237" s="833"/>
      <c r="AD237" s="833"/>
      <c r="AE237" s="833"/>
      <c r="AF237" s="833"/>
      <c r="AG237" s="833"/>
      <c r="AH237" s="833"/>
      <c r="AI237" s="833"/>
      <c r="AJ237" s="833"/>
      <c r="AK237" s="833"/>
      <c r="AL237" s="833"/>
      <c r="AM237" s="833"/>
      <c r="AN237" s="833"/>
      <c r="AO237" s="833"/>
      <c r="AP237" s="833"/>
      <c r="AQ237" s="833"/>
      <c r="AR237" s="833"/>
      <c r="AS237" s="833"/>
      <c r="AT237" s="833"/>
      <c r="AU237" s="833"/>
      <c r="AV237" s="833"/>
      <c r="AW237" s="833"/>
      <c r="AX237" s="833"/>
      <c r="AY237" s="833"/>
      <c r="AZ237" s="833"/>
      <c r="BA237" s="833"/>
      <c r="BB237" s="833"/>
      <c r="BC237" s="833"/>
      <c r="BD237" s="833"/>
      <c r="BE237" s="833"/>
      <c r="BF237" s="833"/>
      <c r="BG237" s="833"/>
      <c r="BH237" s="833"/>
      <c r="BI237" s="833"/>
      <c r="BJ237" s="833"/>
      <c r="BK237" s="833"/>
    </row>
    <row r="238" spans="2:63" x14ac:dyDescent="0.2">
      <c r="C238" s="1108"/>
      <c r="D238" s="853" t="s">
        <v>363</v>
      </c>
      <c r="E238" s="853" t="s">
        <v>33</v>
      </c>
      <c r="F238" s="1016"/>
      <c r="G238" s="1016"/>
      <c r="H238" s="1058" t="s">
        <v>217</v>
      </c>
      <c r="I238" s="1112">
        <v>30</v>
      </c>
      <c r="J238" s="1113">
        <v>10</v>
      </c>
      <c r="K238" s="1113">
        <v>3</v>
      </c>
      <c r="L238" s="1111">
        <f t="shared" si="21"/>
        <v>900</v>
      </c>
      <c r="M238" s="844"/>
      <c r="N238" s="859"/>
      <c r="O238" s="859"/>
      <c r="P238" s="987"/>
      <c r="Q238" s="844"/>
      <c r="R238" s="988"/>
      <c r="S238" s="844"/>
      <c r="T238" s="844"/>
      <c r="U238" s="844"/>
      <c r="V238" s="844"/>
      <c r="W238" s="844"/>
      <c r="X238" s="844"/>
      <c r="Y238" s="844"/>
      <c r="Z238" s="844"/>
      <c r="AA238" s="844"/>
      <c r="AB238" s="833"/>
      <c r="AC238" s="833"/>
      <c r="AD238" s="833"/>
      <c r="AE238" s="833"/>
      <c r="AF238" s="833"/>
      <c r="AG238" s="833"/>
      <c r="AH238" s="833"/>
      <c r="AI238" s="833"/>
      <c r="AJ238" s="833"/>
      <c r="AK238" s="833"/>
      <c r="AL238" s="833"/>
      <c r="AM238" s="833"/>
      <c r="AN238" s="833"/>
      <c r="AO238" s="833"/>
      <c r="AP238" s="833"/>
      <c r="AQ238" s="833"/>
      <c r="AR238" s="833"/>
      <c r="AS238" s="833"/>
      <c r="AT238" s="833"/>
      <c r="AU238" s="833"/>
      <c r="AV238" s="833"/>
      <c r="AW238" s="833"/>
      <c r="AX238" s="833"/>
      <c r="AY238" s="833"/>
      <c r="AZ238" s="833"/>
      <c r="BA238" s="833"/>
      <c r="BB238" s="833"/>
      <c r="BC238" s="833"/>
      <c r="BD238" s="833"/>
      <c r="BE238" s="833"/>
      <c r="BF238" s="833"/>
      <c r="BG238" s="833"/>
      <c r="BH238" s="833"/>
      <c r="BI238" s="833"/>
      <c r="BJ238" s="833"/>
      <c r="BK238" s="833"/>
    </row>
    <row r="239" spans="2:63" s="820" customFormat="1" ht="13.9" customHeight="1" x14ac:dyDescent="0.2">
      <c r="C239" s="1108"/>
      <c r="D239" s="853" t="s">
        <v>364</v>
      </c>
      <c r="E239" s="853" t="s">
        <v>12</v>
      </c>
      <c r="F239" s="1016"/>
      <c r="G239" s="1016"/>
      <c r="H239" s="1052" t="s">
        <v>217</v>
      </c>
      <c r="I239" s="1114">
        <v>3</v>
      </c>
      <c r="J239" s="1112">
        <v>200</v>
      </c>
      <c r="K239" s="1113">
        <v>1</v>
      </c>
      <c r="L239" s="1115">
        <f>K239*J239*I239</f>
        <v>600</v>
      </c>
      <c r="M239" s="1116"/>
      <c r="N239" s="1117"/>
      <c r="O239" s="1117"/>
      <c r="P239" s="1118"/>
      <c r="Q239" s="1116"/>
      <c r="R239" s="1119"/>
      <c r="S239" s="1120"/>
      <c r="T239" s="1120"/>
      <c r="U239" s="1120"/>
      <c r="V239" s="1120"/>
      <c r="W239" s="1120"/>
      <c r="X239" s="1120"/>
      <c r="Y239" s="1120"/>
      <c r="Z239" s="1120"/>
      <c r="AA239" s="1120"/>
      <c r="AB239" s="1121"/>
      <c r="AC239" s="1121"/>
      <c r="AD239" s="1121"/>
      <c r="AE239" s="1121"/>
      <c r="AF239" s="1121"/>
      <c r="AG239" s="1121"/>
      <c r="AH239" s="1121"/>
      <c r="AI239" s="1121"/>
      <c r="AJ239" s="1121"/>
      <c r="AK239" s="1121"/>
      <c r="AL239" s="1121"/>
      <c r="AM239" s="1121"/>
      <c r="AN239" s="1121"/>
      <c r="AO239" s="1121"/>
      <c r="AP239" s="1121"/>
      <c r="AQ239" s="1121"/>
      <c r="AR239" s="1121"/>
      <c r="AS239" s="1121"/>
      <c r="AT239" s="1121"/>
      <c r="AU239" s="1121"/>
      <c r="AV239" s="1121"/>
      <c r="AW239" s="1121"/>
      <c r="AX239" s="1121"/>
      <c r="AY239" s="1121"/>
      <c r="AZ239" s="1121"/>
      <c r="BA239" s="1121"/>
      <c r="BB239" s="1121"/>
      <c r="BC239" s="1121"/>
      <c r="BD239" s="1121"/>
      <c r="BE239" s="1121"/>
      <c r="BF239" s="1121"/>
      <c r="BG239" s="1121"/>
      <c r="BH239" s="1121"/>
      <c r="BI239" s="1121"/>
      <c r="BJ239" s="1121"/>
      <c r="BK239" s="1121"/>
    </row>
    <row r="240" spans="2:63" ht="13.9" customHeight="1" x14ac:dyDescent="0.2">
      <c r="C240" s="1108"/>
      <c r="D240" s="853" t="s">
        <v>365</v>
      </c>
      <c r="E240" s="853" t="s">
        <v>11</v>
      </c>
      <c r="F240" s="1016"/>
      <c r="G240" s="1016"/>
      <c r="H240" s="1058" t="s">
        <v>217</v>
      </c>
      <c r="I240" s="1113">
        <v>3</v>
      </c>
      <c r="J240" s="1113">
        <v>100</v>
      </c>
      <c r="K240" s="1113">
        <v>9</v>
      </c>
      <c r="L240" s="1111">
        <f t="shared" ref="L240" si="22">K240*J240*I240</f>
        <v>2700</v>
      </c>
      <c r="M240" s="844"/>
      <c r="N240" s="859"/>
      <c r="O240" s="859"/>
      <c r="P240" s="987"/>
      <c r="Q240" s="844"/>
      <c r="R240" s="988"/>
      <c r="S240" s="844"/>
      <c r="T240" s="844"/>
      <c r="U240" s="844"/>
      <c r="V240" s="844"/>
      <c r="W240" s="844"/>
      <c r="X240" s="844"/>
      <c r="Y240" s="844"/>
      <c r="Z240" s="844"/>
      <c r="AA240" s="844"/>
      <c r="AB240" s="833"/>
      <c r="AC240" s="833"/>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3"/>
      <c r="AY240" s="833"/>
      <c r="AZ240" s="833"/>
      <c r="BA240" s="833"/>
      <c r="BB240" s="833"/>
      <c r="BC240" s="833"/>
      <c r="BD240" s="833"/>
      <c r="BE240" s="833"/>
      <c r="BF240" s="833"/>
      <c r="BG240" s="833"/>
      <c r="BH240" s="833"/>
      <c r="BI240" s="833"/>
      <c r="BJ240" s="833"/>
      <c r="BK240" s="833"/>
    </row>
    <row r="241" spans="2:63" x14ac:dyDescent="0.2">
      <c r="C241" s="1108"/>
      <c r="D241" s="853" t="s">
        <v>366</v>
      </c>
      <c r="E241" s="853" t="s">
        <v>14</v>
      </c>
      <c r="F241" s="1016"/>
      <c r="G241" s="1016"/>
      <c r="H241" s="1058" t="s">
        <v>217</v>
      </c>
      <c r="I241" s="855">
        <v>3</v>
      </c>
      <c r="J241" s="1122">
        <v>100</v>
      </c>
      <c r="K241" s="855">
        <v>1</v>
      </c>
      <c r="L241" s="1123">
        <f t="shared" ref="L241" si="23">I241*J241*K241</f>
        <v>300</v>
      </c>
      <c r="M241" s="844"/>
      <c r="N241" s="859"/>
      <c r="O241" s="859"/>
      <c r="P241" s="987"/>
      <c r="Q241" s="844"/>
      <c r="R241" s="988"/>
      <c r="S241" s="844"/>
      <c r="T241" s="844"/>
      <c r="U241" s="844"/>
      <c r="V241" s="844"/>
      <c r="W241" s="844"/>
      <c r="X241" s="844"/>
      <c r="Y241" s="844"/>
      <c r="Z241" s="844"/>
      <c r="AA241" s="844"/>
      <c r="AB241" s="833"/>
      <c r="AC241" s="833"/>
      <c r="AD241" s="833"/>
      <c r="AE241" s="833"/>
      <c r="AF241" s="833"/>
      <c r="AG241" s="833"/>
      <c r="AH241" s="833"/>
      <c r="AI241" s="833"/>
      <c r="AJ241" s="833"/>
      <c r="AK241" s="833"/>
      <c r="AL241" s="833"/>
      <c r="AM241" s="833"/>
      <c r="AN241" s="833"/>
      <c r="AO241" s="833"/>
      <c r="AP241" s="833"/>
      <c r="AQ241" s="833"/>
      <c r="AR241" s="833"/>
      <c r="AS241" s="833"/>
      <c r="AT241" s="833"/>
      <c r="AU241" s="833"/>
      <c r="AV241" s="833"/>
      <c r="AW241" s="833"/>
      <c r="AX241" s="833"/>
      <c r="AY241" s="833"/>
      <c r="AZ241" s="833"/>
      <c r="BA241" s="833"/>
      <c r="BB241" s="833"/>
      <c r="BC241" s="833"/>
      <c r="BD241" s="833"/>
      <c r="BE241" s="833"/>
      <c r="BF241" s="833"/>
      <c r="BG241" s="833"/>
      <c r="BH241" s="833"/>
      <c r="BI241" s="833"/>
      <c r="BJ241" s="833"/>
      <c r="BK241" s="833"/>
    </row>
    <row r="242" spans="2:63" x14ac:dyDescent="0.2">
      <c r="B242" s="869" t="s">
        <v>710</v>
      </c>
      <c r="C242" s="1108"/>
      <c r="D242" s="870" t="s">
        <v>246</v>
      </c>
      <c r="E242" s="870"/>
      <c r="F242" s="870"/>
      <c r="G242" s="870"/>
      <c r="H242" s="871"/>
      <c r="I242" s="1124"/>
      <c r="J242" s="1124"/>
      <c r="K242" s="1124"/>
      <c r="L242" s="1096">
        <f>SUM(L237:L241)</f>
        <v>5400</v>
      </c>
      <c r="M242" s="873">
        <v>98</v>
      </c>
      <c r="N242" s="874">
        <f>L242*M242/100</f>
        <v>5292</v>
      </c>
      <c r="O242" s="874"/>
      <c r="P242" s="876">
        <v>3391.15</v>
      </c>
      <c r="Q242" s="1006">
        <f>P242/L242</f>
        <v>0.62799074074074079</v>
      </c>
      <c r="R242" s="906"/>
      <c r="S242" s="844"/>
      <c r="T242" s="844"/>
      <c r="U242" s="844"/>
      <c r="V242" s="844"/>
      <c r="W242" s="844"/>
      <c r="X242" s="844"/>
      <c r="Y242" s="844"/>
      <c r="Z242" s="844"/>
      <c r="AA242" s="960" t="s">
        <v>707</v>
      </c>
      <c r="AB242" s="833"/>
      <c r="AC242" s="833"/>
      <c r="AD242" s="833"/>
      <c r="AE242" s="833"/>
      <c r="AF242" s="833"/>
      <c r="AG242" s="833"/>
      <c r="AH242" s="833"/>
      <c r="AI242" s="833"/>
      <c r="AJ242" s="833"/>
      <c r="AK242" s="833"/>
      <c r="AL242" s="833"/>
      <c r="AM242" s="833"/>
      <c r="AN242" s="833"/>
      <c r="AO242" s="833"/>
      <c r="AP242" s="833"/>
      <c r="AQ242" s="833"/>
      <c r="AR242" s="833"/>
      <c r="AS242" s="833"/>
      <c r="AT242" s="833"/>
      <c r="AU242" s="833"/>
      <c r="AV242" s="833"/>
      <c r="AW242" s="833"/>
      <c r="AX242" s="833"/>
      <c r="AY242" s="833"/>
      <c r="AZ242" s="833"/>
      <c r="BA242" s="833"/>
      <c r="BB242" s="833"/>
      <c r="BC242" s="833"/>
      <c r="BD242" s="833"/>
      <c r="BE242" s="833"/>
      <c r="BF242" s="833"/>
      <c r="BG242" s="833"/>
      <c r="BH242" s="833"/>
      <c r="BI242" s="833"/>
      <c r="BJ242" s="833"/>
      <c r="BK242" s="833"/>
    </row>
    <row r="243" spans="2:63" x14ac:dyDescent="0.2">
      <c r="C243" s="1108"/>
      <c r="D243" s="847" t="s">
        <v>367</v>
      </c>
      <c r="E243" s="848"/>
      <c r="F243" s="848"/>
      <c r="G243" s="848"/>
      <c r="H243" s="848"/>
      <c r="I243" s="848"/>
      <c r="J243" s="848"/>
      <c r="K243" s="848"/>
      <c r="L243" s="849"/>
      <c r="M243" s="844"/>
      <c r="N243" s="859"/>
      <c r="O243" s="859"/>
      <c r="P243" s="987"/>
      <c r="Q243" s="844"/>
      <c r="R243" s="988"/>
      <c r="S243" s="844"/>
      <c r="T243" s="844"/>
      <c r="U243" s="844"/>
      <c r="V243" s="844"/>
      <c r="W243" s="844"/>
      <c r="X243" s="844"/>
      <c r="Y243" s="844"/>
      <c r="Z243" s="844"/>
      <c r="AA243" s="844"/>
      <c r="AB243" s="833"/>
      <c r="AC243" s="833"/>
      <c r="AD243" s="833"/>
      <c r="AE243" s="833"/>
      <c r="AF243" s="833"/>
      <c r="AG243" s="833"/>
      <c r="AH243" s="833"/>
      <c r="AI243" s="833"/>
      <c r="AJ243" s="833"/>
      <c r="AK243" s="833"/>
      <c r="AL243" s="833"/>
      <c r="AM243" s="833"/>
      <c r="AN243" s="833"/>
      <c r="AO243" s="833"/>
      <c r="AP243" s="833"/>
      <c r="AQ243" s="833"/>
      <c r="AR243" s="833"/>
      <c r="AS243" s="833"/>
      <c r="AT243" s="833"/>
      <c r="AU243" s="833"/>
      <c r="AV243" s="833"/>
      <c r="AW243" s="833"/>
      <c r="AX243" s="833"/>
      <c r="AY243" s="833"/>
      <c r="AZ243" s="833"/>
      <c r="BA243" s="833"/>
      <c r="BB243" s="833"/>
      <c r="BC243" s="833"/>
      <c r="BD243" s="833"/>
      <c r="BE243" s="833"/>
      <c r="BF243" s="833"/>
      <c r="BG243" s="833"/>
      <c r="BH243" s="833"/>
      <c r="BI243" s="833"/>
      <c r="BJ243" s="833"/>
      <c r="BK243" s="833"/>
    </row>
    <row r="244" spans="2:63" ht="25.5" x14ac:dyDescent="0.25">
      <c r="B244" s="1125"/>
      <c r="C244" s="1108"/>
      <c r="D244" s="1126" t="s">
        <v>368</v>
      </c>
      <c r="E244" s="853" t="s">
        <v>14</v>
      </c>
      <c r="F244" s="1016"/>
      <c r="G244" s="1016"/>
      <c r="H244" s="1127" t="s">
        <v>217</v>
      </c>
      <c r="I244" s="1101">
        <v>3</v>
      </c>
      <c r="J244" s="1128">
        <v>128</v>
      </c>
      <c r="K244" s="1101">
        <v>1</v>
      </c>
      <c r="L244" s="1129">
        <f>I244*J244*K244</f>
        <v>384</v>
      </c>
      <c r="M244" s="844"/>
      <c r="N244" s="859"/>
      <c r="O244" s="859"/>
      <c r="P244" s="1130"/>
      <c r="Q244" s="844"/>
      <c r="R244" s="988"/>
      <c r="S244" s="844"/>
      <c r="T244" s="844"/>
      <c r="U244" s="844"/>
      <c r="V244" s="844"/>
      <c r="W244" s="844"/>
      <c r="X244" s="844"/>
      <c r="Y244" s="844"/>
      <c r="Z244" s="844"/>
      <c r="AA244" s="844"/>
      <c r="AB244" s="833"/>
      <c r="AC244" s="833"/>
      <c r="AD244" s="833"/>
      <c r="AE244" s="833"/>
      <c r="AF244" s="833"/>
      <c r="AG244" s="833"/>
      <c r="AH244" s="833"/>
      <c r="AI244" s="833"/>
      <c r="AJ244" s="833"/>
      <c r="AK244" s="833"/>
      <c r="AL244" s="833"/>
      <c r="AM244" s="833"/>
      <c r="AN244" s="833"/>
      <c r="AO244" s="833"/>
      <c r="AP244" s="833"/>
      <c r="AQ244" s="833"/>
      <c r="AR244" s="833"/>
      <c r="AS244" s="833"/>
      <c r="AT244" s="833"/>
      <c r="AU244" s="833"/>
      <c r="AV244" s="833"/>
      <c r="AW244" s="833"/>
      <c r="AX244" s="833"/>
      <c r="AY244" s="833"/>
      <c r="AZ244" s="833"/>
      <c r="BA244" s="833"/>
      <c r="BB244" s="833"/>
      <c r="BC244" s="833"/>
      <c r="BD244" s="833"/>
      <c r="BE244" s="833"/>
      <c r="BF244" s="833"/>
      <c r="BG244" s="833"/>
      <c r="BH244" s="833"/>
      <c r="BI244" s="833"/>
      <c r="BJ244" s="833"/>
      <c r="BK244" s="833"/>
    </row>
    <row r="245" spans="2:63" ht="13.9" customHeight="1" x14ac:dyDescent="0.2">
      <c r="B245" s="869" t="s">
        <v>711</v>
      </c>
      <c r="C245" s="1108"/>
      <c r="D245" s="1027" t="s">
        <v>246</v>
      </c>
      <c r="E245" s="1028"/>
      <c r="F245" s="1028"/>
      <c r="G245" s="1028"/>
      <c r="H245" s="1029"/>
      <c r="I245" s="870"/>
      <c r="J245" s="870"/>
      <c r="K245" s="870"/>
      <c r="L245" s="1096">
        <f>SUM(L244)</f>
        <v>384</v>
      </c>
      <c r="M245" s="873">
        <v>98</v>
      </c>
      <c r="N245" s="874">
        <f>L245*M245/100</f>
        <v>376.32</v>
      </c>
      <c r="O245" s="874"/>
      <c r="P245" s="876">
        <v>631.91</v>
      </c>
      <c r="Q245" s="1006">
        <f>P245/L245</f>
        <v>1.6455989583333333</v>
      </c>
      <c r="R245" s="906"/>
      <c r="S245" s="844"/>
      <c r="T245" s="844"/>
      <c r="U245" s="844"/>
      <c r="V245" s="844"/>
      <c r="W245" s="844"/>
      <c r="X245" s="844"/>
      <c r="Y245" s="844"/>
      <c r="Z245" s="844"/>
      <c r="AA245" s="960" t="s">
        <v>712</v>
      </c>
      <c r="AB245" s="833"/>
      <c r="AC245" s="833"/>
      <c r="AD245" s="833"/>
      <c r="AE245" s="833"/>
      <c r="AF245" s="833"/>
      <c r="AG245" s="833"/>
      <c r="AH245" s="833"/>
      <c r="AI245" s="833"/>
      <c r="AJ245" s="833"/>
      <c r="AK245" s="833"/>
      <c r="AL245" s="833"/>
      <c r="AM245" s="833"/>
      <c r="AN245" s="833"/>
      <c r="AO245" s="833"/>
      <c r="AP245" s="833"/>
      <c r="AQ245" s="833"/>
      <c r="AR245" s="833"/>
      <c r="AS245" s="833"/>
      <c r="AT245" s="833"/>
      <c r="AU245" s="833"/>
      <c r="AV245" s="833"/>
      <c r="AW245" s="833"/>
      <c r="AX245" s="833"/>
      <c r="AY245" s="833"/>
      <c r="AZ245" s="833"/>
      <c r="BA245" s="833"/>
      <c r="BB245" s="833"/>
      <c r="BC245" s="833"/>
      <c r="BD245" s="833"/>
      <c r="BE245" s="833"/>
      <c r="BF245" s="833"/>
      <c r="BG245" s="833"/>
      <c r="BH245" s="833"/>
      <c r="BI245" s="833"/>
      <c r="BJ245" s="833"/>
      <c r="BK245" s="833"/>
    </row>
    <row r="246" spans="2:63" ht="13.9" customHeight="1" x14ac:dyDescent="0.2">
      <c r="C246" s="1108"/>
      <c r="D246" s="847" t="s">
        <v>369</v>
      </c>
      <c r="E246" s="848"/>
      <c r="F246" s="848"/>
      <c r="G246" s="848"/>
      <c r="H246" s="848"/>
      <c r="I246" s="848"/>
      <c r="J246" s="848"/>
      <c r="K246" s="848"/>
      <c r="L246" s="849"/>
      <c r="M246" s="844"/>
      <c r="N246" s="859"/>
      <c r="O246" s="859"/>
      <c r="P246" s="987"/>
      <c r="Q246" s="844"/>
      <c r="R246" s="988"/>
      <c r="S246" s="844"/>
      <c r="T246" s="844"/>
      <c r="U246" s="844"/>
      <c r="V246" s="844"/>
      <c r="W246" s="844"/>
      <c r="X246" s="844"/>
      <c r="Y246" s="844"/>
      <c r="Z246" s="844"/>
      <c r="AA246" s="844"/>
      <c r="AB246" s="833"/>
      <c r="AC246" s="833"/>
      <c r="AD246" s="833"/>
      <c r="AE246" s="833"/>
      <c r="AF246" s="833"/>
      <c r="AG246" s="833"/>
      <c r="AH246" s="833"/>
      <c r="AI246" s="833"/>
      <c r="AJ246" s="833"/>
      <c r="AK246" s="833"/>
      <c r="AL246" s="833"/>
      <c r="AM246" s="833"/>
      <c r="AN246" s="833"/>
      <c r="AO246" s="833"/>
      <c r="AP246" s="833"/>
      <c r="AQ246" s="833"/>
      <c r="AR246" s="833"/>
      <c r="AS246" s="833"/>
      <c r="AT246" s="833"/>
      <c r="AU246" s="833"/>
      <c r="AV246" s="833"/>
      <c r="AW246" s="833"/>
      <c r="AX246" s="833"/>
      <c r="AY246" s="833"/>
      <c r="AZ246" s="833"/>
      <c r="BA246" s="833"/>
      <c r="BB246" s="833"/>
      <c r="BC246" s="833"/>
      <c r="BD246" s="833"/>
      <c r="BE246" s="833"/>
      <c r="BF246" s="833"/>
      <c r="BG246" s="833"/>
      <c r="BH246" s="833"/>
      <c r="BI246" s="833"/>
      <c r="BJ246" s="833"/>
      <c r="BK246" s="833"/>
    </row>
    <row r="247" spans="2:63" x14ac:dyDescent="0.2">
      <c r="C247" s="1108"/>
      <c r="D247" s="853" t="s">
        <v>362</v>
      </c>
      <c r="E247" s="853" t="s">
        <v>33</v>
      </c>
      <c r="F247" s="1016"/>
      <c r="G247" s="1016"/>
      <c r="H247" s="1058" t="s">
        <v>217</v>
      </c>
      <c r="I247" s="1131">
        <v>1</v>
      </c>
      <c r="J247" s="856">
        <v>100</v>
      </c>
      <c r="K247" s="855">
        <v>2</v>
      </c>
      <c r="L247" s="1129">
        <f t="shared" ref="L247:L252" si="24">I247*J247*K247</f>
        <v>200</v>
      </c>
      <c r="M247" s="844"/>
      <c r="N247" s="859"/>
      <c r="O247" s="859"/>
      <c r="P247" s="987"/>
      <c r="Q247" s="844"/>
      <c r="R247" s="988"/>
      <c r="S247" s="844"/>
      <c r="T247" s="844"/>
      <c r="U247" s="844"/>
      <c r="V247" s="844"/>
      <c r="W247" s="844"/>
      <c r="X247" s="844"/>
      <c r="Y247" s="844"/>
      <c r="Z247" s="844"/>
      <c r="AA247" s="844"/>
      <c r="AB247" s="833"/>
      <c r="AC247" s="833"/>
      <c r="AD247" s="833"/>
      <c r="AE247" s="833"/>
      <c r="AF247" s="833"/>
      <c r="AG247" s="833"/>
      <c r="AH247" s="833"/>
      <c r="AI247" s="833"/>
      <c r="AJ247" s="833"/>
      <c r="AK247" s="833"/>
      <c r="AL247" s="833"/>
      <c r="AM247" s="833"/>
      <c r="AN247" s="833"/>
      <c r="AO247" s="833"/>
      <c r="AP247" s="833"/>
      <c r="AQ247" s="833"/>
      <c r="AR247" s="833"/>
      <c r="AS247" s="833"/>
      <c r="AT247" s="833"/>
      <c r="AU247" s="833"/>
      <c r="AV247" s="833"/>
      <c r="AW247" s="833"/>
      <c r="AX247" s="833"/>
      <c r="AY247" s="833"/>
      <c r="AZ247" s="833"/>
      <c r="BA247" s="833"/>
      <c r="BB247" s="833"/>
      <c r="BC247" s="833"/>
      <c r="BD247" s="833"/>
      <c r="BE247" s="833"/>
      <c r="BF247" s="833"/>
      <c r="BG247" s="833"/>
      <c r="BH247" s="833"/>
      <c r="BI247" s="833"/>
      <c r="BJ247" s="833"/>
      <c r="BK247" s="833"/>
    </row>
    <row r="248" spans="2:63" x14ac:dyDescent="0.2">
      <c r="C248" s="1108"/>
      <c r="D248" s="853" t="s">
        <v>363</v>
      </c>
      <c r="E248" s="853" t="s">
        <v>33</v>
      </c>
      <c r="F248" s="1016"/>
      <c r="G248" s="1016"/>
      <c r="H248" s="1058" t="s">
        <v>217</v>
      </c>
      <c r="I248" s="1131">
        <v>18</v>
      </c>
      <c r="J248" s="856">
        <v>10</v>
      </c>
      <c r="K248" s="855">
        <v>2</v>
      </c>
      <c r="L248" s="1129">
        <f t="shared" si="24"/>
        <v>360</v>
      </c>
      <c r="M248" s="844"/>
      <c r="N248" s="859"/>
      <c r="O248" s="859"/>
      <c r="P248" s="987"/>
      <c r="Q248" s="844"/>
      <c r="R248" s="988"/>
      <c r="S248" s="844"/>
      <c r="T248" s="844"/>
      <c r="U248" s="844"/>
      <c r="V248" s="844"/>
      <c r="W248" s="844"/>
      <c r="X248" s="844"/>
      <c r="Y248" s="844"/>
      <c r="Z248" s="844"/>
      <c r="AA248" s="844"/>
      <c r="AB248" s="833"/>
      <c r="AC248" s="833"/>
      <c r="AD248" s="833"/>
      <c r="AE248" s="833"/>
      <c r="AF248" s="833"/>
      <c r="AG248" s="833"/>
      <c r="AH248" s="833"/>
      <c r="AI248" s="833"/>
      <c r="AJ248" s="833"/>
      <c r="AK248" s="833"/>
      <c r="AL248" s="833"/>
      <c r="AM248" s="833"/>
      <c r="AN248" s="833"/>
      <c r="AO248" s="833"/>
      <c r="AP248" s="833"/>
      <c r="AQ248" s="833"/>
      <c r="AR248" s="833"/>
      <c r="AS248" s="833"/>
      <c r="AT248" s="833"/>
      <c r="AU248" s="833"/>
      <c r="AV248" s="833"/>
      <c r="AW248" s="833"/>
      <c r="AX248" s="833"/>
      <c r="AY248" s="833"/>
      <c r="AZ248" s="833"/>
      <c r="BA248" s="833"/>
      <c r="BB248" s="833"/>
      <c r="BC248" s="833"/>
      <c r="BD248" s="833"/>
      <c r="BE248" s="833"/>
      <c r="BF248" s="833"/>
      <c r="BG248" s="833"/>
      <c r="BH248" s="833"/>
      <c r="BI248" s="833"/>
      <c r="BJ248" s="833"/>
      <c r="BK248" s="833"/>
    </row>
    <row r="249" spans="2:63" x14ac:dyDescent="0.2">
      <c r="C249" s="1108"/>
      <c r="D249" s="853" t="s">
        <v>364</v>
      </c>
      <c r="E249" s="853" t="s">
        <v>12</v>
      </c>
      <c r="F249" s="1016"/>
      <c r="G249" s="1016"/>
      <c r="H249" s="1052" t="s">
        <v>217</v>
      </c>
      <c r="I249" s="1131">
        <v>1</v>
      </c>
      <c r="J249" s="1132">
        <v>80</v>
      </c>
      <c r="K249" s="855">
        <v>1</v>
      </c>
      <c r="L249" s="1133">
        <f t="shared" si="24"/>
        <v>80</v>
      </c>
      <c r="M249" s="844"/>
      <c r="N249" s="859"/>
      <c r="O249" s="859"/>
      <c r="P249" s="987"/>
      <c r="Q249" s="844"/>
      <c r="R249" s="988"/>
      <c r="S249" s="844"/>
      <c r="T249" s="844"/>
      <c r="U249" s="844"/>
      <c r="V249" s="844"/>
      <c r="W249" s="844"/>
      <c r="X249" s="844"/>
      <c r="Y249" s="844"/>
      <c r="Z249" s="844"/>
      <c r="AA249" s="844"/>
      <c r="AB249" s="833"/>
      <c r="AC249" s="833"/>
      <c r="AD249" s="833"/>
      <c r="AE249" s="833"/>
      <c r="AF249" s="833"/>
      <c r="AG249" s="833"/>
      <c r="AH249" s="833"/>
      <c r="AI249" s="833"/>
      <c r="AJ249" s="833"/>
      <c r="AK249" s="833"/>
      <c r="AL249" s="833"/>
      <c r="AM249" s="833"/>
      <c r="AN249" s="833"/>
      <c r="AO249" s="833"/>
      <c r="AP249" s="833"/>
      <c r="AQ249" s="833"/>
      <c r="AR249" s="833"/>
      <c r="AS249" s="833"/>
      <c r="AT249" s="833"/>
      <c r="AU249" s="833"/>
      <c r="AV249" s="833"/>
      <c r="AW249" s="833"/>
      <c r="AX249" s="833"/>
      <c r="AY249" s="833"/>
      <c r="AZ249" s="833"/>
      <c r="BA249" s="833"/>
      <c r="BB249" s="833"/>
      <c r="BC249" s="833"/>
      <c r="BD249" s="833"/>
      <c r="BE249" s="833"/>
      <c r="BF249" s="833"/>
      <c r="BG249" s="833"/>
      <c r="BH249" s="833"/>
      <c r="BI249" s="833"/>
      <c r="BJ249" s="833"/>
      <c r="BK249" s="833"/>
    </row>
    <row r="250" spans="2:63" x14ac:dyDescent="0.2">
      <c r="C250" s="1108"/>
      <c r="D250" s="853" t="s">
        <v>370</v>
      </c>
      <c r="E250" s="853" t="s">
        <v>13</v>
      </c>
      <c r="F250" s="1016"/>
      <c r="G250" s="1016"/>
      <c r="H250" s="1058" t="s">
        <v>217</v>
      </c>
      <c r="I250" s="1131">
        <v>8</v>
      </c>
      <c r="J250" s="856">
        <v>10</v>
      </c>
      <c r="K250" s="855">
        <v>2</v>
      </c>
      <c r="L250" s="1129">
        <f t="shared" si="24"/>
        <v>160</v>
      </c>
      <c r="M250" s="844"/>
      <c r="N250" s="859"/>
      <c r="O250" s="859"/>
      <c r="P250" s="987"/>
      <c r="Q250" s="844"/>
      <c r="R250" s="988"/>
      <c r="S250" s="844"/>
      <c r="T250" s="844"/>
      <c r="U250" s="844"/>
      <c r="V250" s="844"/>
      <c r="W250" s="844"/>
      <c r="X250" s="844"/>
      <c r="Y250" s="844"/>
      <c r="Z250" s="844"/>
      <c r="AA250" s="844"/>
      <c r="AB250" s="833"/>
      <c r="AC250" s="833"/>
      <c r="AD250" s="833"/>
      <c r="AE250" s="833"/>
      <c r="AF250" s="833"/>
      <c r="AG250" s="833"/>
      <c r="AH250" s="833"/>
      <c r="AI250" s="833"/>
      <c r="AJ250" s="833"/>
      <c r="AK250" s="833"/>
      <c r="AL250" s="833"/>
      <c r="AM250" s="833"/>
      <c r="AN250" s="833"/>
      <c r="AO250" s="833"/>
      <c r="AP250" s="833"/>
      <c r="AQ250" s="833"/>
      <c r="AR250" s="833"/>
      <c r="AS250" s="833"/>
      <c r="AT250" s="833"/>
      <c r="AU250" s="833"/>
      <c r="AV250" s="833"/>
      <c r="AW250" s="833"/>
      <c r="AX250" s="833"/>
      <c r="AY250" s="833"/>
      <c r="AZ250" s="833"/>
      <c r="BA250" s="833"/>
      <c r="BB250" s="833"/>
      <c r="BC250" s="833"/>
      <c r="BD250" s="833"/>
      <c r="BE250" s="833"/>
      <c r="BF250" s="833"/>
      <c r="BG250" s="833"/>
      <c r="BH250" s="833"/>
      <c r="BI250" s="833"/>
      <c r="BJ250" s="833"/>
      <c r="BK250" s="833"/>
    </row>
    <row r="251" spans="2:63" x14ac:dyDescent="0.2">
      <c r="C251" s="1108"/>
      <c r="D251" s="853" t="s">
        <v>371</v>
      </c>
      <c r="E251" s="853" t="s">
        <v>13</v>
      </c>
      <c r="F251" s="1016"/>
      <c r="G251" s="1016"/>
      <c r="H251" s="1058" t="s">
        <v>217</v>
      </c>
      <c r="I251" s="1131">
        <v>8</v>
      </c>
      <c r="J251" s="856">
        <v>40</v>
      </c>
      <c r="K251" s="855">
        <v>1</v>
      </c>
      <c r="L251" s="1129">
        <f t="shared" si="24"/>
        <v>320</v>
      </c>
      <c r="M251" s="844"/>
      <c r="N251" s="859"/>
      <c r="O251" s="859"/>
      <c r="P251" s="987"/>
      <c r="Q251" s="844"/>
      <c r="R251" s="988"/>
      <c r="S251" s="844"/>
      <c r="T251" s="844"/>
      <c r="U251" s="844"/>
      <c r="V251" s="844"/>
      <c r="W251" s="844"/>
      <c r="X251" s="844"/>
      <c r="Y251" s="844"/>
      <c r="Z251" s="844"/>
      <c r="AA251" s="844"/>
      <c r="AB251" s="833"/>
      <c r="AC251" s="833"/>
      <c r="AD251" s="833"/>
      <c r="AE251" s="833"/>
      <c r="AF251" s="833"/>
      <c r="AG251" s="833"/>
      <c r="AH251" s="833"/>
      <c r="AI251" s="833"/>
      <c r="AJ251" s="833"/>
      <c r="AK251" s="833"/>
      <c r="AL251" s="833"/>
      <c r="AM251" s="833"/>
      <c r="AN251" s="833"/>
      <c r="AO251" s="833"/>
      <c r="AP251" s="833"/>
      <c r="AQ251" s="833"/>
      <c r="AR251" s="833"/>
      <c r="AS251" s="833"/>
      <c r="AT251" s="833"/>
      <c r="AU251" s="833"/>
      <c r="AV251" s="833"/>
      <c r="AW251" s="833"/>
      <c r="AX251" s="833"/>
      <c r="AY251" s="833"/>
      <c r="AZ251" s="833"/>
      <c r="BA251" s="833"/>
      <c r="BB251" s="833"/>
      <c r="BC251" s="833"/>
      <c r="BD251" s="833"/>
      <c r="BE251" s="833"/>
      <c r="BF251" s="833"/>
      <c r="BG251" s="833"/>
      <c r="BH251" s="833"/>
      <c r="BI251" s="833"/>
      <c r="BJ251" s="833"/>
      <c r="BK251" s="833"/>
    </row>
    <row r="252" spans="2:63" x14ac:dyDescent="0.2">
      <c r="C252" s="1108"/>
      <c r="D252" s="853" t="s">
        <v>372</v>
      </c>
      <c r="E252" s="853" t="s">
        <v>13</v>
      </c>
      <c r="F252" s="1016"/>
      <c r="G252" s="1016"/>
      <c r="H252" s="1058" t="s">
        <v>217</v>
      </c>
      <c r="I252" s="1131">
        <v>8</v>
      </c>
      <c r="J252" s="856">
        <v>7</v>
      </c>
      <c r="K252" s="855">
        <v>2</v>
      </c>
      <c r="L252" s="1129">
        <f t="shared" si="24"/>
        <v>112</v>
      </c>
      <c r="M252" s="844"/>
      <c r="N252" s="859"/>
      <c r="O252" s="859"/>
      <c r="P252" s="987"/>
      <c r="Q252" s="844"/>
      <c r="R252" s="988"/>
      <c r="S252" s="844"/>
      <c r="T252" s="844"/>
      <c r="U252" s="844"/>
      <c r="V252" s="844"/>
      <c r="W252" s="844"/>
      <c r="X252" s="844"/>
      <c r="Y252" s="844"/>
      <c r="Z252" s="844"/>
      <c r="AA252" s="844"/>
      <c r="AB252" s="833"/>
      <c r="AC252" s="833"/>
      <c r="AD252" s="833"/>
      <c r="AE252" s="833"/>
      <c r="AF252" s="833"/>
      <c r="AG252" s="833"/>
      <c r="AH252" s="833"/>
      <c r="AI252" s="833"/>
      <c r="AJ252" s="833"/>
      <c r="AK252" s="833"/>
      <c r="AL252" s="833"/>
      <c r="AM252" s="833"/>
      <c r="AN252" s="833"/>
      <c r="AO252" s="833"/>
      <c r="AP252" s="833"/>
      <c r="AQ252" s="833"/>
      <c r="AR252" s="833"/>
      <c r="AS252" s="833"/>
      <c r="AT252" s="833"/>
      <c r="AU252" s="833"/>
      <c r="AV252" s="833"/>
      <c r="AW252" s="833"/>
      <c r="AX252" s="833"/>
      <c r="AY252" s="833"/>
      <c r="AZ252" s="833"/>
      <c r="BA252" s="833"/>
      <c r="BB252" s="833"/>
      <c r="BC252" s="833"/>
      <c r="BD252" s="833"/>
      <c r="BE252" s="833"/>
      <c r="BF252" s="833"/>
      <c r="BG252" s="833"/>
      <c r="BH252" s="833"/>
      <c r="BI252" s="833"/>
      <c r="BJ252" s="833"/>
      <c r="BK252" s="833"/>
    </row>
    <row r="253" spans="2:63" x14ac:dyDescent="0.2">
      <c r="B253" s="869" t="s">
        <v>713</v>
      </c>
      <c r="C253" s="1134"/>
      <c r="D253" s="870" t="s">
        <v>246</v>
      </c>
      <c r="E253" s="870"/>
      <c r="F253" s="870"/>
      <c r="G253" s="870"/>
      <c r="H253" s="1135"/>
      <c r="I253" s="1135"/>
      <c r="J253" s="1135"/>
      <c r="K253" s="1135"/>
      <c r="L253" s="1096">
        <f>SUM(L247:L252)</f>
        <v>1232</v>
      </c>
      <c r="M253" s="873">
        <v>70</v>
      </c>
      <c r="N253" s="874">
        <f>L253*M253/100</f>
        <v>862.4</v>
      </c>
      <c r="O253" s="874"/>
      <c r="P253" s="876">
        <v>2026.37</v>
      </c>
      <c r="Q253" s="1006">
        <f>P253/L253</f>
        <v>1.644780844155844</v>
      </c>
      <c r="R253" s="906"/>
      <c r="S253" s="844"/>
      <c r="T253" s="844"/>
      <c r="U253" s="844"/>
      <c r="V253" s="844"/>
      <c r="W253" s="844"/>
      <c r="X253" s="844"/>
      <c r="Y253" s="844"/>
      <c r="Z253" s="844"/>
      <c r="AA253" s="960" t="s">
        <v>707</v>
      </c>
      <c r="AB253" s="833"/>
      <c r="AC253" s="833"/>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3"/>
      <c r="AY253" s="833"/>
      <c r="AZ253" s="833"/>
      <c r="BA253" s="833"/>
      <c r="BB253" s="833"/>
      <c r="BC253" s="833"/>
      <c r="BD253" s="833"/>
      <c r="BE253" s="833"/>
      <c r="BF253" s="833"/>
      <c r="BG253" s="833"/>
      <c r="BH253" s="833"/>
      <c r="BI253" s="833"/>
      <c r="BJ253" s="833"/>
      <c r="BK253" s="833"/>
    </row>
    <row r="254" spans="2:63" ht="15" customHeight="1" x14ac:dyDescent="0.2">
      <c r="C254" s="1691" t="s">
        <v>714</v>
      </c>
      <c r="D254" s="453" t="s">
        <v>373</v>
      </c>
      <c r="E254" s="454"/>
      <c r="F254" s="454"/>
      <c r="G254" s="454"/>
      <c r="H254" s="465"/>
      <c r="I254" s="454"/>
      <c r="J254" s="910"/>
      <c r="K254" s="910"/>
      <c r="L254" s="911"/>
      <c r="M254" s="455"/>
      <c r="N254" s="456"/>
      <c r="O254" s="456"/>
      <c r="P254" s="987"/>
      <c r="Q254" s="455"/>
      <c r="R254" s="988"/>
      <c r="S254" s="844"/>
      <c r="T254" s="844"/>
      <c r="U254" s="844"/>
      <c r="V254" s="844"/>
      <c r="W254" s="844"/>
      <c r="X254" s="844"/>
      <c r="Y254" s="844"/>
      <c r="Z254" s="844"/>
      <c r="AA254" s="844"/>
      <c r="AB254" s="833"/>
      <c r="AC254" s="833"/>
      <c r="AD254" s="833"/>
      <c r="AE254" s="833"/>
      <c r="AF254" s="833"/>
      <c r="AG254" s="833"/>
      <c r="AH254" s="833"/>
      <c r="AI254" s="833"/>
      <c r="AJ254" s="833"/>
      <c r="AK254" s="833"/>
      <c r="AL254" s="833"/>
      <c r="AM254" s="833"/>
      <c r="AN254" s="833"/>
      <c r="AO254" s="833"/>
      <c r="AP254" s="833"/>
      <c r="AQ254" s="833"/>
      <c r="AR254" s="833"/>
      <c r="AS254" s="833"/>
      <c r="AT254" s="833"/>
      <c r="AU254" s="833"/>
      <c r="AV254" s="833"/>
      <c r="AW254" s="833"/>
      <c r="AX254" s="833"/>
      <c r="AY254" s="833"/>
      <c r="AZ254" s="833"/>
      <c r="BA254" s="833"/>
      <c r="BB254" s="833"/>
      <c r="BC254" s="833"/>
      <c r="BD254" s="833"/>
      <c r="BE254" s="833"/>
      <c r="BF254" s="833"/>
      <c r="BG254" s="833"/>
      <c r="BH254" s="833"/>
      <c r="BI254" s="833"/>
      <c r="BJ254" s="833"/>
      <c r="BK254" s="833"/>
    </row>
    <row r="255" spans="2:63" ht="15" customHeight="1" x14ac:dyDescent="0.2">
      <c r="C255" s="1692"/>
      <c r="D255" s="890" t="s">
        <v>355</v>
      </c>
      <c r="E255" s="452" t="s">
        <v>34</v>
      </c>
      <c r="F255" s="1136"/>
      <c r="G255" s="1136"/>
      <c r="H255" s="495" t="s">
        <v>217</v>
      </c>
      <c r="I255" s="885">
        <v>3</v>
      </c>
      <c r="J255" s="967">
        <v>20</v>
      </c>
      <c r="K255" s="887">
        <v>3</v>
      </c>
      <c r="L255" s="1137">
        <f>I255*J255*K255</f>
        <v>180</v>
      </c>
      <c r="M255" s="455"/>
      <c r="N255" s="456"/>
      <c r="O255" s="456"/>
      <c r="P255" s="987"/>
      <c r="Q255" s="455"/>
      <c r="R255" s="988"/>
      <c r="S255" s="844"/>
      <c r="T255" s="844"/>
      <c r="U255" s="844"/>
      <c r="V255" s="844"/>
      <c r="W255" s="844"/>
      <c r="X255" s="844"/>
      <c r="Y255" s="844"/>
      <c r="Z255" s="844"/>
      <c r="AA255" s="844"/>
      <c r="AB255" s="833"/>
      <c r="AC255" s="833"/>
      <c r="AD255" s="833"/>
      <c r="AE255" s="833"/>
      <c r="AF255" s="833"/>
      <c r="AG255" s="833"/>
      <c r="AH255" s="833"/>
      <c r="AI255" s="833"/>
      <c r="AJ255" s="833"/>
      <c r="AK255" s="833"/>
      <c r="AL255" s="833"/>
      <c r="AM255" s="833"/>
      <c r="AN255" s="833"/>
      <c r="AO255" s="833"/>
      <c r="AP255" s="833"/>
      <c r="AQ255" s="833"/>
      <c r="AR255" s="833"/>
      <c r="AS255" s="833"/>
      <c r="AT255" s="833"/>
      <c r="AU255" s="833"/>
      <c r="AV255" s="833"/>
      <c r="AW255" s="833"/>
      <c r="AX255" s="833"/>
      <c r="AY255" s="833"/>
      <c r="AZ255" s="833"/>
      <c r="BA255" s="833"/>
      <c r="BB255" s="833"/>
      <c r="BC255" s="833"/>
      <c r="BD255" s="833"/>
      <c r="BE255" s="833"/>
      <c r="BF255" s="833"/>
      <c r="BG255" s="833"/>
      <c r="BH255" s="833"/>
      <c r="BI255" s="833"/>
      <c r="BJ255" s="833"/>
      <c r="BK255" s="833"/>
    </row>
    <row r="256" spans="2:63" ht="15" customHeight="1" x14ac:dyDescent="0.2">
      <c r="C256" s="1692"/>
      <c r="D256" s="890" t="s">
        <v>290</v>
      </c>
      <c r="E256" s="452" t="s">
        <v>34</v>
      </c>
      <c r="F256" s="1136"/>
      <c r="G256" s="1136"/>
      <c r="H256" s="495" t="s">
        <v>217</v>
      </c>
      <c r="I256" s="885">
        <v>70</v>
      </c>
      <c r="J256" s="967">
        <v>7.5</v>
      </c>
      <c r="K256" s="887">
        <v>3</v>
      </c>
      <c r="L256" s="1138">
        <f t="shared" ref="L256:L265" si="25">I256*J256*K256</f>
        <v>1575</v>
      </c>
      <c r="M256" s="455"/>
      <c r="N256" s="456"/>
      <c r="O256" s="456"/>
      <c r="P256" s="987"/>
      <c r="Q256" s="455"/>
      <c r="R256" s="988"/>
      <c r="S256" s="844"/>
      <c r="T256" s="844"/>
      <c r="U256" s="844"/>
      <c r="V256" s="844"/>
      <c r="W256" s="844"/>
      <c r="X256" s="844"/>
      <c r="Y256" s="844"/>
      <c r="Z256" s="844"/>
      <c r="AA256" s="844"/>
      <c r="AB256" s="833"/>
      <c r="AC256" s="833"/>
      <c r="AD256" s="833"/>
      <c r="AE256" s="833"/>
      <c r="AF256" s="833"/>
      <c r="AG256" s="833"/>
      <c r="AH256" s="833"/>
      <c r="AI256" s="833"/>
      <c r="AJ256" s="833"/>
      <c r="AK256" s="833"/>
      <c r="AL256" s="833"/>
      <c r="AM256" s="833"/>
      <c r="AN256" s="833"/>
      <c r="AO256" s="833"/>
      <c r="AP256" s="833"/>
      <c r="AQ256" s="833"/>
      <c r="AR256" s="833"/>
      <c r="AS256" s="833"/>
      <c r="AT256" s="833"/>
      <c r="AU256" s="833"/>
      <c r="AV256" s="833"/>
      <c r="AW256" s="833"/>
      <c r="AX256" s="833"/>
      <c r="AY256" s="833"/>
      <c r="AZ256" s="833"/>
      <c r="BA256" s="833"/>
      <c r="BB256" s="833"/>
      <c r="BC256" s="833"/>
      <c r="BD256" s="833"/>
      <c r="BE256" s="833"/>
      <c r="BF256" s="833"/>
      <c r="BG256" s="833"/>
      <c r="BH256" s="833"/>
      <c r="BI256" s="833"/>
      <c r="BJ256" s="833"/>
      <c r="BK256" s="833"/>
    </row>
    <row r="257" spans="2:63" ht="15" customHeight="1" x14ac:dyDescent="0.2">
      <c r="C257" s="1692"/>
      <c r="D257" s="890" t="s">
        <v>374</v>
      </c>
      <c r="E257" s="452" t="s">
        <v>34</v>
      </c>
      <c r="F257" s="1136"/>
      <c r="G257" s="1136"/>
      <c r="H257" s="495" t="s">
        <v>217</v>
      </c>
      <c r="I257" s="885">
        <v>70</v>
      </c>
      <c r="J257" s="967">
        <v>2.5</v>
      </c>
      <c r="K257" s="887">
        <v>1</v>
      </c>
      <c r="L257" s="1138">
        <f t="shared" si="25"/>
        <v>175</v>
      </c>
      <c r="M257" s="455"/>
      <c r="N257" s="456"/>
      <c r="O257" s="456"/>
      <c r="P257" s="987"/>
      <c r="Q257" s="455"/>
      <c r="R257" s="988"/>
      <c r="S257" s="844"/>
      <c r="T257" s="844"/>
      <c r="U257" s="844"/>
      <c r="V257" s="844"/>
      <c r="W257" s="844"/>
      <c r="X257" s="844"/>
      <c r="Y257" s="844"/>
      <c r="Z257" s="844"/>
      <c r="AA257" s="844"/>
      <c r="AB257" s="833"/>
      <c r="AC257" s="833"/>
      <c r="AD257" s="833"/>
      <c r="AE257" s="833"/>
      <c r="AF257" s="833"/>
      <c r="AG257" s="833"/>
      <c r="AH257" s="833"/>
      <c r="AI257" s="833"/>
      <c r="AJ257" s="833"/>
      <c r="AK257" s="833"/>
      <c r="AL257" s="833"/>
      <c r="AM257" s="833"/>
      <c r="AN257" s="833"/>
      <c r="AO257" s="833"/>
      <c r="AP257" s="833"/>
      <c r="AQ257" s="833"/>
      <c r="AR257" s="833"/>
      <c r="AS257" s="833"/>
      <c r="AT257" s="833"/>
      <c r="AU257" s="833"/>
      <c r="AV257" s="833"/>
      <c r="AW257" s="833"/>
      <c r="AX257" s="833"/>
      <c r="AY257" s="833"/>
      <c r="AZ257" s="833"/>
      <c r="BA257" s="833"/>
      <c r="BB257" s="833"/>
      <c r="BC257" s="833"/>
      <c r="BD257" s="833"/>
      <c r="BE257" s="833"/>
      <c r="BF257" s="833"/>
      <c r="BG257" s="833"/>
      <c r="BH257" s="833"/>
      <c r="BI257" s="833"/>
      <c r="BJ257" s="833"/>
      <c r="BK257" s="833"/>
    </row>
    <row r="258" spans="2:63" ht="15" customHeight="1" x14ac:dyDescent="0.2">
      <c r="C258" s="1692"/>
      <c r="D258" s="890" t="s">
        <v>375</v>
      </c>
      <c r="E258" s="452" t="s">
        <v>34</v>
      </c>
      <c r="F258" s="1136"/>
      <c r="G258" s="1136"/>
      <c r="H258" s="495" t="s">
        <v>217</v>
      </c>
      <c r="I258" s="885">
        <v>30</v>
      </c>
      <c r="J258" s="967">
        <v>10</v>
      </c>
      <c r="K258" s="887">
        <v>1</v>
      </c>
      <c r="L258" s="1138">
        <f t="shared" si="25"/>
        <v>300</v>
      </c>
      <c r="M258" s="455"/>
      <c r="N258" s="456"/>
      <c r="O258" s="456"/>
      <c r="P258" s="987"/>
      <c r="Q258" s="455"/>
      <c r="R258" s="988"/>
      <c r="S258" s="844"/>
      <c r="T258" s="844"/>
      <c r="U258" s="844"/>
      <c r="V258" s="844"/>
      <c r="W258" s="844"/>
      <c r="X258" s="844"/>
      <c r="Y258" s="844"/>
      <c r="Z258" s="844"/>
      <c r="AA258" s="844"/>
      <c r="AB258" s="833"/>
      <c r="AC258" s="833"/>
      <c r="AD258" s="833"/>
      <c r="AE258" s="833"/>
      <c r="AF258" s="833"/>
      <c r="AG258" s="833"/>
      <c r="AH258" s="833"/>
      <c r="AI258" s="833"/>
      <c r="AJ258" s="833"/>
      <c r="AK258" s="833"/>
      <c r="AL258" s="833"/>
      <c r="AM258" s="833"/>
      <c r="AN258" s="833"/>
      <c r="AO258" s="833"/>
      <c r="AP258" s="833"/>
      <c r="AQ258" s="833"/>
      <c r="AR258" s="833"/>
      <c r="AS258" s="833"/>
      <c r="AT258" s="833"/>
      <c r="AU258" s="833"/>
      <c r="AV258" s="833"/>
      <c r="AW258" s="833"/>
      <c r="AX258" s="833"/>
      <c r="AY258" s="833"/>
      <c r="AZ258" s="833"/>
      <c r="BA258" s="833"/>
      <c r="BB258" s="833"/>
      <c r="BC258" s="833"/>
      <c r="BD258" s="833"/>
      <c r="BE258" s="833"/>
      <c r="BF258" s="833"/>
      <c r="BG258" s="833"/>
      <c r="BH258" s="833"/>
      <c r="BI258" s="833"/>
      <c r="BJ258" s="833"/>
      <c r="BK258" s="833"/>
    </row>
    <row r="259" spans="2:63" ht="15" customHeight="1" x14ac:dyDescent="0.2">
      <c r="C259" s="1692"/>
      <c r="D259" s="890" t="s">
        <v>376</v>
      </c>
      <c r="E259" s="452" t="s">
        <v>34</v>
      </c>
      <c r="F259" s="1136"/>
      <c r="G259" s="1136"/>
      <c r="H259" s="495" t="s">
        <v>217</v>
      </c>
      <c r="I259" s="885">
        <v>40</v>
      </c>
      <c r="J259" s="967">
        <v>5</v>
      </c>
      <c r="K259" s="887">
        <v>1</v>
      </c>
      <c r="L259" s="1138">
        <f t="shared" si="25"/>
        <v>200</v>
      </c>
      <c r="M259" s="455"/>
      <c r="N259" s="456"/>
      <c r="O259" s="456"/>
      <c r="P259" s="987"/>
      <c r="Q259" s="455"/>
      <c r="R259" s="988"/>
      <c r="S259" s="844"/>
      <c r="T259" s="844"/>
      <c r="U259" s="844"/>
      <c r="V259" s="844"/>
      <c r="W259" s="844"/>
      <c r="X259" s="844"/>
      <c r="Y259" s="844"/>
      <c r="Z259" s="844"/>
      <c r="AA259" s="844"/>
      <c r="AB259" s="833"/>
      <c r="AC259" s="833"/>
      <c r="AD259" s="833"/>
      <c r="AE259" s="833"/>
      <c r="AF259" s="833"/>
      <c r="AG259" s="833"/>
      <c r="AH259" s="833"/>
      <c r="AI259" s="833"/>
      <c r="AJ259" s="833"/>
      <c r="AK259" s="833"/>
      <c r="AL259" s="833"/>
      <c r="AM259" s="833"/>
      <c r="AN259" s="833"/>
      <c r="AO259" s="833"/>
      <c r="AP259" s="833"/>
      <c r="AQ259" s="833"/>
      <c r="AR259" s="833"/>
      <c r="AS259" s="833"/>
      <c r="AT259" s="833"/>
      <c r="AU259" s="833"/>
      <c r="AV259" s="833"/>
      <c r="AW259" s="833"/>
      <c r="AX259" s="833"/>
      <c r="AY259" s="833"/>
      <c r="AZ259" s="833"/>
      <c r="BA259" s="833"/>
      <c r="BB259" s="833"/>
      <c r="BC259" s="833"/>
      <c r="BD259" s="833"/>
      <c r="BE259" s="833"/>
      <c r="BF259" s="833"/>
      <c r="BG259" s="833"/>
      <c r="BH259" s="833"/>
      <c r="BI259" s="833"/>
      <c r="BJ259" s="833"/>
      <c r="BK259" s="833"/>
    </row>
    <row r="260" spans="2:63" ht="15" customHeight="1" x14ac:dyDescent="0.2">
      <c r="C260" s="1692"/>
      <c r="D260" s="890" t="s">
        <v>234</v>
      </c>
      <c r="E260" s="452" t="s">
        <v>34</v>
      </c>
      <c r="F260" s="1136"/>
      <c r="G260" s="1136"/>
      <c r="H260" s="495" t="s">
        <v>217</v>
      </c>
      <c r="I260" s="885">
        <v>150</v>
      </c>
      <c r="J260" s="967">
        <v>1.2</v>
      </c>
      <c r="K260" s="887">
        <v>1</v>
      </c>
      <c r="L260" s="1138">
        <f t="shared" si="25"/>
        <v>180</v>
      </c>
      <c r="M260" s="455"/>
      <c r="N260" s="456"/>
      <c r="O260" s="456"/>
      <c r="P260" s="987"/>
      <c r="Q260" s="455"/>
      <c r="R260" s="988"/>
      <c r="S260" s="844"/>
      <c r="T260" s="844"/>
      <c r="U260" s="844"/>
      <c r="V260" s="844"/>
      <c r="W260" s="844"/>
      <c r="X260" s="844"/>
      <c r="Y260" s="844"/>
      <c r="Z260" s="844"/>
      <c r="AA260" s="844"/>
      <c r="AB260" s="833"/>
      <c r="AC260" s="833"/>
      <c r="AD260" s="833"/>
      <c r="AE260" s="833"/>
      <c r="AF260" s="833"/>
      <c r="AG260" s="833"/>
      <c r="AH260" s="833"/>
      <c r="AI260" s="833"/>
      <c r="AJ260" s="833"/>
      <c r="AK260" s="833"/>
      <c r="AL260" s="833"/>
      <c r="AM260" s="833"/>
      <c r="AN260" s="833"/>
      <c r="AO260" s="833"/>
      <c r="AP260" s="833"/>
      <c r="AQ260" s="833"/>
      <c r="AR260" s="833"/>
      <c r="AS260" s="833"/>
      <c r="AT260" s="833"/>
      <c r="AU260" s="833"/>
      <c r="AV260" s="833"/>
      <c r="AW260" s="833"/>
      <c r="AX260" s="833"/>
      <c r="AY260" s="833"/>
      <c r="AZ260" s="833"/>
      <c r="BA260" s="833"/>
      <c r="BB260" s="833"/>
      <c r="BC260" s="833"/>
      <c r="BD260" s="833"/>
      <c r="BE260" s="833"/>
      <c r="BF260" s="833"/>
      <c r="BG260" s="833"/>
      <c r="BH260" s="833"/>
      <c r="BI260" s="833"/>
      <c r="BJ260" s="833"/>
      <c r="BK260" s="833"/>
    </row>
    <row r="261" spans="2:63" ht="15" customHeight="1" x14ac:dyDescent="0.2">
      <c r="C261" s="1692"/>
      <c r="D261" s="890" t="s">
        <v>377</v>
      </c>
      <c r="E261" s="452" t="s">
        <v>34</v>
      </c>
      <c r="F261" s="1136"/>
      <c r="G261" s="1136"/>
      <c r="H261" s="495" t="s">
        <v>217</v>
      </c>
      <c r="I261" s="885">
        <v>50</v>
      </c>
      <c r="J261" s="967">
        <v>1.2</v>
      </c>
      <c r="K261" s="887">
        <v>1</v>
      </c>
      <c r="L261" s="1138">
        <f t="shared" si="25"/>
        <v>60</v>
      </c>
      <c r="M261" s="455"/>
      <c r="N261" s="456"/>
      <c r="O261" s="456"/>
      <c r="P261" s="987"/>
      <c r="Q261" s="455"/>
      <c r="R261" s="988"/>
      <c r="S261" s="844"/>
      <c r="T261" s="844"/>
      <c r="U261" s="844"/>
      <c r="V261" s="844"/>
      <c r="W261" s="844"/>
      <c r="X261" s="844"/>
      <c r="Y261" s="844"/>
      <c r="Z261" s="844"/>
      <c r="AA261" s="844"/>
      <c r="AB261" s="833"/>
      <c r="AC261" s="833"/>
      <c r="AD261" s="833"/>
      <c r="AE261" s="833"/>
      <c r="AF261" s="833"/>
      <c r="AG261" s="833"/>
      <c r="AH261" s="833"/>
      <c r="AI261" s="833"/>
      <c r="AJ261" s="833"/>
      <c r="AK261" s="833"/>
      <c r="AL261" s="833"/>
      <c r="AM261" s="833"/>
      <c r="AN261" s="833"/>
      <c r="AO261" s="833"/>
      <c r="AP261" s="833"/>
      <c r="AQ261" s="833"/>
      <c r="AR261" s="833"/>
      <c r="AS261" s="833"/>
      <c r="AT261" s="833"/>
      <c r="AU261" s="833"/>
      <c r="AV261" s="833"/>
      <c r="AW261" s="833"/>
      <c r="AX261" s="833"/>
      <c r="AY261" s="833"/>
      <c r="AZ261" s="833"/>
      <c r="BA261" s="833"/>
      <c r="BB261" s="833"/>
      <c r="BC261" s="833"/>
      <c r="BD261" s="833"/>
      <c r="BE261" s="833"/>
      <c r="BF261" s="833"/>
      <c r="BG261" s="833"/>
      <c r="BH261" s="833"/>
      <c r="BI261" s="833"/>
      <c r="BJ261" s="833"/>
      <c r="BK261" s="833"/>
    </row>
    <row r="262" spans="2:63" ht="15" customHeight="1" x14ac:dyDescent="0.2">
      <c r="C262" s="1692"/>
      <c r="D262" s="890" t="s">
        <v>616</v>
      </c>
      <c r="E262" s="452" t="s">
        <v>34</v>
      </c>
      <c r="F262" s="1136"/>
      <c r="G262" s="1136"/>
      <c r="H262" s="495" t="s">
        <v>217</v>
      </c>
      <c r="I262" s="969">
        <v>3</v>
      </c>
      <c r="J262" s="970">
        <v>20</v>
      </c>
      <c r="K262" s="971">
        <v>13</v>
      </c>
      <c r="L262" s="1138">
        <f t="shared" si="25"/>
        <v>780</v>
      </c>
      <c r="M262" s="455"/>
      <c r="N262" s="456"/>
      <c r="O262" s="456"/>
      <c r="P262" s="987"/>
      <c r="Q262" s="455"/>
      <c r="R262" s="988"/>
      <c r="S262" s="844"/>
      <c r="T262" s="844"/>
      <c r="U262" s="844"/>
      <c r="V262" s="844"/>
      <c r="W262" s="844"/>
      <c r="X262" s="844"/>
      <c r="Y262" s="844"/>
      <c r="Z262" s="844"/>
      <c r="AA262" s="844"/>
      <c r="AB262" s="833"/>
      <c r="AC262" s="833"/>
      <c r="AD262" s="833"/>
      <c r="AE262" s="833"/>
      <c r="AF262" s="833"/>
      <c r="AG262" s="833"/>
      <c r="AH262" s="833"/>
      <c r="AI262" s="833"/>
      <c r="AJ262" s="833"/>
      <c r="AK262" s="833"/>
      <c r="AL262" s="833"/>
      <c r="AM262" s="833"/>
      <c r="AN262" s="833"/>
      <c r="AO262" s="833"/>
      <c r="AP262" s="833"/>
      <c r="AQ262" s="833"/>
      <c r="AR262" s="833"/>
      <c r="AS262" s="833"/>
      <c r="AT262" s="833"/>
      <c r="AU262" s="833"/>
      <c r="AV262" s="833"/>
      <c r="AW262" s="833"/>
      <c r="AX262" s="833"/>
      <c r="AY262" s="833"/>
      <c r="AZ262" s="833"/>
      <c r="BA262" s="833"/>
      <c r="BB262" s="833"/>
      <c r="BC262" s="833"/>
      <c r="BD262" s="833"/>
      <c r="BE262" s="833"/>
      <c r="BF262" s="833"/>
      <c r="BG262" s="833"/>
      <c r="BH262" s="833"/>
      <c r="BI262" s="833"/>
      <c r="BJ262" s="833"/>
      <c r="BK262" s="833"/>
    </row>
    <row r="263" spans="2:63" ht="15" customHeight="1" x14ac:dyDescent="0.2">
      <c r="C263" s="1692"/>
      <c r="D263" s="890" t="s">
        <v>261</v>
      </c>
      <c r="E263" s="452" t="s">
        <v>34</v>
      </c>
      <c r="F263" s="1136"/>
      <c r="G263" s="1136"/>
      <c r="H263" s="495" t="s">
        <v>217</v>
      </c>
      <c r="I263" s="969">
        <v>1</v>
      </c>
      <c r="J263" s="970">
        <v>40</v>
      </c>
      <c r="K263" s="971">
        <v>4</v>
      </c>
      <c r="L263" s="1138">
        <f t="shared" si="25"/>
        <v>160</v>
      </c>
      <c r="M263" s="467"/>
      <c r="N263" s="456"/>
      <c r="O263" s="456"/>
      <c r="P263" s="987"/>
      <c r="Q263" s="455"/>
      <c r="R263" s="988"/>
      <c r="S263" s="844"/>
      <c r="T263" s="844"/>
      <c r="U263" s="844"/>
      <c r="V263" s="844"/>
      <c r="W263" s="844"/>
      <c r="X263" s="844"/>
      <c r="Y263" s="844"/>
      <c r="Z263" s="844"/>
      <c r="AA263" s="844"/>
      <c r="AB263" s="833"/>
      <c r="AC263" s="833"/>
      <c r="AD263" s="833"/>
      <c r="AE263" s="833"/>
      <c r="AF263" s="833"/>
      <c r="AG263" s="833"/>
      <c r="AH263" s="833"/>
      <c r="AI263" s="833"/>
      <c r="AJ263" s="833"/>
      <c r="AK263" s="833"/>
      <c r="AL263" s="833"/>
      <c r="AM263" s="833"/>
      <c r="AN263" s="833"/>
      <c r="AO263" s="833"/>
      <c r="AP263" s="833"/>
      <c r="AQ263" s="833"/>
      <c r="AR263" s="833"/>
      <c r="AS263" s="833"/>
      <c r="AT263" s="833"/>
      <c r="AU263" s="833"/>
      <c r="AV263" s="833"/>
      <c r="AW263" s="833"/>
      <c r="AX263" s="833"/>
      <c r="AY263" s="833"/>
      <c r="AZ263" s="833"/>
      <c r="BA263" s="833"/>
      <c r="BB263" s="833"/>
      <c r="BC263" s="833"/>
      <c r="BD263" s="833"/>
      <c r="BE263" s="833"/>
      <c r="BF263" s="833"/>
      <c r="BG263" s="833"/>
      <c r="BH263" s="833"/>
      <c r="BI263" s="833"/>
      <c r="BJ263" s="833"/>
      <c r="BK263" s="833"/>
    </row>
    <row r="264" spans="2:63" ht="15" customHeight="1" x14ac:dyDescent="0.2">
      <c r="C264" s="1692"/>
      <c r="D264" s="890" t="s">
        <v>226</v>
      </c>
      <c r="E264" s="452" t="s">
        <v>34</v>
      </c>
      <c r="F264" s="1136"/>
      <c r="G264" s="1136"/>
      <c r="H264" s="495" t="s">
        <v>217</v>
      </c>
      <c r="I264" s="969">
        <v>5</v>
      </c>
      <c r="J264" s="970">
        <v>10</v>
      </c>
      <c r="K264" s="971">
        <v>1</v>
      </c>
      <c r="L264" s="1138">
        <f t="shared" si="25"/>
        <v>50</v>
      </c>
      <c r="M264" s="455"/>
      <c r="N264" s="456"/>
      <c r="O264" s="456"/>
      <c r="P264" s="987"/>
      <c r="Q264" s="455"/>
      <c r="R264" s="988"/>
      <c r="S264" s="844"/>
      <c r="T264" s="844"/>
      <c r="U264" s="844"/>
      <c r="V264" s="844"/>
      <c r="W264" s="844"/>
      <c r="X264" s="844"/>
      <c r="Y264" s="844"/>
      <c r="Z264" s="844"/>
      <c r="AA264" s="844"/>
      <c r="AB264" s="833"/>
      <c r="AC264" s="833"/>
      <c r="AD264" s="833"/>
      <c r="AE264" s="833"/>
      <c r="AF264" s="833"/>
      <c r="AG264" s="833"/>
      <c r="AH264" s="833"/>
      <c r="AI264" s="833"/>
      <c r="AJ264" s="833"/>
      <c r="AK264" s="833"/>
      <c r="AL264" s="833"/>
      <c r="AM264" s="833"/>
      <c r="AN264" s="833"/>
      <c r="AO264" s="833"/>
      <c r="AP264" s="833"/>
      <c r="AQ264" s="833"/>
      <c r="AR264" s="833"/>
      <c r="AS264" s="833"/>
      <c r="AT264" s="833"/>
      <c r="AU264" s="833"/>
      <c r="AV264" s="833"/>
      <c r="AW264" s="833"/>
      <c r="AX264" s="833"/>
      <c r="AY264" s="833"/>
      <c r="AZ264" s="833"/>
      <c r="BA264" s="833"/>
      <c r="BB264" s="833"/>
      <c r="BC264" s="833"/>
      <c r="BD264" s="833"/>
      <c r="BE264" s="833"/>
      <c r="BF264" s="833"/>
      <c r="BG264" s="833"/>
      <c r="BH264" s="833"/>
      <c r="BI264" s="833"/>
      <c r="BJ264" s="833"/>
      <c r="BK264" s="833"/>
    </row>
    <row r="265" spans="2:63" ht="15" customHeight="1" x14ac:dyDescent="0.2">
      <c r="C265" s="1692"/>
      <c r="D265" s="891" t="s">
        <v>617</v>
      </c>
      <c r="E265" s="891"/>
      <c r="F265" s="1139"/>
      <c r="G265" s="1139"/>
      <c r="H265" s="489" t="s">
        <v>217</v>
      </c>
      <c r="I265" s="983">
        <v>1</v>
      </c>
      <c r="J265" s="984">
        <v>395.875</v>
      </c>
      <c r="K265" s="984">
        <v>12</v>
      </c>
      <c r="L265" s="1140">
        <f t="shared" si="25"/>
        <v>4750.5</v>
      </c>
      <c r="M265" s="455"/>
      <c r="N265" s="456"/>
      <c r="O265" s="456"/>
      <c r="P265" s="987"/>
      <c r="Q265" s="455"/>
      <c r="R265" s="988"/>
      <c r="S265" s="844"/>
      <c r="T265" s="844"/>
      <c r="U265" s="844"/>
      <c r="V265" s="844"/>
      <c r="W265" s="844"/>
      <c r="X265" s="844"/>
      <c r="Y265" s="844"/>
      <c r="Z265" s="844"/>
      <c r="AA265" s="844"/>
      <c r="AB265" s="833"/>
      <c r="AC265" s="833"/>
      <c r="AD265" s="833"/>
      <c r="AE265" s="833"/>
      <c r="AF265" s="833"/>
      <c r="AG265" s="833"/>
      <c r="AH265" s="833"/>
      <c r="AI265" s="833"/>
      <c r="AJ265" s="833"/>
      <c r="AK265" s="833"/>
      <c r="AL265" s="833"/>
      <c r="AM265" s="833"/>
      <c r="AN265" s="833"/>
      <c r="AO265" s="833"/>
      <c r="AP265" s="833"/>
      <c r="AQ265" s="833"/>
      <c r="AR265" s="833"/>
      <c r="AS265" s="833"/>
      <c r="AT265" s="833"/>
      <c r="AU265" s="833"/>
      <c r="AV265" s="833"/>
      <c r="AW265" s="833"/>
      <c r="AX265" s="833"/>
      <c r="AY265" s="833"/>
      <c r="AZ265" s="833"/>
      <c r="BA265" s="833"/>
      <c r="BB265" s="833"/>
      <c r="BC265" s="833"/>
      <c r="BD265" s="833"/>
      <c r="BE265" s="833"/>
      <c r="BF265" s="833"/>
      <c r="BG265" s="833"/>
      <c r="BH265" s="833"/>
      <c r="BI265" s="833"/>
      <c r="BJ265" s="833"/>
      <c r="BK265" s="833"/>
    </row>
    <row r="266" spans="2:63" ht="15" customHeight="1" x14ac:dyDescent="0.2">
      <c r="B266" s="869" t="s">
        <v>715</v>
      </c>
      <c r="C266" s="1692"/>
      <c r="D266" s="486" t="s">
        <v>246</v>
      </c>
      <c r="E266" s="486"/>
      <c r="F266" s="486"/>
      <c r="G266" s="486"/>
      <c r="H266" s="487"/>
      <c r="I266" s="488"/>
      <c r="J266" s="1141"/>
      <c r="K266" s="1141"/>
      <c r="L266" s="1096">
        <f>SUM(L255:L265)</f>
        <v>8410.5</v>
      </c>
      <c r="M266" s="460">
        <v>60</v>
      </c>
      <c r="N266" s="461">
        <f>L266*M266/100</f>
        <v>5046.3</v>
      </c>
      <c r="O266" s="461"/>
      <c r="P266" s="876">
        <v>8506.27</v>
      </c>
      <c r="Q266" s="889">
        <f>P266/L266</f>
        <v>1.0113869567802152</v>
      </c>
      <c r="R266" s="906"/>
      <c r="S266" s="844"/>
      <c r="T266" s="844"/>
      <c r="U266" s="844"/>
      <c r="V266" s="844"/>
      <c r="W266" s="844"/>
      <c r="X266" s="844"/>
      <c r="Y266" s="844"/>
      <c r="Z266" s="844"/>
      <c r="AA266" s="960" t="s">
        <v>716</v>
      </c>
      <c r="AB266" s="833"/>
      <c r="AC266" s="833"/>
      <c r="AD266" s="833"/>
      <c r="AE266" s="833"/>
      <c r="AF266" s="833"/>
      <c r="AG266" s="833"/>
      <c r="AH266" s="833"/>
      <c r="AI266" s="833"/>
      <c r="AJ266" s="833"/>
      <c r="AK266" s="833"/>
      <c r="AL266" s="833"/>
      <c r="AM266" s="833"/>
      <c r="AN266" s="833"/>
      <c r="AO266" s="833"/>
      <c r="AP266" s="833"/>
      <c r="AQ266" s="833"/>
      <c r="AR266" s="833"/>
      <c r="AS266" s="833"/>
      <c r="AT266" s="833"/>
      <c r="AU266" s="833"/>
      <c r="AV266" s="833"/>
      <c r="AW266" s="833"/>
      <c r="AX266" s="833"/>
      <c r="AY266" s="833"/>
      <c r="AZ266" s="833"/>
      <c r="BA266" s="833"/>
      <c r="BB266" s="833"/>
      <c r="BC266" s="833"/>
      <c r="BD266" s="833"/>
      <c r="BE266" s="833"/>
      <c r="BF266" s="833"/>
      <c r="BG266" s="833"/>
      <c r="BH266" s="833"/>
      <c r="BI266" s="833"/>
      <c r="BJ266" s="833"/>
      <c r="BK266" s="833"/>
    </row>
    <row r="267" spans="2:63" ht="15" customHeight="1" x14ac:dyDescent="0.2">
      <c r="C267" s="1692"/>
      <c r="D267" s="490" t="s">
        <v>378</v>
      </c>
      <c r="E267" s="491"/>
      <c r="F267" s="491"/>
      <c r="G267" s="491"/>
      <c r="H267" s="465"/>
      <c r="I267" s="491"/>
      <c r="J267" s="1142"/>
      <c r="K267" s="1142"/>
      <c r="L267" s="1142"/>
      <c r="M267" s="455"/>
      <c r="N267" s="456"/>
      <c r="O267" s="456"/>
      <c r="P267" s="987"/>
      <c r="Q267" s="455"/>
      <c r="R267" s="988"/>
      <c r="S267" s="844"/>
      <c r="T267" s="844"/>
      <c r="U267" s="844"/>
      <c r="V267" s="844"/>
      <c r="W267" s="844"/>
      <c r="X267" s="844"/>
      <c r="Y267" s="844"/>
      <c r="Z267" s="844"/>
      <c r="AA267" s="844"/>
      <c r="AB267" s="833"/>
      <c r="AC267" s="833"/>
      <c r="AD267" s="833"/>
      <c r="AE267" s="833"/>
      <c r="AF267" s="833"/>
      <c r="AG267" s="833"/>
      <c r="AH267" s="833"/>
      <c r="AI267" s="833"/>
      <c r="AJ267" s="833"/>
      <c r="AK267" s="833"/>
      <c r="AL267" s="833"/>
      <c r="AM267" s="833"/>
      <c r="AN267" s="833"/>
      <c r="AO267" s="833"/>
      <c r="AP267" s="833"/>
      <c r="AQ267" s="833"/>
      <c r="AR267" s="833"/>
      <c r="AS267" s="833"/>
      <c r="AT267" s="833"/>
      <c r="AU267" s="833"/>
      <c r="AV267" s="833"/>
      <c r="AW267" s="833"/>
      <c r="AX267" s="833"/>
      <c r="AY267" s="833"/>
      <c r="AZ267" s="833"/>
      <c r="BA267" s="833"/>
      <c r="BB267" s="833"/>
      <c r="BC267" s="833"/>
      <c r="BD267" s="833"/>
      <c r="BE267" s="833"/>
      <c r="BF267" s="833"/>
      <c r="BG267" s="833"/>
      <c r="BH267" s="833"/>
      <c r="BI267" s="833"/>
      <c r="BJ267" s="833"/>
      <c r="BK267" s="833"/>
    </row>
    <row r="268" spans="2:63" ht="15" customHeight="1" x14ac:dyDescent="0.2">
      <c r="C268" s="1692"/>
      <c r="D268" s="890" t="s">
        <v>379</v>
      </c>
      <c r="E268" s="452" t="s">
        <v>34</v>
      </c>
      <c r="F268" s="1136"/>
      <c r="G268" s="1136"/>
      <c r="H268" s="495" t="s">
        <v>217</v>
      </c>
      <c r="I268" s="964">
        <v>2</v>
      </c>
      <c r="J268" s="965">
        <v>400</v>
      </c>
      <c r="K268" s="966">
        <v>12</v>
      </c>
      <c r="L268" s="1143">
        <f>I268*J268*K268</f>
        <v>9600</v>
      </c>
      <c r="M268" s="1144"/>
      <c r="N268" s="456"/>
      <c r="O268" s="456"/>
      <c r="P268" s="987"/>
      <c r="Q268" s="455"/>
      <c r="R268" s="988"/>
      <c r="S268" s="844"/>
      <c r="T268" s="844"/>
      <c r="U268" s="844"/>
      <c r="V268" s="844"/>
      <c r="W268" s="844"/>
      <c r="X268" s="844"/>
      <c r="Y268" s="844"/>
      <c r="Z268" s="844"/>
      <c r="AA268" s="844"/>
      <c r="AB268" s="833"/>
      <c r="AC268" s="833"/>
      <c r="AD268" s="833"/>
      <c r="AE268" s="833"/>
      <c r="AF268" s="833"/>
      <c r="AG268" s="833"/>
      <c r="AH268" s="833"/>
      <c r="AI268" s="833"/>
      <c r="AJ268" s="833"/>
      <c r="AK268" s="833"/>
      <c r="AL268" s="833"/>
      <c r="AM268" s="833"/>
      <c r="AN268" s="833"/>
      <c r="AO268" s="833"/>
      <c r="AP268" s="833"/>
      <c r="AQ268" s="833"/>
      <c r="AR268" s="833"/>
      <c r="AS268" s="833"/>
      <c r="AT268" s="833"/>
      <c r="AU268" s="833"/>
      <c r="AV268" s="833"/>
      <c r="AW268" s="833"/>
      <c r="AX268" s="833"/>
      <c r="AY268" s="833"/>
      <c r="AZ268" s="833"/>
      <c r="BA268" s="833"/>
      <c r="BB268" s="833"/>
      <c r="BC268" s="833"/>
      <c r="BD268" s="833"/>
      <c r="BE268" s="833"/>
      <c r="BF268" s="833"/>
      <c r="BG268" s="833"/>
      <c r="BH268" s="833"/>
      <c r="BI268" s="833"/>
      <c r="BJ268" s="833"/>
      <c r="BK268" s="833"/>
    </row>
    <row r="269" spans="2:63" ht="15" customHeight="1" x14ac:dyDescent="0.2">
      <c r="C269" s="1692"/>
      <c r="D269" s="890" t="s">
        <v>380</v>
      </c>
      <c r="E269" s="452" t="s">
        <v>34</v>
      </c>
      <c r="F269" s="1136"/>
      <c r="G269" s="1136"/>
      <c r="H269" s="495" t="s">
        <v>217</v>
      </c>
      <c r="I269" s="885">
        <v>8</v>
      </c>
      <c r="J269" s="967">
        <v>20</v>
      </c>
      <c r="K269" s="887">
        <v>5</v>
      </c>
      <c r="L269" s="1143">
        <f t="shared" ref="L269:L275" si="26">I269*J269*K269</f>
        <v>800</v>
      </c>
      <c r="M269" s="1144"/>
      <c r="N269" s="456"/>
      <c r="O269" s="456"/>
      <c r="P269" s="987"/>
      <c r="Q269" s="455"/>
      <c r="R269" s="988"/>
      <c r="S269" s="844"/>
      <c r="T269" s="844"/>
      <c r="U269" s="844"/>
      <c r="V269" s="844"/>
      <c r="W269" s="844"/>
      <c r="X269" s="844"/>
      <c r="Y269" s="844"/>
      <c r="Z269" s="844"/>
      <c r="AA269" s="844"/>
      <c r="AB269" s="833"/>
      <c r="AC269" s="833"/>
      <c r="AD269" s="833"/>
      <c r="AE269" s="833"/>
      <c r="AF269" s="833"/>
      <c r="AG269" s="833"/>
      <c r="AH269" s="833"/>
      <c r="AI269" s="833"/>
      <c r="AJ269" s="833"/>
      <c r="AK269" s="833"/>
      <c r="AL269" s="833"/>
      <c r="AM269" s="833"/>
      <c r="AN269" s="833"/>
      <c r="AO269" s="833"/>
      <c r="AP269" s="833"/>
      <c r="AQ269" s="833"/>
      <c r="AR269" s="833"/>
      <c r="AS269" s="833"/>
      <c r="AT269" s="833"/>
      <c r="AU269" s="833"/>
      <c r="AV269" s="833"/>
      <c r="AW269" s="833"/>
      <c r="AX269" s="833"/>
      <c r="AY269" s="833"/>
      <c r="AZ269" s="833"/>
      <c r="BA269" s="833"/>
      <c r="BB269" s="833"/>
      <c r="BC269" s="833"/>
      <c r="BD269" s="833"/>
      <c r="BE269" s="833"/>
      <c r="BF269" s="833"/>
      <c r="BG269" s="833"/>
      <c r="BH269" s="833"/>
      <c r="BI269" s="833"/>
      <c r="BJ269" s="833"/>
      <c r="BK269" s="833"/>
    </row>
    <row r="270" spans="2:63" ht="13.9" customHeight="1" x14ac:dyDescent="0.2">
      <c r="C270" s="1692"/>
      <c r="D270" s="890" t="s">
        <v>233</v>
      </c>
      <c r="E270" s="452" t="s">
        <v>34</v>
      </c>
      <c r="F270" s="1136"/>
      <c r="G270" s="1136"/>
      <c r="H270" s="495" t="s">
        <v>217</v>
      </c>
      <c r="I270" s="885">
        <v>100</v>
      </c>
      <c r="J270" s="967">
        <v>7.5</v>
      </c>
      <c r="K270" s="887">
        <v>5</v>
      </c>
      <c r="L270" s="1143">
        <f t="shared" si="26"/>
        <v>3750</v>
      </c>
      <c r="M270" s="1144"/>
      <c r="N270" s="456"/>
      <c r="O270" s="456"/>
      <c r="P270" s="987"/>
      <c r="Q270" s="455"/>
      <c r="R270" s="988"/>
      <c r="S270" s="844"/>
      <c r="T270" s="844"/>
      <c r="U270" s="844"/>
      <c r="V270" s="844"/>
      <c r="W270" s="844"/>
      <c r="X270" s="844"/>
      <c r="Y270" s="844"/>
      <c r="Z270" s="844"/>
      <c r="AA270" s="844"/>
      <c r="AB270" s="833"/>
      <c r="AC270" s="833"/>
      <c r="AD270" s="833"/>
      <c r="AE270" s="833"/>
      <c r="AF270" s="833"/>
      <c r="AG270" s="833"/>
      <c r="AH270" s="833"/>
      <c r="AI270" s="833"/>
      <c r="AJ270" s="833"/>
      <c r="AK270" s="833"/>
      <c r="AL270" s="833"/>
      <c r="AM270" s="833"/>
      <c r="AN270" s="833"/>
      <c r="AO270" s="833"/>
      <c r="AP270" s="833"/>
      <c r="AQ270" s="833"/>
      <c r="AR270" s="833"/>
      <c r="AS270" s="833"/>
      <c r="AT270" s="833"/>
      <c r="AU270" s="833"/>
      <c r="AV270" s="833"/>
      <c r="AW270" s="833"/>
      <c r="AX270" s="833"/>
      <c r="AY270" s="833"/>
      <c r="AZ270" s="833"/>
      <c r="BA270" s="833"/>
      <c r="BB270" s="833"/>
      <c r="BC270" s="833"/>
      <c r="BD270" s="833"/>
      <c r="BE270" s="833"/>
      <c r="BF270" s="833"/>
      <c r="BG270" s="833"/>
      <c r="BH270" s="833"/>
      <c r="BI270" s="833"/>
      <c r="BJ270" s="833"/>
      <c r="BK270" s="833"/>
    </row>
    <row r="271" spans="2:63" ht="13.9" customHeight="1" x14ac:dyDescent="0.2">
      <c r="C271" s="1692"/>
      <c r="D271" s="890" t="s">
        <v>374</v>
      </c>
      <c r="E271" s="452" t="s">
        <v>34</v>
      </c>
      <c r="F271" s="1136"/>
      <c r="G271" s="1136"/>
      <c r="H271" s="495" t="s">
        <v>217</v>
      </c>
      <c r="I271" s="885">
        <v>100</v>
      </c>
      <c r="J271" s="967">
        <v>1</v>
      </c>
      <c r="K271" s="887">
        <v>5</v>
      </c>
      <c r="L271" s="1143">
        <f t="shared" si="26"/>
        <v>500</v>
      </c>
      <c r="M271" s="1144"/>
      <c r="N271" s="456"/>
      <c r="O271" s="456"/>
      <c r="P271" s="987"/>
      <c r="Q271" s="455"/>
      <c r="R271" s="988"/>
      <c r="S271" s="844"/>
      <c r="T271" s="844"/>
      <c r="U271" s="844"/>
      <c r="V271" s="844"/>
      <c r="W271" s="844"/>
      <c r="X271" s="844"/>
      <c r="Y271" s="844"/>
      <c r="Z271" s="844"/>
      <c r="AA271" s="844"/>
      <c r="AB271" s="833"/>
      <c r="AC271" s="833"/>
      <c r="AD271" s="833"/>
      <c r="AE271" s="833"/>
      <c r="AF271" s="833"/>
      <c r="AG271" s="833"/>
      <c r="AH271" s="833"/>
      <c r="AI271" s="833"/>
      <c r="AJ271" s="833"/>
      <c r="AK271" s="833"/>
      <c r="AL271" s="833"/>
      <c r="AM271" s="833"/>
      <c r="AN271" s="833"/>
      <c r="AO271" s="833"/>
      <c r="AP271" s="833"/>
      <c r="AQ271" s="833"/>
      <c r="AR271" s="833"/>
      <c r="AS271" s="833"/>
      <c r="AT271" s="833"/>
      <c r="AU271" s="833"/>
      <c r="AV271" s="833"/>
      <c r="AW271" s="833"/>
      <c r="AX271" s="833"/>
      <c r="AY271" s="833"/>
      <c r="AZ271" s="833"/>
      <c r="BA271" s="833"/>
      <c r="BB271" s="833"/>
      <c r="BC271" s="833"/>
      <c r="BD271" s="833"/>
      <c r="BE271" s="833"/>
      <c r="BF271" s="833"/>
      <c r="BG271" s="833"/>
      <c r="BH271" s="833"/>
      <c r="BI271" s="833"/>
      <c r="BJ271" s="833"/>
      <c r="BK271" s="833"/>
    </row>
    <row r="272" spans="2:63" ht="13.9" customHeight="1" x14ac:dyDescent="0.2">
      <c r="C272" s="1692"/>
      <c r="D272" s="890" t="s">
        <v>616</v>
      </c>
      <c r="E272" s="452" t="s">
        <v>34</v>
      </c>
      <c r="F272" s="1136"/>
      <c r="G272" s="1136"/>
      <c r="H272" s="495" t="s">
        <v>217</v>
      </c>
      <c r="I272" s="885">
        <v>32</v>
      </c>
      <c r="J272" s="967">
        <v>20</v>
      </c>
      <c r="K272" s="887">
        <v>5</v>
      </c>
      <c r="L272" s="1143">
        <f t="shared" si="26"/>
        <v>3200</v>
      </c>
      <c r="M272" s="1144"/>
      <c r="N272" s="456"/>
      <c r="O272" s="456"/>
      <c r="P272" s="987"/>
      <c r="Q272" s="455"/>
      <c r="R272" s="988"/>
      <c r="S272" s="844"/>
      <c r="T272" s="844"/>
      <c r="U272" s="844"/>
      <c r="V272" s="844"/>
      <c r="W272" s="844"/>
      <c r="X272" s="844"/>
      <c r="Y272" s="844"/>
      <c r="Z272" s="844"/>
      <c r="AA272" s="844"/>
      <c r="AB272" s="833"/>
      <c r="AC272" s="833"/>
      <c r="AD272" s="833"/>
      <c r="AE272" s="833"/>
      <c r="AF272" s="833"/>
      <c r="AG272" s="833"/>
      <c r="AH272" s="833"/>
      <c r="AI272" s="833"/>
      <c r="AJ272" s="833"/>
      <c r="AK272" s="833"/>
      <c r="AL272" s="833"/>
      <c r="AM272" s="833"/>
      <c r="AN272" s="833"/>
      <c r="AO272" s="833"/>
      <c r="AP272" s="833"/>
      <c r="AQ272" s="833"/>
      <c r="AR272" s="833"/>
      <c r="AS272" s="833"/>
      <c r="AT272" s="833"/>
      <c r="AU272" s="833"/>
      <c r="AV272" s="833"/>
      <c r="AW272" s="833"/>
      <c r="AX272" s="833"/>
      <c r="AY272" s="833"/>
      <c r="AZ272" s="833"/>
      <c r="BA272" s="833"/>
      <c r="BB272" s="833"/>
      <c r="BC272" s="833"/>
      <c r="BD272" s="833"/>
      <c r="BE272" s="833"/>
      <c r="BF272" s="833"/>
      <c r="BG272" s="833"/>
      <c r="BH272" s="833"/>
      <c r="BI272" s="833"/>
      <c r="BJ272" s="833"/>
      <c r="BK272" s="833"/>
    </row>
    <row r="273" spans="2:63" ht="13.9" customHeight="1" x14ac:dyDescent="0.2">
      <c r="C273" s="1692"/>
      <c r="D273" s="890" t="s">
        <v>243</v>
      </c>
      <c r="E273" s="452" t="s">
        <v>34</v>
      </c>
      <c r="F273" s="1136"/>
      <c r="G273" s="1136"/>
      <c r="H273" s="495" t="s">
        <v>217</v>
      </c>
      <c r="I273" s="969">
        <v>150</v>
      </c>
      <c r="J273" s="970">
        <v>1.2</v>
      </c>
      <c r="K273" s="971">
        <v>5</v>
      </c>
      <c r="L273" s="1143">
        <f t="shared" si="26"/>
        <v>900</v>
      </c>
      <c r="M273" s="1144"/>
      <c r="N273" s="456"/>
      <c r="O273" s="456"/>
      <c r="P273" s="987"/>
      <c r="Q273" s="455"/>
      <c r="R273" s="988"/>
      <c r="S273" s="844"/>
      <c r="T273" s="844"/>
      <c r="U273" s="844"/>
      <c r="V273" s="844"/>
      <c r="W273" s="844"/>
      <c r="X273" s="844"/>
      <c r="Y273" s="844"/>
      <c r="Z273" s="844"/>
      <c r="AA273" s="844"/>
      <c r="AB273" s="833"/>
      <c r="AC273" s="833"/>
      <c r="AD273" s="833"/>
      <c r="AE273" s="833"/>
      <c r="AF273" s="833"/>
      <c r="AG273" s="833"/>
      <c r="AH273" s="833"/>
      <c r="AI273" s="833"/>
      <c r="AJ273" s="833"/>
      <c r="AK273" s="833"/>
      <c r="AL273" s="833"/>
      <c r="AM273" s="833"/>
      <c r="AN273" s="833"/>
      <c r="AO273" s="833"/>
      <c r="AP273" s="833"/>
      <c r="AQ273" s="833"/>
      <c r="AR273" s="833"/>
      <c r="AS273" s="833"/>
      <c r="AT273" s="833"/>
      <c r="AU273" s="833"/>
      <c r="AV273" s="833"/>
      <c r="AW273" s="833"/>
      <c r="AX273" s="833"/>
      <c r="AY273" s="833"/>
      <c r="AZ273" s="833"/>
      <c r="BA273" s="833"/>
      <c r="BB273" s="833"/>
      <c r="BC273" s="833"/>
      <c r="BD273" s="833"/>
      <c r="BE273" s="833"/>
      <c r="BF273" s="833"/>
      <c r="BG273" s="833"/>
      <c r="BH273" s="833"/>
      <c r="BI273" s="833"/>
      <c r="BJ273" s="833"/>
      <c r="BK273" s="833"/>
    </row>
    <row r="274" spans="2:63" ht="13.9" customHeight="1" x14ac:dyDescent="0.2">
      <c r="C274" s="1692"/>
      <c r="D274" s="890" t="s">
        <v>236</v>
      </c>
      <c r="E274" s="452" t="s">
        <v>34</v>
      </c>
      <c r="F274" s="1136"/>
      <c r="G274" s="1136"/>
      <c r="H274" s="495" t="s">
        <v>217</v>
      </c>
      <c r="I274" s="969">
        <v>4</v>
      </c>
      <c r="J274" s="970">
        <v>40</v>
      </c>
      <c r="K274" s="971">
        <v>5</v>
      </c>
      <c r="L274" s="1143">
        <f t="shared" si="26"/>
        <v>800</v>
      </c>
      <c r="M274" s="1144"/>
      <c r="N274" s="456"/>
      <c r="O274" s="456"/>
      <c r="P274" s="987"/>
      <c r="Q274" s="455"/>
      <c r="R274" s="988"/>
      <c r="S274" s="844"/>
      <c r="T274" s="844"/>
      <c r="U274" s="844"/>
      <c r="V274" s="844"/>
      <c r="W274" s="844"/>
      <c r="X274" s="844"/>
      <c r="Y274" s="844"/>
      <c r="Z274" s="844"/>
      <c r="AA274" s="844"/>
      <c r="AB274" s="833"/>
      <c r="AC274" s="833"/>
      <c r="AD274" s="833"/>
      <c r="AE274" s="833"/>
      <c r="AF274" s="833"/>
      <c r="AG274" s="833"/>
      <c r="AH274" s="833"/>
      <c r="AI274" s="833"/>
      <c r="AJ274" s="833"/>
      <c r="AK274" s="833"/>
      <c r="AL274" s="833"/>
      <c r="AM274" s="833"/>
      <c r="AN274" s="833"/>
      <c r="AO274" s="833"/>
      <c r="AP274" s="833"/>
      <c r="AQ274" s="833"/>
      <c r="AR274" s="833"/>
      <c r="AS274" s="833"/>
      <c r="AT274" s="833"/>
      <c r="AU274" s="833"/>
      <c r="AV274" s="833"/>
      <c r="AW274" s="833"/>
      <c r="AX274" s="833"/>
      <c r="AY274" s="833"/>
      <c r="AZ274" s="833"/>
      <c r="BA274" s="833"/>
      <c r="BB274" s="833"/>
      <c r="BC274" s="833"/>
      <c r="BD274" s="833"/>
      <c r="BE274" s="833"/>
      <c r="BF274" s="833"/>
      <c r="BG274" s="833"/>
      <c r="BH274" s="833"/>
      <c r="BI274" s="833"/>
      <c r="BJ274" s="833"/>
      <c r="BK274" s="833"/>
    </row>
    <row r="275" spans="2:63" ht="13.9" customHeight="1" x14ac:dyDescent="0.2">
      <c r="C275" s="1692"/>
      <c r="D275" s="890" t="s">
        <v>381</v>
      </c>
      <c r="E275" s="452" t="s">
        <v>34</v>
      </c>
      <c r="F275" s="1136"/>
      <c r="G275" s="1136"/>
      <c r="H275" s="495" t="s">
        <v>217</v>
      </c>
      <c r="I275" s="969">
        <v>4</v>
      </c>
      <c r="J275" s="970">
        <v>15</v>
      </c>
      <c r="K275" s="971">
        <v>5</v>
      </c>
      <c r="L275" s="1143">
        <f t="shared" si="26"/>
        <v>300</v>
      </c>
      <c r="M275" s="1144"/>
      <c r="N275" s="456"/>
      <c r="O275" s="456"/>
      <c r="P275" s="987"/>
      <c r="Q275" s="455"/>
      <c r="R275" s="988"/>
      <c r="S275" s="844"/>
      <c r="T275" s="844"/>
      <c r="U275" s="844"/>
      <c r="V275" s="844"/>
      <c r="W275" s="844"/>
      <c r="X275" s="844"/>
      <c r="Y275" s="844"/>
      <c r="Z275" s="844"/>
      <c r="AA275" s="844"/>
      <c r="AB275" s="833"/>
      <c r="AC275" s="833"/>
      <c r="AD275" s="833"/>
      <c r="AE275" s="833"/>
      <c r="AF275" s="833"/>
      <c r="AG275" s="833"/>
      <c r="AH275" s="833"/>
      <c r="AI275" s="833"/>
      <c r="AJ275" s="833"/>
      <c r="AK275" s="833"/>
      <c r="AL275" s="833"/>
      <c r="AM275" s="833"/>
      <c r="AN275" s="833"/>
      <c r="AO275" s="833"/>
      <c r="AP275" s="833"/>
      <c r="AQ275" s="833"/>
      <c r="AR275" s="833"/>
      <c r="AS275" s="833"/>
      <c r="AT275" s="833"/>
      <c r="AU275" s="833"/>
      <c r="AV275" s="833"/>
      <c r="AW275" s="833"/>
      <c r="AX275" s="833"/>
      <c r="AY275" s="833"/>
      <c r="AZ275" s="833"/>
      <c r="BA275" s="833"/>
      <c r="BB275" s="833"/>
      <c r="BC275" s="833"/>
      <c r="BD275" s="833"/>
      <c r="BE275" s="833"/>
      <c r="BF275" s="833"/>
      <c r="BG275" s="833"/>
      <c r="BH275" s="833"/>
      <c r="BI275" s="833"/>
      <c r="BJ275" s="833"/>
      <c r="BK275" s="833"/>
    </row>
    <row r="276" spans="2:63" ht="13.9" customHeight="1" x14ac:dyDescent="0.2">
      <c r="B276" s="869" t="s">
        <v>717</v>
      </c>
      <c r="C276" s="1692"/>
      <c r="D276" s="1145" t="s">
        <v>246</v>
      </c>
      <c r="E276" s="1145"/>
      <c r="F276" s="1145"/>
      <c r="G276" s="1145"/>
      <c r="H276" s="1146"/>
      <c r="I276" s="1147"/>
      <c r="J276" s="1147"/>
      <c r="K276" s="1147"/>
      <c r="L276" s="1148">
        <f>SUM(L268:L275)</f>
        <v>19850</v>
      </c>
      <c r="M276" s="873">
        <v>60</v>
      </c>
      <c r="N276" s="874">
        <f>L276*M276/100</f>
        <v>11910</v>
      </c>
      <c r="O276" s="874"/>
      <c r="P276" s="876">
        <v>23693.85</v>
      </c>
      <c r="Q276" s="889">
        <f>P276/L276</f>
        <v>1.1936448362720402</v>
      </c>
      <c r="R276" s="906"/>
      <c r="S276" s="844"/>
      <c r="T276" s="844"/>
      <c r="U276" s="844"/>
      <c r="V276" s="844"/>
      <c r="W276" s="844"/>
      <c r="X276" s="844"/>
      <c r="Y276" s="844"/>
      <c r="Z276" s="844"/>
      <c r="AA276" s="960" t="s">
        <v>718</v>
      </c>
      <c r="AB276" s="833"/>
      <c r="AC276" s="833"/>
      <c r="AD276" s="833"/>
      <c r="AE276" s="833"/>
      <c r="AF276" s="833"/>
      <c r="AG276" s="833"/>
      <c r="AH276" s="833"/>
      <c r="AI276" s="833"/>
      <c r="AJ276" s="833"/>
      <c r="AK276" s="833"/>
      <c r="AL276" s="833"/>
      <c r="AM276" s="833"/>
      <c r="AN276" s="833"/>
      <c r="AO276" s="833"/>
      <c r="AP276" s="833"/>
      <c r="AQ276" s="833"/>
      <c r="AR276" s="833"/>
      <c r="AS276" s="833"/>
      <c r="AT276" s="833"/>
      <c r="AU276" s="833"/>
      <c r="AV276" s="833"/>
      <c r="AW276" s="833"/>
      <c r="AX276" s="833"/>
      <c r="AY276" s="833"/>
      <c r="AZ276" s="833"/>
      <c r="BA276" s="833"/>
      <c r="BB276" s="833"/>
      <c r="BC276" s="833"/>
      <c r="BD276" s="833"/>
      <c r="BE276" s="833"/>
      <c r="BF276" s="833"/>
      <c r="BG276" s="833"/>
      <c r="BH276" s="833"/>
      <c r="BI276" s="833"/>
      <c r="BJ276" s="833"/>
      <c r="BK276" s="833"/>
    </row>
    <row r="277" spans="2:63" ht="13.9" customHeight="1" x14ac:dyDescent="0.2">
      <c r="C277" s="1692"/>
      <c r="D277" s="490" t="s">
        <v>382</v>
      </c>
      <c r="E277" s="492"/>
      <c r="F277" s="492"/>
      <c r="G277" s="492"/>
      <c r="H277" s="492"/>
      <c r="I277" s="492"/>
      <c r="J277" s="1149"/>
      <c r="K277" s="1149"/>
      <c r="L277" s="1149"/>
      <c r="M277" s="455"/>
      <c r="N277" s="456"/>
      <c r="O277" s="456"/>
      <c r="P277" s="987"/>
      <c r="Q277" s="455"/>
      <c r="R277" s="988"/>
      <c r="S277" s="844"/>
      <c r="T277" s="844"/>
      <c r="U277" s="844"/>
      <c r="V277" s="844"/>
      <c r="W277" s="844"/>
      <c r="X277" s="844"/>
      <c r="Y277" s="844"/>
      <c r="Z277" s="844"/>
      <c r="AA277" s="844"/>
      <c r="AB277" s="833"/>
      <c r="AC277" s="833"/>
      <c r="AD277" s="833"/>
      <c r="AE277" s="833"/>
      <c r="AF277" s="833"/>
      <c r="AG277" s="833"/>
      <c r="AH277" s="833"/>
      <c r="AI277" s="833"/>
      <c r="AJ277" s="833"/>
      <c r="AK277" s="833"/>
      <c r="AL277" s="833"/>
      <c r="AM277" s="833"/>
      <c r="AN277" s="833"/>
      <c r="AO277" s="833"/>
      <c r="AP277" s="833"/>
      <c r="AQ277" s="833"/>
      <c r="AR277" s="833"/>
      <c r="AS277" s="833"/>
      <c r="AT277" s="833"/>
      <c r="AU277" s="833"/>
      <c r="AV277" s="833"/>
      <c r="AW277" s="833"/>
      <c r="AX277" s="833"/>
      <c r="AY277" s="833"/>
      <c r="AZ277" s="833"/>
      <c r="BA277" s="833"/>
      <c r="BB277" s="833"/>
      <c r="BC277" s="833"/>
      <c r="BD277" s="833"/>
      <c r="BE277" s="833"/>
      <c r="BF277" s="833"/>
      <c r="BG277" s="833"/>
      <c r="BH277" s="833"/>
      <c r="BI277" s="833"/>
      <c r="BJ277" s="833"/>
      <c r="BK277" s="833"/>
    </row>
    <row r="278" spans="2:63" ht="13.9" customHeight="1" x14ac:dyDescent="0.2">
      <c r="C278" s="1692"/>
      <c r="D278" s="890" t="s">
        <v>383</v>
      </c>
      <c r="E278" s="452" t="s">
        <v>34</v>
      </c>
      <c r="F278" s="1136"/>
      <c r="G278" s="1136"/>
      <c r="H278" s="495" t="s">
        <v>217</v>
      </c>
      <c r="I278" s="891">
        <v>50</v>
      </c>
      <c r="J278" s="892">
        <v>10</v>
      </c>
      <c r="K278" s="893">
        <v>12</v>
      </c>
      <c r="L278" s="1150">
        <f>I278*J278*K278</f>
        <v>6000</v>
      </c>
      <c r="M278" s="455"/>
      <c r="N278" s="456"/>
      <c r="O278" s="456"/>
      <c r="P278" s="987"/>
      <c r="Q278" s="455"/>
      <c r="R278" s="988"/>
      <c r="S278" s="844"/>
      <c r="T278" s="844"/>
      <c r="U278" s="844"/>
      <c r="V278" s="844"/>
      <c r="W278" s="844"/>
      <c r="X278" s="844"/>
      <c r="Y278" s="844"/>
      <c r="Z278" s="844"/>
      <c r="AA278" s="844"/>
      <c r="AB278" s="833"/>
      <c r="AC278" s="833"/>
      <c r="AD278" s="833"/>
      <c r="AE278" s="833"/>
      <c r="AF278" s="833"/>
      <c r="AG278" s="833"/>
      <c r="AH278" s="833"/>
      <c r="AI278" s="833"/>
      <c r="AJ278" s="833"/>
      <c r="AK278" s="833"/>
      <c r="AL278" s="833"/>
      <c r="AM278" s="833"/>
      <c r="AN278" s="833"/>
      <c r="AO278" s="833"/>
      <c r="AP278" s="833"/>
      <c r="AQ278" s="833"/>
      <c r="AR278" s="833"/>
      <c r="AS278" s="833"/>
      <c r="AT278" s="833"/>
      <c r="AU278" s="833"/>
      <c r="AV278" s="833"/>
      <c r="AW278" s="833"/>
      <c r="AX278" s="833"/>
      <c r="AY278" s="833"/>
      <c r="AZ278" s="833"/>
      <c r="BA278" s="833"/>
      <c r="BB278" s="833"/>
      <c r="BC278" s="833"/>
      <c r="BD278" s="833"/>
      <c r="BE278" s="833"/>
      <c r="BF278" s="833"/>
      <c r="BG278" s="833"/>
      <c r="BH278" s="833"/>
      <c r="BI278" s="833"/>
      <c r="BJ278" s="833"/>
      <c r="BK278" s="833"/>
    </row>
    <row r="279" spans="2:63" ht="13.9" customHeight="1" x14ac:dyDescent="0.2">
      <c r="C279" s="1692"/>
      <c r="D279" s="890" t="s">
        <v>384</v>
      </c>
      <c r="E279" s="452" t="s">
        <v>34</v>
      </c>
      <c r="F279" s="1136"/>
      <c r="G279" s="1136"/>
      <c r="H279" s="495" t="s">
        <v>217</v>
      </c>
      <c r="I279" s="891">
        <v>50</v>
      </c>
      <c r="J279" s="892">
        <v>1</v>
      </c>
      <c r="K279" s="893">
        <v>12</v>
      </c>
      <c r="L279" s="1150">
        <f>I279*J279*K279</f>
        <v>600</v>
      </c>
      <c r="M279" s="455"/>
      <c r="N279" s="456"/>
      <c r="O279" s="456"/>
      <c r="P279" s="987"/>
      <c r="Q279" s="455"/>
      <c r="R279" s="988"/>
      <c r="S279" s="844"/>
      <c r="T279" s="844"/>
      <c r="U279" s="844"/>
      <c r="V279" s="844"/>
      <c r="W279" s="844"/>
      <c r="X279" s="844"/>
      <c r="Y279" s="844"/>
      <c r="Z279" s="844"/>
      <c r="AA279" s="844"/>
      <c r="AB279" s="833"/>
      <c r="AC279" s="833"/>
      <c r="AD279" s="833"/>
      <c r="AE279" s="833"/>
      <c r="AF279" s="833"/>
      <c r="AG279" s="833"/>
      <c r="AH279" s="833"/>
      <c r="AI279" s="833"/>
      <c r="AJ279" s="833"/>
      <c r="AK279" s="833"/>
      <c r="AL279" s="833"/>
      <c r="AM279" s="833"/>
      <c r="AN279" s="833"/>
      <c r="AO279" s="833"/>
      <c r="AP279" s="833"/>
      <c r="AQ279" s="833"/>
      <c r="AR279" s="833"/>
      <c r="AS279" s="833"/>
      <c r="AT279" s="833"/>
      <c r="AU279" s="833"/>
      <c r="AV279" s="833"/>
      <c r="AW279" s="833"/>
      <c r="AX279" s="833"/>
      <c r="AY279" s="833"/>
      <c r="AZ279" s="833"/>
      <c r="BA279" s="833"/>
      <c r="BB279" s="833"/>
      <c r="BC279" s="833"/>
      <c r="BD279" s="833"/>
      <c r="BE279" s="833"/>
      <c r="BF279" s="833"/>
      <c r="BG279" s="833"/>
      <c r="BH279" s="833"/>
      <c r="BI279" s="833"/>
      <c r="BJ279" s="833"/>
      <c r="BK279" s="833"/>
    </row>
    <row r="280" spans="2:63" ht="13.9" customHeight="1" x14ac:dyDescent="0.2">
      <c r="B280" s="869" t="s">
        <v>719</v>
      </c>
      <c r="C280" s="1692"/>
      <c r="D280" s="1145" t="s">
        <v>246</v>
      </c>
      <c r="E280" s="1145"/>
      <c r="F280" s="1145"/>
      <c r="G280" s="1145"/>
      <c r="H280" s="1146"/>
      <c r="I280" s="1147"/>
      <c r="J280" s="1147"/>
      <c r="K280" s="1147"/>
      <c r="L280" s="1148">
        <f>SUM(L278:L279)</f>
        <v>6600</v>
      </c>
      <c r="M280" s="873">
        <v>60</v>
      </c>
      <c r="N280" s="874">
        <f>L280*M280/100</f>
        <v>3960</v>
      </c>
      <c r="O280" s="874"/>
      <c r="P280" s="876">
        <v>14004.960000000001</v>
      </c>
      <c r="Q280" s="1086">
        <f>P280/L280</f>
        <v>2.1219636363636365</v>
      </c>
      <c r="R280" s="906"/>
      <c r="S280" s="844"/>
      <c r="T280" s="844"/>
      <c r="U280" s="844"/>
      <c r="V280" s="844"/>
      <c r="W280" s="844"/>
      <c r="X280" s="844"/>
      <c r="Y280" s="844"/>
      <c r="Z280" s="844"/>
      <c r="AA280" s="960" t="s">
        <v>718</v>
      </c>
      <c r="AB280" s="833"/>
      <c r="AC280" s="833"/>
      <c r="AD280" s="833"/>
      <c r="AE280" s="833"/>
      <c r="AF280" s="833"/>
      <c r="AG280" s="833"/>
      <c r="AH280" s="833"/>
      <c r="AI280" s="833"/>
      <c r="AJ280" s="833"/>
      <c r="AK280" s="833"/>
      <c r="AL280" s="833"/>
      <c r="AM280" s="833"/>
      <c r="AN280" s="833"/>
      <c r="AO280" s="833"/>
      <c r="AP280" s="833"/>
      <c r="AQ280" s="833"/>
      <c r="AR280" s="833"/>
      <c r="AS280" s="833"/>
      <c r="AT280" s="833"/>
      <c r="AU280" s="833"/>
      <c r="AV280" s="833"/>
      <c r="AW280" s="833"/>
      <c r="AX280" s="833"/>
      <c r="AY280" s="833"/>
      <c r="AZ280" s="833"/>
      <c r="BA280" s="833"/>
      <c r="BB280" s="833"/>
      <c r="BC280" s="833"/>
      <c r="BD280" s="833"/>
      <c r="BE280" s="833"/>
      <c r="BF280" s="833"/>
      <c r="BG280" s="833"/>
      <c r="BH280" s="833"/>
      <c r="BI280" s="833"/>
      <c r="BJ280" s="833"/>
      <c r="BK280" s="833"/>
    </row>
    <row r="281" spans="2:63" ht="22.5" customHeight="1" x14ac:dyDescent="0.2">
      <c r="C281" s="1692"/>
      <c r="D281" s="490" t="s">
        <v>385</v>
      </c>
      <c r="E281" s="492"/>
      <c r="F281" s="492"/>
      <c r="G281" s="492"/>
      <c r="H281" s="492"/>
      <c r="I281" s="492"/>
      <c r="J281" s="1149"/>
      <c r="K281" s="1149"/>
      <c r="L281" s="1149"/>
      <c r="M281" s="455"/>
      <c r="N281" s="456"/>
      <c r="O281" s="456"/>
      <c r="P281" s="987"/>
      <c r="Q281" s="455"/>
      <c r="R281" s="988"/>
      <c r="S281" s="844"/>
      <c r="T281" s="844"/>
      <c r="U281" s="844"/>
      <c r="V281" s="844"/>
      <c r="W281" s="844"/>
      <c r="X281" s="844"/>
      <c r="Y281" s="844"/>
      <c r="Z281" s="844"/>
      <c r="AA281" s="844"/>
      <c r="AB281" s="833"/>
      <c r="AC281" s="833"/>
      <c r="AD281" s="833"/>
      <c r="AE281" s="833"/>
      <c r="AF281" s="833"/>
      <c r="AG281" s="833"/>
      <c r="AH281" s="833"/>
      <c r="AI281" s="833"/>
      <c r="AJ281" s="833"/>
      <c r="AK281" s="833"/>
      <c r="AL281" s="833"/>
      <c r="AM281" s="833"/>
      <c r="AN281" s="833"/>
      <c r="AO281" s="833"/>
      <c r="AP281" s="833"/>
      <c r="AQ281" s="833"/>
      <c r="AR281" s="833"/>
      <c r="AS281" s="833"/>
      <c r="AT281" s="833"/>
      <c r="AU281" s="833"/>
      <c r="AV281" s="833"/>
      <c r="AW281" s="833"/>
      <c r="AX281" s="833"/>
      <c r="AY281" s="833"/>
      <c r="AZ281" s="833"/>
      <c r="BA281" s="833"/>
      <c r="BB281" s="833"/>
      <c r="BC281" s="833"/>
      <c r="BD281" s="833"/>
      <c r="BE281" s="833"/>
      <c r="BF281" s="833"/>
      <c r="BG281" s="833"/>
      <c r="BH281" s="833"/>
      <c r="BI281" s="833"/>
      <c r="BJ281" s="833"/>
      <c r="BK281" s="833"/>
    </row>
    <row r="282" spans="2:63" ht="13.9" customHeight="1" x14ac:dyDescent="0.2">
      <c r="C282" s="1692"/>
      <c r="D282" s="890" t="s">
        <v>386</v>
      </c>
      <c r="E282" s="452" t="s">
        <v>34</v>
      </c>
      <c r="F282" s="1136"/>
      <c r="G282" s="1136"/>
      <c r="H282" s="495" t="s">
        <v>217</v>
      </c>
      <c r="I282" s="964">
        <v>50</v>
      </c>
      <c r="J282" s="965">
        <v>10</v>
      </c>
      <c r="K282" s="966">
        <v>2</v>
      </c>
      <c r="L282" s="858">
        <f>I282*J282*K282</f>
        <v>1000</v>
      </c>
      <c r="M282" s="455"/>
      <c r="N282" s="456"/>
      <c r="O282" s="456"/>
      <c r="P282" s="987"/>
      <c r="Q282" s="455"/>
      <c r="R282" s="988"/>
      <c r="S282" s="844"/>
      <c r="T282" s="844"/>
      <c r="U282" s="844"/>
      <c r="V282" s="844"/>
      <c r="W282" s="844"/>
      <c r="X282" s="844"/>
      <c r="Y282" s="844"/>
      <c r="Z282" s="844"/>
      <c r="AA282" s="844"/>
      <c r="AB282" s="833"/>
      <c r="AC282" s="833"/>
      <c r="AD282" s="833"/>
      <c r="AE282" s="833"/>
      <c r="AF282" s="833"/>
      <c r="AG282" s="833"/>
      <c r="AH282" s="833"/>
      <c r="AI282" s="833"/>
      <c r="AJ282" s="833"/>
      <c r="AK282" s="833"/>
      <c r="AL282" s="833"/>
      <c r="AM282" s="833"/>
      <c r="AN282" s="833"/>
      <c r="AO282" s="833"/>
      <c r="AP282" s="833"/>
      <c r="AQ282" s="833"/>
      <c r="AR282" s="833"/>
      <c r="AS282" s="833"/>
      <c r="AT282" s="833"/>
      <c r="AU282" s="833"/>
      <c r="AV282" s="833"/>
      <c r="AW282" s="833"/>
      <c r="AX282" s="833"/>
      <c r="AY282" s="833"/>
      <c r="AZ282" s="833"/>
      <c r="BA282" s="833"/>
      <c r="BB282" s="833"/>
      <c r="BC282" s="833"/>
      <c r="BD282" s="833"/>
      <c r="BE282" s="833"/>
      <c r="BF282" s="833"/>
      <c r="BG282" s="833"/>
      <c r="BH282" s="833"/>
      <c r="BI282" s="833"/>
      <c r="BJ282" s="833"/>
      <c r="BK282" s="833"/>
    </row>
    <row r="283" spans="2:63" ht="13.9" customHeight="1" x14ac:dyDescent="0.2">
      <c r="C283" s="1692"/>
      <c r="D283" s="890" t="s">
        <v>618</v>
      </c>
      <c r="E283" s="452" t="s">
        <v>34</v>
      </c>
      <c r="F283" s="1136"/>
      <c r="G283" s="1136"/>
      <c r="H283" s="495" t="s">
        <v>217</v>
      </c>
      <c r="I283" s="964">
        <v>60</v>
      </c>
      <c r="J283" s="965">
        <v>1.2</v>
      </c>
      <c r="K283" s="966">
        <v>2</v>
      </c>
      <c r="L283" s="858">
        <f>I283*J283*K283</f>
        <v>144</v>
      </c>
      <c r="M283" s="455"/>
      <c r="N283" s="456"/>
      <c r="O283" s="456"/>
      <c r="P283" s="987"/>
      <c r="Q283" s="455"/>
      <c r="R283" s="988"/>
      <c r="S283" s="844"/>
      <c r="T283" s="844"/>
      <c r="U283" s="844"/>
      <c r="V283" s="844"/>
      <c r="W283" s="844"/>
      <c r="X283" s="844"/>
      <c r="Y283" s="844"/>
      <c r="Z283" s="844"/>
      <c r="AA283" s="844"/>
      <c r="AB283" s="833"/>
      <c r="AC283" s="833"/>
      <c r="AD283" s="833"/>
      <c r="AE283" s="833"/>
      <c r="AF283" s="833"/>
      <c r="AG283" s="833"/>
      <c r="AH283" s="833"/>
      <c r="AI283" s="833"/>
      <c r="AJ283" s="833"/>
      <c r="AK283" s="833"/>
      <c r="AL283" s="833"/>
      <c r="AM283" s="833"/>
      <c r="AN283" s="833"/>
      <c r="AO283" s="833"/>
      <c r="AP283" s="833"/>
      <c r="AQ283" s="833"/>
      <c r="AR283" s="833"/>
      <c r="AS283" s="833"/>
      <c r="AT283" s="833"/>
      <c r="AU283" s="833"/>
      <c r="AV283" s="833"/>
      <c r="AW283" s="833"/>
      <c r="AX283" s="833"/>
      <c r="AY283" s="833"/>
      <c r="AZ283" s="833"/>
      <c r="BA283" s="833"/>
      <c r="BB283" s="833"/>
      <c r="BC283" s="833"/>
      <c r="BD283" s="833"/>
      <c r="BE283" s="833"/>
      <c r="BF283" s="833"/>
      <c r="BG283" s="833"/>
      <c r="BH283" s="833"/>
      <c r="BI283" s="833"/>
      <c r="BJ283" s="833"/>
      <c r="BK283" s="833"/>
    </row>
    <row r="284" spans="2:63" ht="13.9" customHeight="1" x14ac:dyDescent="0.2">
      <c r="C284" s="1692"/>
      <c r="D284" s="890" t="s">
        <v>619</v>
      </c>
      <c r="E284" s="452" t="s">
        <v>34</v>
      </c>
      <c r="F284" s="1136"/>
      <c r="G284" s="1136"/>
      <c r="H284" s="495" t="s">
        <v>217</v>
      </c>
      <c r="I284" s="964">
        <v>15</v>
      </c>
      <c r="J284" s="965">
        <v>15</v>
      </c>
      <c r="K284" s="966">
        <v>2</v>
      </c>
      <c r="L284" s="858">
        <f>I284*J284*K284</f>
        <v>450</v>
      </c>
      <c r="M284" s="455"/>
      <c r="N284" s="456"/>
      <c r="O284" s="456"/>
      <c r="P284" s="987"/>
      <c r="Q284" s="455"/>
      <c r="R284" s="988"/>
      <c r="S284" s="844"/>
      <c r="T284" s="844"/>
      <c r="U284" s="844"/>
      <c r="V284" s="844"/>
      <c r="W284" s="844"/>
      <c r="X284" s="844"/>
      <c r="Y284" s="844"/>
      <c r="Z284" s="844"/>
      <c r="AA284" s="844"/>
      <c r="AB284" s="833"/>
      <c r="AC284" s="833"/>
      <c r="AD284" s="833"/>
      <c r="AE284" s="833"/>
      <c r="AF284" s="833"/>
      <c r="AG284" s="833"/>
      <c r="AH284" s="833"/>
      <c r="AI284" s="833"/>
      <c r="AJ284" s="833"/>
      <c r="AK284" s="833"/>
      <c r="AL284" s="833"/>
      <c r="AM284" s="833"/>
      <c r="AN284" s="833"/>
      <c r="AO284" s="833"/>
      <c r="AP284" s="833"/>
      <c r="AQ284" s="833"/>
      <c r="AR284" s="833"/>
      <c r="AS284" s="833"/>
      <c r="AT284" s="833"/>
      <c r="AU284" s="833"/>
      <c r="AV284" s="833"/>
      <c r="AW284" s="833"/>
      <c r="AX284" s="833"/>
      <c r="AY284" s="833"/>
      <c r="AZ284" s="833"/>
      <c r="BA284" s="833"/>
      <c r="BB284" s="833"/>
      <c r="BC284" s="833"/>
      <c r="BD284" s="833"/>
      <c r="BE284" s="833"/>
      <c r="BF284" s="833"/>
      <c r="BG284" s="833"/>
      <c r="BH284" s="833"/>
      <c r="BI284" s="833"/>
      <c r="BJ284" s="833"/>
      <c r="BK284" s="833"/>
    </row>
    <row r="285" spans="2:63" ht="13.9" customHeight="1" x14ac:dyDescent="0.2">
      <c r="B285" s="869" t="s">
        <v>720</v>
      </c>
      <c r="C285" s="1692"/>
      <c r="D285" s="486" t="s">
        <v>246</v>
      </c>
      <c r="E285" s="486"/>
      <c r="F285" s="486"/>
      <c r="G285" s="486"/>
      <c r="H285" s="487"/>
      <c r="I285" s="488"/>
      <c r="J285" s="1141"/>
      <c r="K285" s="1141"/>
      <c r="L285" s="1151">
        <f>SUM(L282:L284)</f>
        <v>1594</v>
      </c>
      <c r="M285" s="460">
        <v>60</v>
      </c>
      <c r="N285" s="461">
        <f>L285*M285/100</f>
        <v>956.4</v>
      </c>
      <c r="O285" s="461"/>
      <c r="P285" s="876">
        <v>5025.13</v>
      </c>
      <c r="Q285" s="1006">
        <f>P285/L285</f>
        <v>3.1525282308657467</v>
      </c>
      <c r="R285" s="906"/>
      <c r="S285" s="844"/>
      <c r="T285" s="844"/>
      <c r="U285" s="844"/>
      <c r="V285" s="844"/>
      <c r="W285" s="844"/>
      <c r="X285" s="844"/>
      <c r="Y285" s="844"/>
      <c r="Z285" s="844"/>
      <c r="AA285" s="960" t="s">
        <v>721</v>
      </c>
      <c r="AB285" s="833"/>
      <c r="AC285" s="833"/>
      <c r="AD285" s="833"/>
      <c r="AE285" s="833"/>
      <c r="AF285" s="833"/>
      <c r="AG285" s="833"/>
      <c r="AH285" s="833"/>
      <c r="AI285" s="833"/>
      <c r="AJ285" s="833"/>
      <c r="AK285" s="833"/>
      <c r="AL285" s="833"/>
      <c r="AM285" s="833"/>
      <c r="AN285" s="833"/>
      <c r="AO285" s="833"/>
      <c r="AP285" s="833"/>
      <c r="AQ285" s="833"/>
      <c r="AR285" s="833"/>
      <c r="AS285" s="833"/>
      <c r="AT285" s="833"/>
      <c r="AU285" s="833"/>
      <c r="AV285" s="833"/>
      <c r="AW285" s="833"/>
      <c r="AX285" s="833"/>
      <c r="AY285" s="833"/>
      <c r="AZ285" s="833"/>
      <c r="BA285" s="833"/>
      <c r="BB285" s="833"/>
      <c r="BC285" s="833"/>
      <c r="BD285" s="833"/>
      <c r="BE285" s="833"/>
      <c r="BF285" s="833"/>
      <c r="BG285" s="833"/>
      <c r="BH285" s="833"/>
      <c r="BI285" s="833"/>
      <c r="BJ285" s="833"/>
      <c r="BK285" s="833"/>
    </row>
    <row r="286" spans="2:63" ht="13.9" customHeight="1" x14ac:dyDescent="0.2">
      <c r="C286" s="1692"/>
      <c r="D286" s="1152" t="s">
        <v>387</v>
      </c>
      <c r="E286" s="1153"/>
      <c r="F286" s="1153"/>
      <c r="G286" s="1153"/>
      <c r="H286" s="1153"/>
      <c r="I286" s="1153"/>
      <c r="J286" s="1153"/>
      <c r="K286" s="1153"/>
      <c r="L286" s="1153"/>
      <c r="M286" s="844"/>
      <c r="N286" s="859"/>
      <c r="O286" s="859"/>
      <c r="P286" s="987"/>
      <c r="Q286" s="844"/>
      <c r="R286" s="988"/>
      <c r="S286" s="844"/>
      <c r="T286" s="844"/>
      <c r="U286" s="844"/>
      <c r="V286" s="844"/>
      <c r="W286" s="844"/>
      <c r="X286" s="844"/>
      <c r="Y286" s="844"/>
      <c r="Z286" s="844"/>
      <c r="AA286" s="844"/>
      <c r="AB286" s="833"/>
      <c r="AC286" s="833"/>
      <c r="AD286" s="833"/>
      <c r="AE286" s="833"/>
      <c r="AF286" s="833"/>
      <c r="AG286" s="833"/>
      <c r="AH286" s="833"/>
      <c r="AI286" s="833"/>
      <c r="AJ286" s="833"/>
      <c r="AK286" s="833"/>
      <c r="AL286" s="833"/>
      <c r="AM286" s="833"/>
      <c r="AN286" s="833"/>
      <c r="AO286" s="833"/>
      <c r="AP286" s="833"/>
      <c r="AQ286" s="833"/>
      <c r="AR286" s="833"/>
      <c r="AS286" s="833"/>
      <c r="AT286" s="833"/>
      <c r="AU286" s="833"/>
      <c r="AV286" s="833"/>
      <c r="AW286" s="833"/>
      <c r="AX286" s="833"/>
      <c r="AY286" s="833"/>
      <c r="AZ286" s="833"/>
      <c r="BA286" s="833"/>
      <c r="BB286" s="833"/>
      <c r="BC286" s="833"/>
      <c r="BD286" s="833"/>
      <c r="BE286" s="833"/>
      <c r="BF286" s="833"/>
      <c r="BG286" s="833"/>
      <c r="BH286" s="833"/>
      <c r="BI286" s="833"/>
      <c r="BJ286" s="833"/>
      <c r="BK286" s="833"/>
    </row>
    <row r="287" spans="2:63" ht="13.9" customHeight="1" x14ac:dyDescent="0.2">
      <c r="C287" s="1692"/>
      <c r="D287" s="1126" t="s">
        <v>620</v>
      </c>
      <c r="E287" s="1126" t="s">
        <v>34</v>
      </c>
      <c r="F287" s="1154"/>
      <c r="G287" s="1154"/>
      <c r="H287" s="1155" t="s">
        <v>217</v>
      </c>
      <c r="I287" s="1156">
        <v>3</v>
      </c>
      <c r="J287" s="1157">
        <v>85</v>
      </c>
      <c r="K287" s="1158">
        <v>6</v>
      </c>
      <c r="L287" s="1159">
        <f>I287*J287*K287</f>
        <v>1530</v>
      </c>
      <c r="M287" s="844"/>
      <c r="N287" s="859"/>
      <c r="O287" s="859"/>
      <c r="P287" s="987"/>
      <c r="Q287" s="844"/>
      <c r="R287" s="988"/>
      <c r="S287" s="844"/>
      <c r="T287" s="844"/>
      <c r="U287" s="844"/>
      <c r="V287" s="844"/>
      <c r="W287" s="844"/>
      <c r="X287" s="844"/>
      <c r="Y287" s="844"/>
      <c r="Z287" s="844"/>
      <c r="AA287" s="844"/>
      <c r="AB287" s="833"/>
      <c r="AC287" s="833"/>
      <c r="AD287" s="833"/>
      <c r="AE287" s="833"/>
      <c r="AF287" s="833"/>
      <c r="AG287" s="833"/>
      <c r="AH287" s="833"/>
      <c r="AI287" s="833"/>
      <c r="AJ287" s="833"/>
      <c r="AK287" s="833"/>
      <c r="AL287" s="833"/>
      <c r="AM287" s="833"/>
      <c r="AN287" s="833"/>
      <c r="AO287" s="833"/>
      <c r="AP287" s="833"/>
      <c r="AQ287" s="833"/>
      <c r="AR287" s="833"/>
      <c r="AS287" s="833"/>
      <c r="AT287" s="833"/>
      <c r="AU287" s="833"/>
      <c r="AV287" s="833"/>
      <c r="AW287" s="833"/>
      <c r="AX287" s="833"/>
      <c r="AY287" s="833"/>
      <c r="AZ287" s="833"/>
      <c r="BA287" s="833"/>
      <c r="BB287" s="833"/>
      <c r="BC287" s="833"/>
      <c r="BD287" s="833"/>
      <c r="BE287" s="833"/>
      <c r="BF287" s="833"/>
      <c r="BG287" s="833"/>
      <c r="BH287" s="833"/>
      <c r="BI287" s="833"/>
      <c r="BJ287" s="833"/>
      <c r="BK287" s="833"/>
    </row>
    <row r="288" spans="2:63" ht="13.9" customHeight="1" x14ac:dyDescent="0.2">
      <c r="B288" s="869" t="s">
        <v>722</v>
      </c>
      <c r="C288" s="1692"/>
      <c r="D288" s="1145" t="s">
        <v>246</v>
      </c>
      <c r="E288" s="1145"/>
      <c r="F288" s="1145"/>
      <c r="G288" s="1145"/>
      <c r="H288" s="1146"/>
      <c r="I288" s="1147"/>
      <c r="J288" s="1147"/>
      <c r="K288" s="1147"/>
      <c r="L288" s="1148">
        <f>SUM(L287)</f>
        <v>1530</v>
      </c>
      <c r="M288" s="873">
        <v>60</v>
      </c>
      <c r="N288" s="874">
        <f>L288*M288/100</f>
        <v>918</v>
      </c>
      <c r="O288" s="874"/>
      <c r="P288" s="876">
        <v>8785.17</v>
      </c>
      <c r="Q288" s="875"/>
      <c r="R288" s="906"/>
      <c r="S288" s="844"/>
      <c r="T288" s="844"/>
      <c r="U288" s="844"/>
      <c r="V288" s="844"/>
      <c r="W288" s="844"/>
      <c r="X288" s="844"/>
      <c r="Y288" s="844"/>
      <c r="Z288" s="844"/>
      <c r="AA288" s="960"/>
      <c r="AB288" s="833"/>
      <c r="AC288" s="833"/>
      <c r="AD288" s="833"/>
      <c r="AE288" s="833"/>
      <c r="AF288" s="833"/>
      <c r="AG288" s="833"/>
      <c r="AH288" s="833"/>
      <c r="AI288" s="833"/>
      <c r="AJ288" s="833"/>
      <c r="AK288" s="833"/>
      <c r="AL288" s="833"/>
      <c r="AM288" s="833"/>
      <c r="AN288" s="833"/>
      <c r="AO288" s="833"/>
      <c r="AP288" s="833"/>
      <c r="AQ288" s="833"/>
      <c r="AR288" s="833"/>
      <c r="AS288" s="833"/>
      <c r="AT288" s="833"/>
      <c r="AU288" s="833"/>
      <c r="AV288" s="833"/>
      <c r="AW288" s="833"/>
      <c r="AX288" s="833"/>
      <c r="AY288" s="833"/>
      <c r="AZ288" s="833"/>
      <c r="BA288" s="833"/>
      <c r="BB288" s="833"/>
      <c r="BC288" s="833"/>
      <c r="BD288" s="833"/>
      <c r="BE288" s="833"/>
      <c r="BF288" s="833"/>
      <c r="BG288" s="833"/>
      <c r="BH288" s="833"/>
      <c r="BI288" s="833"/>
      <c r="BJ288" s="833"/>
      <c r="BK288" s="833"/>
    </row>
    <row r="289" spans="2:63" ht="13.9" customHeight="1" x14ac:dyDescent="0.2">
      <c r="B289" s="869" t="s">
        <v>723</v>
      </c>
      <c r="C289" s="1160"/>
      <c r="D289" s="415" t="s">
        <v>564</v>
      </c>
      <c r="E289" s="416" t="s">
        <v>13</v>
      </c>
      <c r="F289" s="1161"/>
      <c r="G289" s="1161"/>
      <c r="H289" s="1155" t="s">
        <v>217</v>
      </c>
      <c r="I289" s="1162">
        <v>2</v>
      </c>
      <c r="J289" s="1162">
        <v>329.17599999999999</v>
      </c>
      <c r="K289" s="1162">
        <v>12</v>
      </c>
      <c r="L289" s="1163">
        <f>K289*J289*I289</f>
        <v>7900.2240000000002</v>
      </c>
      <c r="M289" s="1164"/>
      <c r="N289" s="1165"/>
      <c r="O289" s="1165"/>
      <c r="P289" s="876">
        <v>8562</v>
      </c>
      <c r="Q289" s="1086">
        <f>P289/L289</f>
        <v>1.083766738765888</v>
      </c>
      <c r="R289" s="1166"/>
      <c r="S289" s="844"/>
      <c r="T289" s="844"/>
      <c r="U289" s="844"/>
      <c r="V289" s="844"/>
      <c r="W289" s="844"/>
      <c r="X289" s="844"/>
      <c r="Y289" s="844"/>
      <c r="Z289" s="844"/>
      <c r="AA289" s="960" t="s">
        <v>724</v>
      </c>
      <c r="AB289" s="833"/>
      <c r="AC289" s="833"/>
      <c r="AD289" s="833"/>
      <c r="AE289" s="833"/>
      <c r="AF289" s="833"/>
      <c r="AG289" s="833"/>
      <c r="AH289" s="833"/>
      <c r="AI289" s="833"/>
      <c r="AJ289" s="833"/>
      <c r="AK289" s="833"/>
      <c r="AL289" s="833"/>
      <c r="AM289" s="833"/>
      <c r="AN289" s="833"/>
      <c r="AO289" s="833"/>
      <c r="AP289" s="833"/>
      <c r="AQ289" s="833"/>
      <c r="AR289" s="833"/>
      <c r="AS289" s="833"/>
      <c r="AT289" s="833"/>
      <c r="AU289" s="833"/>
      <c r="AV289" s="833"/>
      <c r="AW289" s="833"/>
      <c r="AX289" s="833"/>
      <c r="AY289" s="833"/>
      <c r="AZ289" s="833"/>
      <c r="BA289" s="833"/>
      <c r="BB289" s="833"/>
      <c r="BC289" s="833"/>
      <c r="BD289" s="833"/>
      <c r="BE289" s="833"/>
      <c r="BF289" s="833"/>
      <c r="BG289" s="833"/>
      <c r="BH289" s="833"/>
      <c r="BI289" s="833"/>
      <c r="BJ289" s="833"/>
      <c r="BK289" s="833"/>
    </row>
    <row r="290" spans="2:63" s="820" customFormat="1" x14ac:dyDescent="0.2">
      <c r="C290" s="1693" t="s">
        <v>388</v>
      </c>
      <c r="D290" s="1694"/>
      <c r="E290" s="1167"/>
      <c r="F290" s="1167"/>
      <c r="G290" s="1167"/>
      <c r="H290" s="1168"/>
      <c r="I290" s="1168"/>
      <c r="J290" s="1168"/>
      <c r="K290" s="1169"/>
      <c r="L290" s="1170">
        <f>L225+L229+L235+L242+L245+L253+L266+L276+L280+L285+L288+L289</f>
        <v>146780.72399999999</v>
      </c>
      <c r="M290" s="1171">
        <f>N290/L290</f>
        <v>0.38314785802528134</v>
      </c>
      <c r="N290" s="1172">
        <f>SUM(N175:N288)</f>
        <v>56238.720000000001</v>
      </c>
      <c r="O290" s="1172"/>
      <c r="P290" s="1170">
        <f>P225+P229+P235+P242+P245+P253+P266+P276+P280+P285+P288+P289</f>
        <v>168881.15</v>
      </c>
      <c r="Q290" s="1172"/>
      <c r="R290" s="1173"/>
      <c r="S290" s="1120"/>
      <c r="T290" s="1120"/>
      <c r="U290" s="1120"/>
      <c r="V290" s="1120"/>
      <c r="W290" s="1120"/>
      <c r="X290" s="1120"/>
      <c r="Y290" s="1120"/>
      <c r="Z290" s="1120"/>
      <c r="AA290" s="1120"/>
      <c r="AB290" s="1121"/>
      <c r="AC290" s="1121"/>
      <c r="AD290" s="1121"/>
      <c r="AE290" s="1121"/>
      <c r="AF290" s="1121"/>
      <c r="AG290" s="1121"/>
      <c r="AH290" s="1121"/>
      <c r="AI290" s="1121"/>
      <c r="AJ290" s="1121"/>
      <c r="AK290" s="1121"/>
      <c r="AL290" s="1121"/>
      <c r="AM290" s="1121"/>
      <c r="AN290" s="1121"/>
      <c r="AO290" s="1121"/>
      <c r="AP290" s="1121"/>
      <c r="AQ290" s="1121"/>
      <c r="AR290" s="1121"/>
      <c r="AS290" s="1121"/>
      <c r="AT290" s="1121"/>
      <c r="AU290" s="1121"/>
      <c r="AV290" s="1121"/>
      <c r="AW290" s="1121"/>
      <c r="AX290" s="1121"/>
      <c r="AY290" s="1121"/>
      <c r="AZ290" s="1121"/>
      <c r="BA290" s="1121"/>
      <c r="BB290" s="1121"/>
      <c r="BC290" s="1121"/>
      <c r="BD290" s="1121"/>
      <c r="BE290" s="1121"/>
      <c r="BF290" s="1121"/>
      <c r="BG290" s="1121"/>
      <c r="BH290" s="1121"/>
      <c r="BI290" s="1121"/>
      <c r="BJ290" s="1121"/>
      <c r="BK290" s="1121"/>
    </row>
    <row r="291" spans="2:63" s="1174" customFormat="1" ht="54.75" customHeight="1" x14ac:dyDescent="0.2">
      <c r="C291" s="961" t="s">
        <v>40</v>
      </c>
      <c r="D291" s="962"/>
      <c r="E291" s="963"/>
      <c r="F291" s="963"/>
      <c r="G291" s="963"/>
      <c r="H291" s="1175"/>
      <c r="I291" s="1175"/>
      <c r="J291" s="823"/>
      <c r="K291" s="1176">
        <f>L291/L328</f>
        <v>0.68859570235069922</v>
      </c>
      <c r="L291" s="1177">
        <f>L161+L215+L290</f>
        <v>377901.22399999999</v>
      </c>
      <c r="M291" s="1178">
        <f>N291/L291</f>
        <v>0.33008392690466648</v>
      </c>
      <c r="N291" s="1179">
        <f>N290+N161</f>
        <v>124739.12</v>
      </c>
      <c r="O291" s="823"/>
      <c r="P291" s="1177">
        <f>P161+P215+P290</f>
        <v>381253.38</v>
      </c>
      <c r="Q291" s="1086">
        <f>P291/L291</f>
        <v>1.0088704555241135</v>
      </c>
      <c r="R291" s="1180"/>
      <c r="S291" s="1181"/>
      <c r="T291" s="1181"/>
      <c r="U291" s="1181"/>
      <c r="V291" s="1181"/>
      <c r="W291" s="1181"/>
      <c r="X291" s="1181"/>
      <c r="Y291" s="1181"/>
      <c r="Z291" s="1181"/>
      <c r="AA291" s="1182" t="s">
        <v>725</v>
      </c>
      <c r="AB291" s="1183"/>
      <c r="AC291" s="1183"/>
      <c r="AD291" s="1183"/>
      <c r="AE291" s="1183"/>
      <c r="AF291" s="1183"/>
      <c r="AG291" s="1183"/>
      <c r="AH291" s="1183"/>
      <c r="AI291" s="1183"/>
      <c r="AJ291" s="1183"/>
      <c r="AK291" s="1183"/>
      <c r="AL291" s="1183"/>
      <c r="AM291" s="1183"/>
      <c r="AN291" s="1183"/>
      <c r="AO291" s="1183"/>
      <c r="AP291" s="1183"/>
      <c r="AQ291" s="1183"/>
      <c r="AR291" s="1183"/>
      <c r="AS291" s="1183"/>
      <c r="AT291" s="1183"/>
      <c r="AU291" s="1183"/>
      <c r="AV291" s="1183"/>
      <c r="AW291" s="1183"/>
      <c r="AX291" s="1183"/>
      <c r="AY291" s="1183"/>
      <c r="AZ291" s="1183"/>
      <c r="BA291" s="1183"/>
      <c r="BB291" s="1183"/>
      <c r="BC291" s="1183"/>
      <c r="BD291" s="1183"/>
      <c r="BE291" s="1183"/>
      <c r="BF291" s="1183"/>
      <c r="BG291" s="1183"/>
      <c r="BH291" s="1183"/>
      <c r="BI291" s="1183"/>
      <c r="BJ291" s="1183"/>
      <c r="BK291" s="1183"/>
    </row>
    <row r="292" spans="2:63" s="1184" customFormat="1" x14ac:dyDescent="0.2">
      <c r="C292" s="1701" t="s">
        <v>48</v>
      </c>
      <c r="D292" s="1702"/>
      <c r="E292" s="1185"/>
      <c r="F292" s="1185"/>
      <c r="G292" s="1185"/>
      <c r="H292" s="1185"/>
      <c r="I292" s="1185"/>
      <c r="J292" s="1185"/>
      <c r="K292" s="1185"/>
      <c r="L292" s="1185"/>
      <c r="M292" s="1186"/>
      <c r="N292" s="1187"/>
      <c r="O292" s="1187"/>
      <c r="P292" s="1187"/>
      <c r="Q292" s="1186"/>
      <c r="R292" s="1188"/>
      <c r="S292" s="1120"/>
      <c r="T292" s="1120"/>
      <c r="U292" s="1120"/>
      <c r="V292" s="1120"/>
      <c r="W292" s="1120"/>
      <c r="X292" s="1120"/>
      <c r="Y292" s="1120"/>
      <c r="Z292" s="1120"/>
      <c r="AA292" s="1189"/>
      <c r="AB292" s="1121"/>
      <c r="AC292" s="1121"/>
      <c r="AD292" s="1121"/>
      <c r="AE292" s="1121"/>
      <c r="AF292" s="1121"/>
      <c r="AG292" s="1121"/>
      <c r="AH292" s="1121"/>
      <c r="AI292" s="1121"/>
      <c r="AJ292" s="1121"/>
      <c r="AK292" s="1121"/>
      <c r="AL292" s="1121"/>
      <c r="AM292" s="1121"/>
      <c r="AN292" s="1121"/>
      <c r="AO292" s="1121"/>
      <c r="AP292" s="1121"/>
      <c r="AQ292" s="1121"/>
      <c r="AR292" s="1121"/>
      <c r="AS292" s="1121"/>
      <c r="AT292" s="1121"/>
      <c r="AU292" s="1121"/>
      <c r="AV292" s="1121"/>
      <c r="AW292" s="1121"/>
      <c r="AX292" s="1121"/>
      <c r="AY292" s="1121"/>
      <c r="AZ292" s="1121"/>
      <c r="BA292" s="1121"/>
      <c r="BB292" s="1121"/>
      <c r="BC292" s="1121"/>
      <c r="BD292" s="1121"/>
      <c r="BE292" s="1121"/>
      <c r="BF292" s="1121"/>
      <c r="BG292" s="1121"/>
      <c r="BH292" s="1121"/>
      <c r="BI292" s="1121"/>
      <c r="BJ292" s="1121"/>
      <c r="BK292" s="1121"/>
    </row>
    <row r="293" spans="2:63" s="1190" customFormat="1" ht="12.75" customHeight="1" x14ac:dyDescent="0.2">
      <c r="C293" s="1191" t="s">
        <v>41</v>
      </c>
      <c r="D293" s="1192"/>
      <c r="E293" s="1192"/>
      <c r="F293" s="1192"/>
      <c r="G293" s="1192"/>
      <c r="H293" s="1192"/>
      <c r="I293" s="1192"/>
      <c r="J293" s="1192"/>
      <c r="K293" s="1192"/>
      <c r="L293" s="1192"/>
      <c r="M293" s="1193"/>
      <c r="N293" s="1194"/>
      <c r="O293" s="1194"/>
      <c r="P293" s="1195"/>
      <c r="Q293" s="1196"/>
      <c r="R293" s="1197"/>
      <c r="S293" s="1120"/>
      <c r="T293" s="1120"/>
      <c r="U293" s="1120"/>
      <c r="V293" s="1120"/>
      <c r="W293" s="1120"/>
      <c r="X293" s="1120"/>
      <c r="Y293" s="1120"/>
      <c r="Z293" s="1120"/>
      <c r="AA293" s="1120"/>
      <c r="AB293" s="1121"/>
      <c r="AC293" s="1121"/>
      <c r="AD293" s="1121"/>
      <c r="AE293" s="1121"/>
      <c r="AF293" s="1121"/>
      <c r="AG293" s="1121"/>
      <c r="AH293" s="1121"/>
      <c r="AI293" s="1121"/>
      <c r="AJ293" s="1121"/>
      <c r="AK293" s="1121"/>
      <c r="AL293" s="1121"/>
      <c r="AM293" s="1121"/>
      <c r="AN293" s="1121"/>
      <c r="AO293" s="1121"/>
      <c r="AP293" s="1121"/>
      <c r="AQ293" s="1121"/>
      <c r="AR293" s="1121"/>
      <c r="AS293" s="1121"/>
      <c r="AT293" s="1121"/>
      <c r="AU293" s="1121"/>
      <c r="AV293" s="1121"/>
      <c r="AW293" s="1121"/>
      <c r="AX293" s="1121"/>
      <c r="AY293" s="1121"/>
      <c r="AZ293" s="1121"/>
      <c r="BA293" s="1121"/>
      <c r="BB293" s="1121"/>
      <c r="BC293" s="1121"/>
      <c r="BD293" s="1121"/>
      <c r="BE293" s="1121"/>
      <c r="BF293" s="1121"/>
      <c r="BG293" s="1121"/>
      <c r="BH293" s="1121"/>
      <c r="BI293" s="1121"/>
      <c r="BJ293" s="1121"/>
      <c r="BK293" s="1121"/>
    </row>
    <row r="294" spans="2:63" s="820" customFormat="1" ht="25.5" x14ac:dyDescent="0.2">
      <c r="B294" s="869" t="s">
        <v>726</v>
      </c>
      <c r="C294" s="1198" t="s">
        <v>565</v>
      </c>
      <c r="D294" s="1199"/>
      <c r="E294" s="417" t="s">
        <v>11</v>
      </c>
      <c r="F294" s="1200"/>
      <c r="G294" s="1200"/>
      <c r="H294" s="496" t="s">
        <v>217</v>
      </c>
      <c r="I294" s="1201">
        <v>1</v>
      </c>
      <c r="J294" s="1202">
        <v>625</v>
      </c>
      <c r="K294" s="1203">
        <v>12</v>
      </c>
      <c r="L294" s="1203">
        <f t="shared" ref="L294:L298" si="27">J294*K294</f>
        <v>7500</v>
      </c>
      <c r="M294" s="1120"/>
      <c r="N294" s="1204"/>
      <c r="O294" s="1204"/>
      <c r="P294" s="1130">
        <v>7249.3099999999995</v>
      </c>
      <c r="Q294" s="1120"/>
      <c r="R294" s="1205"/>
      <c r="S294" s="1120"/>
      <c r="T294" s="1120"/>
      <c r="U294" s="1120"/>
      <c r="V294" s="1120"/>
      <c r="W294" s="1120"/>
      <c r="X294" s="1120"/>
      <c r="Y294" s="1120"/>
      <c r="Z294" s="1120"/>
      <c r="AA294" s="1120"/>
      <c r="AB294" s="1121"/>
      <c r="AC294" s="1121"/>
      <c r="AD294" s="1121"/>
      <c r="AE294" s="1121"/>
      <c r="AF294" s="1121"/>
      <c r="AG294" s="1121"/>
      <c r="AH294" s="1121"/>
      <c r="AI294" s="1121"/>
      <c r="AJ294" s="1121"/>
      <c r="AK294" s="1121"/>
      <c r="AL294" s="1121"/>
      <c r="AM294" s="1121"/>
      <c r="AN294" s="1121"/>
      <c r="AO294" s="1121"/>
      <c r="AP294" s="1121"/>
      <c r="AQ294" s="1121"/>
      <c r="AR294" s="1121"/>
      <c r="AS294" s="1121"/>
      <c r="AT294" s="1121"/>
      <c r="AU294" s="1121"/>
      <c r="AV294" s="1121"/>
      <c r="AW294" s="1121"/>
      <c r="AX294" s="1121"/>
      <c r="AY294" s="1121"/>
      <c r="AZ294" s="1121"/>
      <c r="BA294" s="1121"/>
      <c r="BB294" s="1121"/>
      <c r="BC294" s="1121"/>
      <c r="BD294" s="1121"/>
      <c r="BE294" s="1121"/>
      <c r="BF294" s="1121"/>
      <c r="BG294" s="1121"/>
      <c r="BH294" s="1121"/>
      <c r="BI294" s="1121"/>
      <c r="BJ294" s="1121"/>
      <c r="BK294" s="1121"/>
    </row>
    <row r="295" spans="2:63" s="820" customFormat="1" x14ac:dyDescent="0.2">
      <c r="B295" s="869" t="s">
        <v>727</v>
      </c>
      <c r="C295" s="1198" t="s">
        <v>566</v>
      </c>
      <c r="D295" s="1199"/>
      <c r="E295" s="417" t="s">
        <v>11</v>
      </c>
      <c r="F295" s="1200"/>
      <c r="G295" s="1200"/>
      <c r="H295" s="496" t="s">
        <v>217</v>
      </c>
      <c r="I295" s="1201">
        <v>1</v>
      </c>
      <c r="J295" s="1202">
        <v>750</v>
      </c>
      <c r="K295" s="1203">
        <v>12</v>
      </c>
      <c r="L295" s="1203">
        <f t="shared" si="27"/>
        <v>9000</v>
      </c>
      <c r="M295" s="1120"/>
      <c r="N295" s="1204"/>
      <c r="O295" s="1204"/>
      <c r="P295" s="1130">
        <v>9600.2800000000043</v>
      </c>
      <c r="Q295" s="1120"/>
      <c r="R295" s="1205"/>
      <c r="S295" s="1120"/>
      <c r="T295" s="1120"/>
      <c r="U295" s="1120"/>
      <c r="V295" s="1120"/>
      <c r="W295" s="1120"/>
      <c r="X295" s="1120"/>
      <c r="Y295" s="1120"/>
      <c r="Z295" s="1120"/>
      <c r="AA295" s="1120"/>
      <c r="AB295" s="1121"/>
      <c r="AC295" s="1121"/>
      <c r="AD295" s="1121"/>
      <c r="AE295" s="1121"/>
      <c r="AF295" s="1121"/>
      <c r="AG295" s="1121"/>
      <c r="AH295" s="1121"/>
      <c r="AI295" s="1121"/>
      <c r="AJ295" s="1121"/>
      <c r="AK295" s="1121"/>
      <c r="AL295" s="1121"/>
      <c r="AM295" s="1121"/>
      <c r="AN295" s="1121"/>
      <c r="AO295" s="1121"/>
      <c r="AP295" s="1121"/>
      <c r="AQ295" s="1121"/>
      <c r="AR295" s="1121"/>
      <c r="AS295" s="1121"/>
      <c r="AT295" s="1121"/>
      <c r="AU295" s="1121"/>
      <c r="AV295" s="1121"/>
      <c r="AW295" s="1121"/>
      <c r="AX295" s="1121"/>
      <c r="AY295" s="1121"/>
      <c r="AZ295" s="1121"/>
      <c r="BA295" s="1121"/>
      <c r="BB295" s="1121"/>
      <c r="BC295" s="1121"/>
      <c r="BD295" s="1121"/>
      <c r="BE295" s="1121"/>
      <c r="BF295" s="1121"/>
      <c r="BG295" s="1121"/>
      <c r="BH295" s="1121"/>
      <c r="BI295" s="1121"/>
      <c r="BJ295" s="1121"/>
      <c r="BK295" s="1121"/>
    </row>
    <row r="296" spans="2:63" s="820" customFormat="1" ht="25.5" x14ac:dyDescent="0.2">
      <c r="B296" s="869" t="s">
        <v>728</v>
      </c>
      <c r="C296" s="1198" t="s">
        <v>567</v>
      </c>
      <c r="D296" s="1199"/>
      <c r="E296" s="417" t="s">
        <v>11</v>
      </c>
      <c r="F296" s="1200"/>
      <c r="G296" s="1200"/>
      <c r="H296" s="496" t="s">
        <v>217</v>
      </c>
      <c r="I296" s="1201">
        <v>1</v>
      </c>
      <c r="J296" s="1202">
        <v>2500</v>
      </c>
      <c r="K296" s="1203">
        <v>12</v>
      </c>
      <c r="L296" s="1203">
        <f t="shared" si="27"/>
        <v>30000</v>
      </c>
      <c r="M296" s="1120"/>
      <c r="N296" s="1204"/>
      <c r="O296" s="1204"/>
      <c r="P296" s="1130">
        <v>23501.700000000004</v>
      </c>
      <c r="Q296" s="1120"/>
      <c r="R296" s="1205"/>
      <c r="S296" s="1120"/>
      <c r="T296" s="1120"/>
      <c r="U296" s="1120"/>
      <c r="V296" s="1120"/>
      <c r="W296" s="1120"/>
      <c r="X296" s="1120"/>
      <c r="Y296" s="1120"/>
      <c r="Z296" s="1120"/>
      <c r="AA296" s="1120"/>
      <c r="AB296" s="1121"/>
      <c r="AC296" s="1121"/>
      <c r="AD296" s="1121"/>
      <c r="AE296" s="1121"/>
      <c r="AF296" s="1121"/>
      <c r="AG296" s="1121"/>
      <c r="AH296" s="1121"/>
      <c r="AI296" s="1121"/>
      <c r="AJ296" s="1121"/>
      <c r="AK296" s="1121"/>
      <c r="AL296" s="1121"/>
      <c r="AM296" s="1121"/>
      <c r="AN296" s="1121"/>
      <c r="AO296" s="1121"/>
      <c r="AP296" s="1121"/>
      <c r="AQ296" s="1121"/>
      <c r="AR296" s="1121"/>
      <c r="AS296" s="1121"/>
      <c r="AT296" s="1121"/>
      <c r="AU296" s="1121"/>
      <c r="AV296" s="1121"/>
      <c r="AW296" s="1121"/>
      <c r="AX296" s="1121"/>
      <c r="AY296" s="1121"/>
      <c r="AZ296" s="1121"/>
      <c r="BA296" s="1121"/>
      <c r="BB296" s="1121"/>
      <c r="BC296" s="1121"/>
      <c r="BD296" s="1121"/>
      <c r="BE296" s="1121"/>
      <c r="BF296" s="1121"/>
      <c r="BG296" s="1121"/>
      <c r="BH296" s="1121"/>
      <c r="BI296" s="1121"/>
      <c r="BJ296" s="1121"/>
      <c r="BK296" s="1121"/>
    </row>
    <row r="297" spans="2:63" s="820" customFormat="1" ht="25.5" x14ac:dyDescent="0.2">
      <c r="B297" s="869" t="s">
        <v>729</v>
      </c>
      <c r="C297" s="1198" t="s">
        <v>568</v>
      </c>
      <c r="D297" s="1199"/>
      <c r="E297" s="417" t="s">
        <v>11</v>
      </c>
      <c r="F297" s="1200"/>
      <c r="G297" s="1200"/>
      <c r="H297" s="496" t="s">
        <v>217</v>
      </c>
      <c r="I297" s="1201">
        <v>1</v>
      </c>
      <c r="J297" s="1202">
        <v>2000</v>
      </c>
      <c r="K297" s="1203">
        <v>12</v>
      </c>
      <c r="L297" s="1203">
        <f t="shared" si="27"/>
        <v>24000</v>
      </c>
      <c r="M297" s="1120"/>
      <c r="N297" s="1204"/>
      <c r="O297" s="1204"/>
      <c r="P297" s="1130">
        <v>13025.029999999999</v>
      </c>
      <c r="Q297" s="1120"/>
      <c r="R297" s="1205"/>
      <c r="S297" s="1120"/>
      <c r="T297" s="1120"/>
      <c r="U297" s="1120"/>
      <c r="V297" s="1120"/>
      <c r="W297" s="1120"/>
      <c r="X297" s="1120"/>
      <c r="Y297" s="1120"/>
      <c r="Z297" s="1120"/>
      <c r="AA297" s="1120"/>
      <c r="AB297" s="1121"/>
      <c r="AC297" s="1121"/>
      <c r="AD297" s="1121"/>
      <c r="AE297" s="1121"/>
      <c r="AF297" s="1121"/>
      <c r="AG297" s="1121"/>
      <c r="AH297" s="1121"/>
      <c r="AI297" s="1121"/>
      <c r="AJ297" s="1121"/>
      <c r="AK297" s="1121"/>
      <c r="AL297" s="1121"/>
      <c r="AM297" s="1121"/>
      <c r="AN297" s="1121"/>
      <c r="AO297" s="1121"/>
      <c r="AP297" s="1121"/>
      <c r="AQ297" s="1121"/>
      <c r="AR297" s="1121"/>
      <c r="AS297" s="1121"/>
      <c r="AT297" s="1121"/>
      <c r="AU297" s="1121"/>
      <c r="AV297" s="1121"/>
      <c r="AW297" s="1121"/>
      <c r="AX297" s="1121"/>
      <c r="AY297" s="1121"/>
      <c r="AZ297" s="1121"/>
      <c r="BA297" s="1121"/>
      <c r="BB297" s="1121"/>
      <c r="BC297" s="1121"/>
      <c r="BD297" s="1121"/>
      <c r="BE297" s="1121"/>
      <c r="BF297" s="1121"/>
      <c r="BG297" s="1121"/>
      <c r="BH297" s="1121"/>
      <c r="BI297" s="1121"/>
      <c r="BJ297" s="1121"/>
      <c r="BK297" s="1121"/>
    </row>
    <row r="298" spans="2:63" s="820" customFormat="1" x14ac:dyDescent="0.2">
      <c r="B298" s="869" t="s">
        <v>730</v>
      </c>
      <c r="C298" s="1198" t="s">
        <v>569</v>
      </c>
      <c r="D298" s="1199"/>
      <c r="E298" s="417" t="s">
        <v>11</v>
      </c>
      <c r="F298" s="1200"/>
      <c r="G298" s="1200"/>
      <c r="H298" s="496" t="s">
        <v>217</v>
      </c>
      <c r="I298" s="1201">
        <v>1</v>
      </c>
      <c r="J298" s="1202">
        <v>1102.95</v>
      </c>
      <c r="K298" s="1203">
        <v>12</v>
      </c>
      <c r="L298" s="1203">
        <f t="shared" si="27"/>
        <v>13235.400000000001</v>
      </c>
      <c r="M298" s="1120"/>
      <c r="N298" s="1204"/>
      <c r="O298" s="1204"/>
      <c r="P298" s="1130">
        <v>10485.500000000005</v>
      </c>
      <c r="Q298" s="1120"/>
      <c r="R298" s="1205"/>
      <c r="S298" s="1120"/>
      <c r="T298" s="1120"/>
      <c r="U298" s="1120"/>
      <c r="V298" s="1120"/>
      <c r="W298" s="1120"/>
      <c r="X298" s="1120"/>
      <c r="Y298" s="1120"/>
      <c r="Z298" s="1120"/>
      <c r="AA298" s="1120"/>
      <c r="AB298" s="1121"/>
      <c r="AC298" s="1121"/>
      <c r="AD298" s="1121"/>
      <c r="AE298" s="1121"/>
      <c r="AF298" s="1121"/>
      <c r="AG298" s="1121"/>
      <c r="AH298" s="1121"/>
      <c r="AI298" s="1121"/>
      <c r="AJ298" s="1121"/>
      <c r="AK298" s="1121"/>
      <c r="AL298" s="1121"/>
      <c r="AM298" s="1121"/>
      <c r="AN298" s="1121"/>
      <c r="AO298" s="1121"/>
      <c r="AP298" s="1121"/>
      <c r="AQ298" s="1121"/>
      <c r="AR298" s="1121"/>
      <c r="AS298" s="1121"/>
      <c r="AT298" s="1121"/>
      <c r="AU298" s="1121"/>
      <c r="AV298" s="1121"/>
      <c r="AW298" s="1121"/>
      <c r="AX298" s="1121"/>
      <c r="AY298" s="1121"/>
      <c r="AZ298" s="1121"/>
      <c r="BA298" s="1121"/>
      <c r="BB298" s="1121"/>
      <c r="BC298" s="1121"/>
      <c r="BD298" s="1121"/>
      <c r="BE298" s="1121"/>
      <c r="BF298" s="1121"/>
      <c r="BG298" s="1121"/>
      <c r="BH298" s="1121"/>
      <c r="BI298" s="1121"/>
      <c r="BJ298" s="1121"/>
      <c r="BK298" s="1121"/>
    </row>
    <row r="299" spans="2:63" s="820" customFormat="1" ht="38.25" x14ac:dyDescent="0.2">
      <c r="C299" s="1206" t="s">
        <v>389</v>
      </c>
      <c r="D299" s="1207"/>
      <c r="E299" s="1206"/>
      <c r="F299" s="1206"/>
      <c r="G299" s="1206"/>
      <c r="H299" s="1206"/>
      <c r="I299" s="1206"/>
      <c r="J299" s="1206"/>
      <c r="K299" s="1206"/>
      <c r="L299" s="1208">
        <f>SUM(L294:L298)</f>
        <v>83735.399999999994</v>
      </c>
      <c r="M299" s="1209">
        <f>L299/L328</f>
        <v>0.15257912097849341</v>
      </c>
      <c r="N299" s="1210"/>
      <c r="O299" s="1211"/>
      <c r="P299" s="1077">
        <f>SUM(P294:P298)</f>
        <v>63861.820000000014</v>
      </c>
      <c r="Q299" s="1086">
        <f>P299/L299</f>
        <v>0.76266214766992235</v>
      </c>
      <c r="R299" s="1212"/>
      <c r="S299" s="1120"/>
      <c r="T299" s="1120"/>
      <c r="U299" s="1120"/>
      <c r="V299" s="1120"/>
      <c r="W299" s="1120"/>
      <c r="X299" s="1120"/>
      <c r="Y299" s="1120"/>
      <c r="Z299" s="1120"/>
      <c r="AA299" s="878" t="s">
        <v>731</v>
      </c>
      <c r="AB299" s="1121"/>
      <c r="AC299" s="1121"/>
      <c r="AD299" s="1121"/>
      <c r="AE299" s="1121"/>
      <c r="AF299" s="1121"/>
      <c r="AG299" s="1121"/>
      <c r="AH299" s="1121"/>
      <c r="AI299" s="1121"/>
      <c r="AJ299" s="1121"/>
      <c r="AK299" s="1121"/>
      <c r="AL299" s="1121"/>
      <c r="AM299" s="1121"/>
      <c r="AN299" s="1121"/>
      <c r="AO299" s="1121"/>
      <c r="AP299" s="1121"/>
      <c r="AQ299" s="1121"/>
      <c r="AR299" s="1121"/>
      <c r="AS299" s="1121"/>
      <c r="AT299" s="1121"/>
      <c r="AU299" s="1121"/>
      <c r="AV299" s="1121"/>
      <c r="AW299" s="1121"/>
      <c r="AX299" s="1121"/>
      <c r="AY299" s="1121"/>
      <c r="AZ299" s="1121"/>
      <c r="BA299" s="1121"/>
      <c r="BB299" s="1121"/>
      <c r="BC299" s="1121"/>
      <c r="BD299" s="1121"/>
      <c r="BE299" s="1121"/>
      <c r="BF299" s="1121"/>
      <c r="BG299" s="1121"/>
      <c r="BH299" s="1121"/>
      <c r="BI299" s="1121"/>
      <c r="BJ299" s="1121"/>
      <c r="BK299" s="1121"/>
    </row>
    <row r="300" spans="2:63" s="820" customFormat="1" x14ac:dyDescent="0.2">
      <c r="C300" s="1213" t="s">
        <v>42</v>
      </c>
      <c r="D300" s="1214"/>
      <c r="E300" s="1214"/>
      <c r="F300" s="1214"/>
      <c r="G300" s="1214"/>
      <c r="H300" s="1214"/>
      <c r="I300" s="1214"/>
      <c r="J300" s="1214"/>
      <c r="K300" s="1214"/>
      <c r="L300" s="1215"/>
      <c r="M300" s="1120"/>
      <c r="N300" s="1216"/>
      <c r="O300" s="1216"/>
      <c r="P300" s="987"/>
      <c r="Q300" s="1217"/>
      <c r="R300" s="1205"/>
      <c r="S300" s="1120"/>
      <c r="T300" s="1120"/>
      <c r="U300" s="1120"/>
      <c r="V300" s="1120"/>
      <c r="W300" s="1120"/>
      <c r="X300" s="1120"/>
      <c r="Y300" s="1120"/>
      <c r="Z300" s="1120"/>
      <c r="AA300" s="1120"/>
      <c r="AB300" s="1121"/>
      <c r="AC300" s="1121"/>
      <c r="AD300" s="1121"/>
      <c r="AE300" s="1121"/>
      <c r="AF300" s="1121"/>
      <c r="AG300" s="1121"/>
      <c r="AH300" s="1121"/>
      <c r="AI300" s="1121"/>
      <c r="AJ300" s="1121"/>
      <c r="AK300" s="1121"/>
      <c r="AL300" s="1121"/>
      <c r="AM300" s="1121"/>
      <c r="AN300" s="1121"/>
      <c r="AO300" s="1121"/>
      <c r="AP300" s="1121"/>
      <c r="AQ300" s="1121"/>
      <c r="AR300" s="1121"/>
      <c r="AS300" s="1121"/>
      <c r="AT300" s="1121"/>
      <c r="AU300" s="1121"/>
      <c r="AV300" s="1121"/>
      <c r="AW300" s="1121"/>
      <c r="AX300" s="1121"/>
      <c r="AY300" s="1121"/>
      <c r="AZ300" s="1121"/>
      <c r="BA300" s="1121"/>
      <c r="BB300" s="1121"/>
      <c r="BC300" s="1121"/>
      <c r="BD300" s="1121"/>
      <c r="BE300" s="1121"/>
      <c r="BF300" s="1121"/>
      <c r="BG300" s="1121"/>
      <c r="BH300" s="1121"/>
      <c r="BI300" s="1121"/>
      <c r="BJ300" s="1121"/>
      <c r="BK300" s="1121"/>
    </row>
    <row r="301" spans="2:63" s="820" customFormat="1" x14ac:dyDescent="0.2">
      <c r="C301" s="1703"/>
      <c r="D301" s="1704"/>
      <c r="E301" s="1218"/>
      <c r="F301" s="1218"/>
      <c r="G301" s="1218"/>
      <c r="H301" s="1219"/>
      <c r="I301" s="1126"/>
      <c r="J301" s="1220"/>
      <c r="K301" s="1221"/>
      <c r="L301" s="1222"/>
      <c r="M301" s="1120"/>
      <c r="N301" s="1204"/>
      <c r="O301" s="1204"/>
      <c r="P301" s="987"/>
      <c r="Q301" s="1120"/>
      <c r="R301" s="1205"/>
      <c r="S301" s="1120"/>
      <c r="T301" s="1120"/>
      <c r="U301" s="1120"/>
      <c r="V301" s="1120"/>
      <c r="W301" s="1120"/>
      <c r="X301" s="1120"/>
      <c r="Y301" s="1120"/>
      <c r="Z301" s="1120"/>
      <c r="AA301" s="1120"/>
      <c r="AB301" s="1121"/>
      <c r="AC301" s="1121"/>
      <c r="AD301" s="1121"/>
      <c r="AE301" s="1121"/>
      <c r="AF301" s="1121"/>
      <c r="AG301" s="1121"/>
      <c r="AH301" s="1121"/>
      <c r="AI301" s="1121"/>
      <c r="AJ301" s="1121"/>
      <c r="AK301" s="1121"/>
      <c r="AL301" s="1121"/>
      <c r="AM301" s="1121"/>
      <c r="AN301" s="1121"/>
      <c r="AO301" s="1121"/>
      <c r="AP301" s="1121"/>
      <c r="AQ301" s="1121"/>
      <c r="AR301" s="1121"/>
      <c r="AS301" s="1121"/>
      <c r="AT301" s="1121"/>
      <c r="AU301" s="1121"/>
      <c r="AV301" s="1121"/>
      <c r="AW301" s="1121"/>
      <c r="AX301" s="1121"/>
      <c r="AY301" s="1121"/>
      <c r="AZ301" s="1121"/>
      <c r="BA301" s="1121"/>
      <c r="BB301" s="1121"/>
      <c r="BC301" s="1121"/>
      <c r="BD301" s="1121"/>
      <c r="BE301" s="1121"/>
      <c r="BF301" s="1121"/>
      <c r="BG301" s="1121"/>
      <c r="BH301" s="1121"/>
      <c r="BI301" s="1121"/>
      <c r="BJ301" s="1121"/>
      <c r="BK301" s="1121"/>
    </row>
    <row r="302" spans="2:63" s="820" customFormat="1" ht="14.25" customHeight="1" x14ac:dyDescent="0.2">
      <c r="C302" s="1223" t="s">
        <v>389</v>
      </c>
      <c r="D302" s="1182"/>
      <c r="E302" s="1223"/>
      <c r="F302" s="1223"/>
      <c r="G302" s="1223"/>
      <c r="H302" s="1223"/>
      <c r="I302" s="1223"/>
      <c r="J302" s="1224"/>
      <c r="K302" s="1225"/>
      <c r="L302" s="1226"/>
      <c r="M302" s="1120"/>
      <c r="N302" s="1204"/>
      <c r="O302" s="1204"/>
      <c r="P302" s="987"/>
      <c r="Q302" s="1120"/>
      <c r="R302" s="1205"/>
      <c r="S302" s="1120"/>
      <c r="T302" s="1120"/>
      <c r="U302" s="1120"/>
      <c r="V302" s="1120"/>
      <c r="W302" s="1120"/>
      <c r="X302" s="1120"/>
      <c r="Y302" s="1120"/>
      <c r="Z302" s="1120"/>
      <c r="AA302" s="1120"/>
      <c r="AB302" s="1121"/>
      <c r="AC302" s="1121"/>
      <c r="AD302" s="1121"/>
      <c r="AE302" s="1121"/>
      <c r="AF302" s="1121"/>
      <c r="AG302" s="1121"/>
      <c r="AH302" s="1121"/>
      <c r="AI302" s="1121"/>
      <c r="AJ302" s="1121"/>
      <c r="AK302" s="1121"/>
      <c r="AL302" s="1121"/>
      <c r="AM302" s="1121"/>
      <c r="AN302" s="1121"/>
      <c r="AO302" s="1121"/>
      <c r="AP302" s="1121"/>
      <c r="AQ302" s="1121"/>
      <c r="AR302" s="1121"/>
      <c r="AS302" s="1121"/>
      <c r="AT302" s="1121"/>
      <c r="AU302" s="1121"/>
      <c r="AV302" s="1121"/>
      <c r="AW302" s="1121"/>
      <c r="AX302" s="1121"/>
      <c r="AY302" s="1121"/>
      <c r="AZ302" s="1121"/>
      <c r="BA302" s="1121"/>
      <c r="BB302" s="1121"/>
      <c r="BC302" s="1121"/>
      <c r="BD302" s="1121"/>
      <c r="BE302" s="1121"/>
      <c r="BF302" s="1121"/>
      <c r="BG302" s="1121"/>
      <c r="BH302" s="1121"/>
      <c r="BI302" s="1121"/>
      <c r="BJ302" s="1121"/>
      <c r="BK302" s="1121"/>
    </row>
    <row r="303" spans="2:63" s="820" customFormat="1" ht="14.25" customHeight="1" x14ac:dyDescent="0.2">
      <c r="C303" s="1213" t="s">
        <v>43</v>
      </c>
      <c r="D303" s="1214"/>
      <c r="E303" s="1214"/>
      <c r="F303" s="1214"/>
      <c r="G303" s="1214"/>
      <c r="H303" s="1214"/>
      <c r="I303" s="1214"/>
      <c r="J303" s="1214"/>
      <c r="K303" s="1214"/>
      <c r="L303" s="1215"/>
      <c r="M303" s="1120"/>
      <c r="N303" s="1204"/>
      <c r="O303" s="1204"/>
      <c r="P303" s="987"/>
      <c r="Q303" s="1120"/>
      <c r="R303" s="1205"/>
      <c r="S303" s="1120"/>
      <c r="T303" s="1120"/>
      <c r="U303" s="1120"/>
      <c r="V303" s="1120"/>
      <c r="W303" s="1120"/>
      <c r="X303" s="1120"/>
      <c r="Y303" s="1120"/>
      <c r="Z303" s="1120"/>
      <c r="AA303" s="1120"/>
      <c r="AB303" s="1121"/>
      <c r="AC303" s="1121"/>
      <c r="AD303" s="1121"/>
      <c r="AE303" s="1121"/>
      <c r="AF303" s="1121"/>
      <c r="AG303" s="1121"/>
      <c r="AH303" s="1121"/>
      <c r="AI303" s="1121"/>
      <c r="AJ303" s="1121"/>
      <c r="AK303" s="1121"/>
      <c r="AL303" s="1121"/>
      <c r="AM303" s="1121"/>
      <c r="AN303" s="1121"/>
      <c r="AO303" s="1121"/>
      <c r="AP303" s="1121"/>
      <c r="AQ303" s="1121"/>
      <c r="AR303" s="1121"/>
      <c r="AS303" s="1121"/>
      <c r="AT303" s="1121"/>
      <c r="AU303" s="1121"/>
      <c r="AV303" s="1121"/>
      <c r="AW303" s="1121"/>
      <c r="AX303" s="1121"/>
      <c r="AY303" s="1121"/>
      <c r="AZ303" s="1121"/>
      <c r="BA303" s="1121"/>
      <c r="BB303" s="1121"/>
      <c r="BC303" s="1121"/>
      <c r="BD303" s="1121"/>
      <c r="BE303" s="1121"/>
      <c r="BF303" s="1121"/>
      <c r="BG303" s="1121"/>
      <c r="BH303" s="1121"/>
      <c r="BI303" s="1121"/>
      <c r="BJ303" s="1121"/>
      <c r="BK303" s="1121"/>
    </row>
    <row r="304" spans="2:63" s="820" customFormat="1" ht="14.25" customHeight="1" x14ac:dyDescent="0.2">
      <c r="B304" s="869" t="s">
        <v>732</v>
      </c>
      <c r="C304" s="1703" t="s">
        <v>390</v>
      </c>
      <c r="D304" s="1704"/>
      <c r="E304" s="1218" t="s">
        <v>27</v>
      </c>
      <c r="F304" s="1218"/>
      <c r="G304" s="1218"/>
      <c r="H304" s="1219" t="s">
        <v>217</v>
      </c>
      <c r="I304" s="1126">
        <v>1</v>
      </c>
      <c r="J304" s="1220">
        <v>500</v>
      </c>
      <c r="K304" s="1221">
        <v>1</v>
      </c>
      <c r="L304" s="1227">
        <f>K304*J304*I304</f>
        <v>500</v>
      </c>
      <c r="M304" s="1120"/>
      <c r="N304" s="1204"/>
      <c r="O304" s="1204"/>
      <c r="P304" s="1130">
        <v>286.78999999999996</v>
      </c>
      <c r="Q304" s="1217"/>
      <c r="R304" s="1205"/>
      <c r="S304" s="1120"/>
      <c r="T304" s="1120"/>
      <c r="U304" s="1120"/>
      <c r="V304" s="1120"/>
      <c r="W304" s="1120"/>
      <c r="X304" s="1120"/>
      <c r="Y304" s="1120"/>
      <c r="Z304" s="1120"/>
      <c r="AA304" s="1120"/>
      <c r="AB304" s="1121"/>
      <c r="AC304" s="1121"/>
      <c r="AD304" s="1121"/>
      <c r="AE304" s="1121"/>
      <c r="AF304" s="1121"/>
      <c r="AG304" s="1121"/>
      <c r="AH304" s="1121"/>
      <c r="AI304" s="1121"/>
      <c r="AJ304" s="1121"/>
      <c r="AK304" s="1121"/>
      <c r="AL304" s="1121"/>
      <c r="AM304" s="1121"/>
      <c r="AN304" s="1121"/>
      <c r="AO304" s="1121"/>
      <c r="AP304" s="1121"/>
      <c r="AQ304" s="1121"/>
      <c r="AR304" s="1121"/>
      <c r="AS304" s="1121"/>
      <c r="AT304" s="1121"/>
      <c r="AU304" s="1121"/>
      <c r="AV304" s="1121"/>
      <c r="AW304" s="1121"/>
      <c r="AX304" s="1121"/>
      <c r="AY304" s="1121"/>
      <c r="AZ304" s="1121"/>
      <c r="BA304" s="1121"/>
      <c r="BB304" s="1121"/>
      <c r="BC304" s="1121"/>
      <c r="BD304" s="1121"/>
      <c r="BE304" s="1121"/>
      <c r="BF304" s="1121"/>
      <c r="BG304" s="1121"/>
      <c r="BH304" s="1121"/>
      <c r="BI304" s="1121"/>
      <c r="BJ304" s="1121"/>
      <c r="BK304" s="1121"/>
    </row>
    <row r="305" spans="2:63" s="820" customFormat="1" ht="14.25" customHeight="1" x14ac:dyDescent="0.2">
      <c r="C305" s="1223" t="s">
        <v>389</v>
      </c>
      <c r="D305" s="1182"/>
      <c r="E305" s="1223"/>
      <c r="F305" s="1223"/>
      <c r="G305" s="1223"/>
      <c r="H305" s="1228"/>
      <c r="I305" s="1223"/>
      <c r="J305" s="1224"/>
      <c r="K305" s="1225"/>
      <c r="L305" s="1229">
        <f>SUM(L304)</f>
        <v>500</v>
      </c>
      <c r="M305" s="1230"/>
      <c r="N305" s="1210"/>
      <c r="O305" s="1210"/>
      <c r="P305" s="1077">
        <f>P304</f>
        <v>286.78999999999996</v>
      </c>
      <c r="Q305" s="1086">
        <f>P305/L305</f>
        <v>0.57357999999999998</v>
      </c>
      <c r="R305" s="1212"/>
      <c r="S305" s="1120"/>
      <c r="T305" s="1120"/>
      <c r="U305" s="1120"/>
      <c r="V305" s="1120"/>
      <c r="W305" s="1120"/>
      <c r="X305" s="1120"/>
      <c r="Y305" s="1120"/>
      <c r="Z305" s="1120"/>
      <c r="AA305" s="960" t="s">
        <v>733</v>
      </c>
      <c r="AB305" s="1121"/>
      <c r="AC305" s="1121"/>
      <c r="AD305" s="1121"/>
      <c r="AE305" s="1121"/>
      <c r="AF305" s="1121"/>
      <c r="AG305" s="1121"/>
      <c r="AH305" s="1121"/>
      <c r="AI305" s="1121"/>
      <c r="AJ305" s="1121"/>
      <c r="AK305" s="1121"/>
      <c r="AL305" s="1121"/>
      <c r="AM305" s="1121"/>
      <c r="AN305" s="1121"/>
      <c r="AO305" s="1121"/>
      <c r="AP305" s="1121"/>
      <c r="AQ305" s="1121"/>
      <c r="AR305" s="1121"/>
      <c r="AS305" s="1121"/>
      <c r="AT305" s="1121"/>
      <c r="AU305" s="1121"/>
      <c r="AV305" s="1121"/>
      <c r="AW305" s="1121"/>
      <c r="AX305" s="1121"/>
      <c r="AY305" s="1121"/>
      <c r="AZ305" s="1121"/>
      <c r="BA305" s="1121"/>
      <c r="BB305" s="1121"/>
      <c r="BC305" s="1121"/>
      <c r="BD305" s="1121"/>
      <c r="BE305" s="1121"/>
      <c r="BF305" s="1121"/>
      <c r="BG305" s="1121"/>
      <c r="BH305" s="1121"/>
      <c r="BI305" s="1121"/>
      <c r="BJ305" s="1121"/>
      <c r="BK305" s="1121"/>
    </row>
    <row r="306" spans="2:63" s="820" customFormat="1" ht="14.25" customHeight="1" x14ac:dyDescent="0.2">
      <c r="C306" s="1213" t="s">
        <v>44</v>
      </c>
      <c r="D306" s="1214"/>
      <c r="E306" s="1214"/>
      <c r="F306" s="1214"/>
      <c r="G306" s="1214"/>
      <c r="H306" s="1231"/>
      <c r="I306" s="1214"/>
      <c r="J306" s="1214"/>
      <c r="K306" s="1214"/>
      <c r="L306" s="1215"/>
      <c r="M306" s="1120"/>
      <c r="N306" s="1204"/>
      <c r="O306" s="1204"/>
      <c r="P306" s="987"/>
      <c r="Q306" s="1120"/>
      <c r="R306" s="1205"/>
      <c r="S306" s="1120"/>
      <c r="T306" s="1120"/>
      <c r="U306" s="1120"/>
      <c r="V306" s="1120"/>
      <c r="W306" s="1120"/>
      <c r="X306" s="1120"/>
      <c r="Y306" s="1120"/>
      <c r="Z306" s="1120"/>
      <c r="AA306" s="1120"/>
      <c r="AB306" s="1121"/>
      <c r="AC306" s="1121"/>
      <c r="AD306" s="1121"/>
      <c r="AE306" s="1121"/>
      <c r="AF306" s="1121"/>
      <c r="AG306" s="1121"/>
      <c r="AH306" s="1121"/>
      <c r="AI306" s="1121"/>
      <c r="AJ306" s="1121"/>
      <c r="AK306" s="1121"/>
      <c r="AL306" s="1121"/>
      <c r="AM306" s="1121"/>
      <c r="AN306" s="1121"/>
      <c r="AO306" s="1121"/>
      <c r="AP306" s="1121"/>
      <c r="AQ306" s="1121"/>
      <c r="AR306" s="1121"/>
      <c r="AS306" s="1121"/>
      <c r="AT306" s="1121"/>
      <c r="AU306" s="1121"/>
      <c r="AV306" s="1121"/>
      <c r="AW306" s="1121"/>
      <c r="AX306" s="1121"/>
      <c r="AY306" s="1121"/>
      <c r="AZ306" s="1121"/>
      <c r="BA306" s="1121"/>
      <c r="BB306" s="1121"/>
      <c r="BC306" s="1121"/>
      <c r="BD306" s="1121"/>
      <c r="BE306" s="1121"/>
      <c r="BF306" s="1121"/>
      <c r="BG306" s="1121"/>
      <c r="BH306" s="1121"/>
      <c r="BI306" s="1121"/>
      <c r="BJ306" s="1121"/>
      <c r="BK306" s="1121"/>
    </row>
    <row r="307" spans="2:63" s="820" customFormat="1" ht="14.25" customHeight="1" x14ac:dyDescent="0.2">
      <c r="B307" s="869" t="s">
        <v>734</v>
      </c>
      <c r="C307" s="1703" t="s">
        <v>391</v>
      </c>
      <c r="D307" s="1704"/>
      <c r="E307" s="1218" t="s">
        <v>33</v>
      </c>
      <c r="F307" s="1232"/>
      <c r="G307" s="1232"/>
      <c r="H307" s="1233" t="s">
        <v>217</v>
      </c>
      <c r="I307" s="1126">
        <v>1</v>
      </c>
      <c r="J307" s="1220">
        <v>200</v>
      </c>
      <c r="K307" s="1126">
        <v>12</v>
      </c>
      <c r="L307" s="1234">
        <f>K307*J307*I307</f>
        <v>2400</v>
      </c>
      <c r="M307" s="1120"/>
      <c r="N307" s="1204"/>
      <c r="O307" s="1204"/>
      <c r="P307" s="1130">
        <v>1818.79</v>
      </c>
      <c r="Q307" s="1120"/>
      <c r="R307" s="1205"/>
      <c r="S307" s="1120"/>
      <c r="T307" s="1120"/>
      <c r="U307" s="1120"/>
      <c r="V307" s="1120"/>
      <c r="W307" s="1120"/>
      <c r="X307" s="1120"/>
      <c r="Y307" s="1120"/>
      <c r="Z307" s="1120"/>
      <c r="AA307" s="1120"/>
      <c r="AB307" s="1121"/>
      <c r="AC307" s="1121"/>
      <c r="AD307" s="1121"/>
      <c r="AE307" s="1121"/>
      <c r="AF307" s="1121"/>
      <c r="AG307" s="1121"/>
      <c r="AH307" s="1121"/>
      <c r="AI307" s="1121"/>
      <c r="AJ307" s="1121"/>
      <c r="AK307" s="1121"/>
      <c r="AL307" s="1121"/>
      <c r="AM307" s="1121"/>
      <c r="AN307" s="1121"/>
      <c r="AO307" s="1121"/>
      <c r="AP307" s="1121"/>
      <c r="AQ307" s="1121"/>
      <c r="AR307" s="1121"/>
      <c r="AS307" s="1121"/>
      <c r="AT307" s="1121"/>
      <c r="AU307" s="1121"/>
      <c r="AV307" s="1121"/>
      <c r="AW307" s="1121"/>
      <c r="AX307" s="1121"/>
      <c r="AY307" s="1121"/>
      <c r="AZ307" s="1121"/>
      <c r="BA307" s="1121"/>
      <c r="BB307" s="1121"/>
      <c r="BC307" s="1121"/>
      <c r="BD307" s="1121"/>
      <c r="BE307" s="1121"/>
      <c r="BF307" s="1121"/>
      <c r="BG307" s="1121"/>
      <c r="BH307" s="1121"/>
      <c r="BI307" s="1121"/>
      <c r="BJ307" s="1121"/>
      <c r="BK307" s="1121"/>
    </row>
    <row r="308" spans="2:63" s="820" customFormat="1" ht="14.25" customHeight="1" x14ac:dyDescent="0.2">
      <c r="B308" s="869" t="s">
        <v>735</v>
      </c>
      <c r="C308" s="1703" t="s">
        <v>392</v>
      </c>
      <c r="D308" s="1704"/>
      <c r="E308" s="1218" t="s">
        <v>33</v>
      </c>
      <c r="F308" s="1232"/>
      <c r="G308" s="1232"/>
      <c r="H308" s="1233" t="s">
        <v>217</v>
      </c>
      <c r="I308" s="1126">
        <v>1</v>
      </c>
      <c r="J308" s="1220">
        <v>400</v>
      </c>
      <c r="K308" s="1126">
        <v>12</v>
      </c>
      <c r="L308" s="1234">
        <f t="shared" ref="L308" si="28">K308*J308*I308</f>
        <v>4800</v>
      </c>
      <c r="M308" s="1120"/>
      <c r="N308" s="1204"/>
      <c r="O308" s="1204"/>
      <c r="P308" s="1130">
        <v>4708</v>
      </c>
      <c r="Q308" s="1120"/>
      <c r="R308" s="1205"/>
      <c r="S308" s="1120"/>
      <c r="T308" s="1120"/>
      <c r="U308" s="1120"/>
      <c r="V308" s="1120"/>
      <c r="W308" s="1120"/>
      <c r="X308" s="1120"/>
      <c r="Y308" s="1120"/>
      <c r="Z308" s="1120"/>
      <c r="AA308" s="1120"/>
      <c r="AB308" s="1121"/>
      <c r="AC308" s="1121"/>
      <c r="AD308" s="1121"/>
      <c r="AE308" s="1121"/>
      <c r="AF308" s="1121"/>
      <c r="AG308" s="1121"/>
      <c r="AH308" s="1121"/>
      <c r="AI308" s="1121"/>
      <c r="AJ308" s="1121"/>
      <c r="AK308" s="1121"/>
      <c r="AL308" s="1121"/>
      <c r="AM308" s="1121"/>
      <c r="AN308" s="1121"/>
      <c r="AO308" s="1121"/>
      <c r="AP308" s="1121"/>
      <c r="AQ308" s="1121"/>
      <c r="AR308" s="1121"/>
      <c r="AS308" s="1121"/>
      <c r="AT308" s="1121"/>
      <c r="AU308" s="1121"/>
      <c r="AV308" s="1121"/>
      <c r="AW308" s="1121"/>
      <c r="AX308" s="1121"/>
      <c r="AY308" s="1121"/>
      <c r="AZ308" s="1121"/>
      <c r="BA308" s="1121"/>
      <c r="BB308" s="1121"/>
      <c r="BC308" s="1121"/>
      <c r="BD308" s="1121"/>
      <c r="BE308" s="1121"/>
      <c r="BF308" s="1121"/>
      <c r="BG308" s="1121"/>
      <c r="BH308" s="1121"/>
      <c r="BI308" s="1121"/>
      <c r="BJ308" s="1121"/>
      <c r="BK308" s="1121"/>
    </row>
    <row r="309" spans="2:63" s="820" customFormat="1" ht="16.5" customHeight="1" x14ac:dyDescent="0.2">
      <c r="C309" s="1206" t="s">
        <v>393</v>
      </c>
      <c r="D309" s="1235"/>
      <c r="E309" s="1236"/>
      <c r="F309" s="1236"/>
      <c r="G309" s="1236"/>
      <c r="H309" s="1237"/>
      <c r="I309" s="1238"/>
      <c r="J309" s="1238"/>
      <c r="K309" s="1238"/>
      <c r="L309" s="1239">
        <f>SUM(L307:L308)</f>
        <v>7200</v>
      </c>
      <c r="M309" s="1240"/>
      <c r="N309" s="1210"/>
      <c r="O309" s="1211"/>
      <c r="P309" s="1077">
        <f>P307+P308</f>
        <v>6526.79</v>
      </c>
      <c r="Q309" s="1086">
        <f>P309/L309</f>
        <v>0.90649861111111107</v>
      </c>
      <c r="R309" s="1205"/>
      <c r="S309" s="1120"/>
      <c r="T309" s="1120"/>
      <c r="U309" s="1120"/>
      <c r="V309" s="1120"/>
      <c r="W309" s="1120"/>
      <c r="X309" s="1120"/>
      <c r="Y309" s="1120"/>
      <c r="Z309" s="1120"/>
      <c r="AA309" s="960" t="s">
        <v>736</v>
      </c>
      <c r="AB309" s="1121"/>
      <c r="AC309" s="1121"/>
      <c r="AD309" s="1121"/>
      <c r="AE309" s="1121"/>
      <c r="AF309" s="1121"/>
      <c r="AG309" s="1121"/>
      <c r="AH309" s="1121"/>
      <c r="AI309" s="1121"/>
      <c r="AJ309" s="1121"/>
      <c r="AK309" s="1121"/>
      <c r="AL309" s="1121"/>
      <c r="AM309" s="1121"/>
      <c r="AN309" s="1121"/>
      <c r="AO309" s="1121"/>
      <c r="AP309" s="1121"/>
      <c r="AQ309" s="1121"/>
      <c r="AR309" s="1121"/>
      <c r="AS309" s="1121"/>
      <c r="AT309" s="1121"/>
      <c r="AU309" s="1121"/>
      <c r="AV309" s="1121"/>
      <c r="AW309" s="1121"/>
      <c r="AX309" s="1121"/>
      <c r="AY309" s="1121"/>
      <c r="AZ309" s="1121"/>
      <c r="BA309" s="1121"/>
      <c r="BB309" s="1121"/>
      <c r="BC309" s="1121"/>
      <c r="BD309" s="1121"/>
      <c r="BE309" s="1121"/>
      <c r="BF309" s="1121"/>
      <c r="BG309" s="1121"/>
      <c r="BH309" s="1121"/>
      <c r="BI309" s="1121"/>
      <c r="BJ309" s="1121"/>
      <c r="BK309" s="1121"/>
    </row>
    <row r="310" spans="2:63" s="1241" customFormat="1" x14ac:dyDescent="0.2">
      <c r="C310" s="1213" t="s">
        <v>46</v>
      </c>
      <c r="D310" s="1214"/>
      <c r="E310" s="1214"/>
      <c r="F310" s="1214"/>
      <c r="G310" s="1214"/>
      <c r="H310" s="1231"/>
      <c r="I310" s="1214"/>
      <c r="J310" s="1214"/>
      <c r="K310" s="1214"/>
      <c r="L310" s="1215"/>
      <c r="M310" s="1242"/>
      <c r="N310" s="1243"/>
      <c r="O310" s="1243"/>
      <c r="P310" s="987"/>
      <c r="Q310" s="1242"/>
      <c r="R310" s="1244"/>
      <c r="S310" s="1242"/>
      <c r="T310" s="1242"/>
      <c r="U310" s="1242"/>
      <c r="V310" s="1242"/>
      <c r="W310" s="1242"/>
      <c r="X310" s="1242"/>
      <c r="Y310" s="1242"/>
      <c r="Z310" s="1242"/>
      <c r="AA310" s="1242"/>
      <c r="AB310" s="1245"/>
      <c r="AC310" s="1245"/>
      <c r="AD310" s="1245"/>
      <c r="AE310" s="1245"/>
      <c r="AF310" s="1245"/>
      <c r="AG310" s="1245"/>
      <c r="AH310" s="1245"/>
      <c r="AI310" s="1245"/>
      <c r="AJ310" s="1245"/>
      <c r="AK310" s="1245"/>
      <c r="AL310" s="1245"/>
      <c r="AM310" s="1245"/>
      <c r="AN310" s="1245"/>
      <c r="AO310" s="1245"/>
      <c r="AP310" s="1245"/>
      <c r="AQ310" s="1245"/>
      <c r="AR310" s="1245"/>
      <c r="AS310" s="1245"/>
      <c r="AT310" s="1245"/>
      <c r="AU310" s="1245"/>
      <c r="AV310" s="1245"/>
      <c r="AW310" s="1245"/>
      <c r="AX310" s="1245"/>
      <c r="AY310" s="1245"/>
      <c r="AZ310" s="1245"/>
      <c r="BA310" s="1245"/>
      <c r="BB310" s="1245"/>
      <c r="BC310" s="1245"/>
      <c r="BD310" s="1245"/>
      <c r="BE310" s="1245"/>
      <c r="BF310" s="1245"/>
      <c r="BG310" s="1245"/>
      <c r="BH310" s="1245"/>
      <c r="BI310" s="1245"/>
      <c r="BJ310" s="1245"/>
      <c r="BK310" s="1245"/>
    </row>
    <row r="311" spans="2:63" ht="18" customHeight="1" x14ac:dyDescent="0.2">
      <c r="B311" s="869" t="s">
        <v>737</v>
      </c>
      <c r="C311" s="1695" t="s">
        <v>394</v>
      </c>
      <c r="D311" s="1696"/>
      <c r="E311" s="1218" t="s">
        <v>13</v>
      </c>
      <c r="F311" s="1232"/>
      <c r="G311" s="1232"/>
      <c r="H311" s="1233" t="s">
        <v>217</v>
      </c>
      <c r="I311" s="1156">
        <v>2</v>
      </c>
      <c r="J311" s="1246">
        <v>400</v>
      </c>
      <c r="K311" s="1126">
        <v>12</v>
      </c>
      <c r="L311" s="1247">
        <f>K311*J311*I311</f>
        <v>9600</v>
      </c>
      <c r="M311" s="844"/>
      <c r="N311" s="859"/>
      <c r="O311" s="859"/>
      <c r="P311" s="1130">
        <v>12529.119999999999</v>
      </c>
      <c r="Q311" s="844"/>
      <c r="R311" s="988"/>
      <c r="S311" s="844"/>
      <c r="T311" s="844"/>
      <c r="U311" s="844"/>
      <c r="V311" s="844"/>
      <c r="W311" s="844"/>
      <c r="X311" s="844"/>
      <c r="Y311" s="844"/>
      <c r="Z311" s="844"/>
      <c r="AA311" s="844"/>
      <c r="AB311" s="833"/>
      <c r="AC311" s="833"/>
      <c r="AD311" s="833"/>
      <c r="AE311" s="833"/>
      <c r="AF311" s="833"/>
      <c r="AG311" s="833"/>
      <c r="AH311" s="833"/>
      <c r="AI311" s="833"/>
      <c r="AJ311" s="833"/>
      <c r="AK311" s="833"/>
      <c r="AL311" s="833"/>
      <c r="AM311" s="833"/>
      <c r="AN311" s="833"/>
      <c r="AO311" s="833"/>
      <c r="AP311" s="833"/>
      <c r="AQ311" s="833"/>
      <c r="AR311" s="833"/>
      <c r="AS311" s="833"/>
      <c r="AT311" s="833"/>
      <c r="AU311" s="833"/>
      <c r="AV311" s="833"/>
      <c r="AW311" s="833"/>
      <c r="AX311" s="833"/>
      <c r="AY311" s="833"/>
      <c r="AZ311" s="833"/>
      <c r="BA311" s="833"/>
      <c r="BB311" s="833"/>
      <c r="BC311" s="833"/>
      <c r="BD311" s="833"/>
      <c r="BE311" s="833"/>
      <c r="BF311" s="833"/>
      <c r="BG311" s="833"/>
      <c r="BH311" s="833"/>
      <c r="BI311" s="833"/>
      <c r="BJ311" s="833"/>
      <c r="BK311" s="833"/>
    </row>
    <row r="312" spans="2:63" ht="18" customHeight="1" x14ac:dyDescent="0.2">
      <c r="B312" s="869" t="s">
        <v>738</v>
      </c>
      <c r="C312" s="1697" t="s">
        <v>395</v>
      </c>
      <c r="D312" s="1698"/>
      <c r="E312" s="1218" t="s">
        <v>13</v>
      </c>
      <c r="F312" s="1232"/>
      <c r="G312" s="1232"/>
      <c r="H312" s="1233" t="s">
        <v>217</v>
      </c>
      <c r="I312" s="1248">
        <v>1</v>
      </c>
      <c r="J312" s="1249">
        <v>300</v>
      </c>
      <c r="K312" s="1248">
        <v>12</v>
      </c>
      <c r="L312" s="1250">
        <f>K312*J312*I312</f>
        <v>3600</v>
      </c>
      <c r="M312" s="844"/>
      <c r="N312" s="859"/>
      <c r="O312" s="859"/>
      <c r="P312" s="1130">
        <v>3644.8</v>
      </c>
      <c r="Q312" s="844"/>
      <c r="R312" s="988"/>
      <c r="S312" s="844"/>
      <c r="T312" s="844"/>
      <c r="U312" s="844"/>
      <c r="V312" s="844"/>
      <c r="W312" s="844"/>
      <c r="X312" s="844"/>
      <c r="Y312" s="844"/>
      <c r="Z312" s="844"/>
      <c r="AA312" s="844"/>
      <c r="AB312" s="833"/>
      <c r="AC312" s="833"/>
      <c r="AD312" s="833"/>
      <c r="AE312" s="833"/>
      <c r="AF312" s="833"/>
      <c r="AG312" s="833"/>
      <c r="AH312" s="833"/>
      <c r="AI312" s="833"/>
      <c r="AJ312" s="833"/>
      <c r="AK312" s="833"/>
      <c r="AL312" s="833"/>
      <c r="AM312" s="833"/>
      <c r="AN312" s="833"/>
      <c r="AO312" s="833"/>
      <c r="AP312" s="833"/>
      <c r="AQ312" s="833"/>
      <c r="AR312" s="833"/>
      <c r="AS312" s="833"/>
      <c r="AT312" s="833"/>
      <c r="AU312" s="833"/>
      <c r="AV312" s="833"/>
      <c r="AW312" s="833"/>
      <c r="AX312" s="833"/>
      <c r="AY312" s="833"/>
      <c r="AZ312" s="833"/>
      <c r="BA312" s="833"/>
      <c r="BB312" s="833"/>
      <c r="BC312" s="833"/>
      <c r="BD312" s="833"/>
      <c r="BE312" s="833"/>
      <c r="BF312" s="833"/>
      <c r="BG312" s="833"/>
      <c r="BH312" s="833"/>
      <c r="BI312" s="833"/>
      <c r="BJ312" s="833"/>
      <c r="BK312" s="833"/>
    </row>
    <row r="313" spans="2:63" ht="25.5" x14ac:dyDescent="0.2">
      <c r="C313" s="1251" t="s">
        <v>389</v>
      </c>
      <c r="D313" s="1252"/>
      <c r="E313" s="1236"/>
      <c r="F313" s="1236"/>
      <c r="G313" s="1236"/>
      <c r="H313" s="1238"/>
      <c r="I313" s="1238"/>
      <c r="J313" s="1238"/>
      <c r="K313" s="1238"/>
      <c r="L313" s="1253">
        <f>SUM(L311:L312)</f>
        <v>13200</v>
      </c>
      <c r="M313" s="1254"/>
      <c r="N313" s="1255"/>
      <c r="O313" s="1256"/>
      <c r="P313" s="1077">
        <f>P311+P312</f>
        <v>16173.919999999998</v>
      </c>
      <c r="Q313" s="1086">
        <f>P313/L313</f>
        <v>1.2252969696969696</v>
      </c>
      <c r="R313" s="988"/>
      <c r="S313" s="844"/>
      <c r="T313" s="844"/>
      <c r="U313" s="844"/>
      <c r="V313" s="844"/>
      <c r="W313" s="844"/>
      <c r="X313" s="844"/>
      <c r="Y313" s="844"/>
      <c r="Z313" s="844"/>
      <c r="AA313" s="878" t="s">
        <v>739</v>
      </c>
      <c r="AB313" s="833"/>
      <c r="AC313" s="833"/>
      <c r="AD313" s="833"/>
      <c r="AE313" s="833"/>
      <c r="AF313" s="833"/>
      <c r="AG313" s="833"/>
      <c r="AH313" s="833"/>
      <c r="AI313" s="833"/>
      <c r="AJ313" s="833"/>
      <c r="AK313" s="833"/>
      <c r="AL313" s="833"/>
      <c r="AM313" s="833"/>
      <c r="AN313" s="833"/>
      <c r="AO313" s="833"/>
      <c r="AP313" s="833"/>
      <c r="AQ313" s="833"/>
      <c r="AR313" s="833"/>
      <c r="AS313" s="833"/>
      <c r="AT313" s="833"/>
      <c r="AU313" s="833"/>
      <c r="AV313" s="833"/>
      <c r="AW313" s="833"/>
      <c r="AX313" s="833"/>
      <c r="AY313" s="833"/>
      <c r="AZ313" s="833"/>
      <c r="BA313" s="833"/>
      <c r="BB313" s="833"/>
      <c r="BC313" s="833"/>
      <c r="BD313" s="833"/>
      <c r="BE313" s="833"/>
      <c r="BF313" s="833"/>
      <c r="BG313" s="833"/>
      <c r="BH313" s="833"/>
      <c r="BI313" s="833"/>
      <c r="BJ313" s="833"/>
      <c r="BK313" s="833"/>
    </row>
    <row r="314" spans="2:63" x14ac:dyDescent="0.2">
      <c r="C314" s="1213" t="s">
        <v>47</v>
      </c>
      <c r="D314" s="1214"/>
      <c r="E314" s="1214"/>
      <c r="F314" s="1214"/>
      <c r="G314" s="1214"/>
      <c r="H314" s="1214"/>
      <c r="I314" s="1214"/>
      <c r="J314" s="1214"/>
      <c r="K314" s="1214"/>
      <c r="L314" s="1215"/>
      <c r="M314" s="844"/>
      <c r="N314" s="859"/>
      <c r="O314" s="859"/>
      <c r="P314" s="987"/>
      <c r="Q314" s="844"/>
      <c r="R314" s="988"/>
      <c r="S314" s="844"/>
      <c r="T314" s="844"/>
      <c r="U314" s="844"/>
      <c r="V314" s="844"/>
      <c r="W314" s="844"/>
      <c r="X314" s="844"/>
      <c r="Y314" s="844"/>
      <c r="Z314" s="844"/>
      <c r="AA314" s="844"/>
      <c r="AB314" s="833"/>
      <c r="AC314" s="833"/>
      <c r="AD314" s="833"/>
      <c r="AE314" s="833"/>
      <c r="AF314" s="833"/>
      <c r="AG314" s="833"/>
      <c r="AH314" s="833"/>
      <c r="AI314" s="833"/>
      <c r="AJ314" s="833"/>
      <c r="AK314" s="833"/>
      <c r="AL314" s="833"/>
      <c r="AM314" s="833"/>
      <c r="AN314" s="833"/>
      <c r="AO314" s="833"/>
      <c r="AP314" s="833"/>
      <c r="AQ314" s="833"/>
      <c r="AR314" s="833"/>
      <c r="AS314" s="833"/>
      <c r="AT314" s="833"/>
      <c r="AU314" s="833"/>
      <c r="AV314" s="833"/>
      <c r="AW314" s="833"/>
      <c r="AX314" s="833"/>
      <c r="AY314" s="833"/>
      <c r="AZ314" s="833"/>
      <c r="BA314" s="833"/>
      <c r="BB314" s="833"/>
      <c r="BC314" s="833"/>
      <c r="BD314" s="833"/>
      <c r="BE314" s="833"/>
      <c r="BF314" s="833"/>
      <c r="BG314" s="833"/>
      <c r="BH314" s="833"/>
      <c r="BI314" s="833"/>
      <c r="BJ314" s="833"/>
      <c r="BK314" s="833"/>
    </row>
    <row r="315" spans="2:63" x14ac:dyDescent="0.2">
      <c r="C315" s="1699"/>
      <c r="D315" s="1700"/>
      <c r="E315" s="1257"/>
      <c r="F315" s="1258"/>
      <c r="G315" s="1258"/>
      <c r="H315" s="1259"/>
      <c r="I315" s="1126"/>
      <c r="J315" s="1126"/>
      <c r="K315" s="1126"/>
      <c r="L315" s="1260"/>
      <c r="M315" s="844"/>
      <c r="N315" s="859"/>
      <c r="O315" s="859"/>
      <c r="P315" s="987"/>
      <c r="Q315" s="844"/>
      <c r="R315" s="988"/>
      <c r="S315" s="844"/>
      <c r="T315" s="844"/>
      <c r="U315" s="844"/>
      <c r="V315" s="844"/>
      <c r="W315" s="844"/>
      <c r="X315" s="844"/>
      <c r="Y315" s="844"/>
      <c r="Z315" s="844"/>
      <c r="AA315" s="844"/>
      <c r="AB315" s="833"/>
      <c r="AC315" s="833"/>
      <c r="AD315" s="833"/>
      <c r="AE315" s="833"/>
      <c r="AF315" s="833"/>
      <c r="AG315" s="833"/>
      <c r="AH315" s="833"/>
      <c r="AI315" s="833"/>
      <c r="AJ315" s="833"/>
      <c r="AK315" s="833"/>
      <c r="AL315" s="833"/>
      <c r="AM315" s="833"/>
      <c r="AN315" s="833"/>
      <c r="AO315" s="833"/>
      <c r="AP315" s="833"/>
      <c r="AQ315" s="833"/>
      <c r="AR315" s="833"/>
      <c r="AS315" s="833"/>
      <c r="AT315" s="833"/>
      <c r="AU315" s="833"/>
      <c r="AV315" s="833"/>
      <c r="AW315" s="833"/>
      <c r="AX315" s="833"/>
      <c r="AY315" s="833"/>
      <c r="AZ315" s="833"/>
      <c r="BA315" s="833"/>
      <c r="BB315" s="833"/>
      <c r="BC315" s="833"/>
      <c r="BD315" s="833"/>
      <c r="BE315" s="833"/>
      <c r="BF315" s="833"/>
      <c r="BG315" s="833"/>
      <c r="BH315" s="833"/>
      <c r="BI315" s="833"/>
      <c r="BJ315" s="833"/>
      <c r="BK315" s="833"/>
    </row>
    <row r="316" spans="2:63" x14ac:dyDescent="0.2">
      <c r="C316" s="1213" t="s">
        <v>45</v>
      </c>
      <c r="D316" s="1214"/>
      <c r="E316" s="1214"/>
      <c r="F316" s="1214"/>
      <c r="G316" s="1214"/>
      <c r="H316" s="1214"/>
      <c r="I316" s="1214"/>
      <c r="J316" s="1214"/>
      <c r="K316" s="1214"/>
      <c r="L316" s="1215"/>
      <c r="M316" s="844"/>
      <c r="N316" s="859"/>
      <c r="O316" s="859"/>
      <c r="P316" s="987"/>
      <c r="Q316" s="844"/>
      <c r="R316" s="988"/>
      <c r="S316" s="844"/>
      <c r="T316" s="844"/>
      <c r="U316" s="844"/>
      <c r="V316" s="844"/>
      <c r="W316" s="844"/>
      <c r="X316" s="844"/>
      <c r="Y316" s="844"/>
      <c r="Z316" s="844"/>
      <c r="AA316" s="844"/>
      <c r="AB316" s="833"/>
      <c r="AC316" s="833"/>
      <c r="AD316" s="833"/>
      <c r="AE316" s="833"/>
      <c r="AF316" s="833"/>
      <c r="AG316" s="833"/>
      <c r="AH316" s="833"/>
      <c r="AI316" s="833"/>
      <c r="AJ316" s="833"/>
      <c r="AK316" s="833"/>
      <c r="AL316" s="833"/>
      <c r="AM316" s="833"/>
      <c r="AN316" s="833"/>
      <c r="AO316" s="833"/>
      <c r="AP316" s="833"/>
      <c r="AQ316" s="833"/>
      <c r="AR316" s="833"/>
      <c r="AS316" s="833"/>
      <c r="AT316" s="833"/>
      <c r="AU316" s="833"/>
      <c r="AV316" s="833"/>
      <c r="AW316" s="833"/>
      <c r="AX316" s="833"/>
      <c r="AY316" s="833"/>
      <c r="AZ316" s="833"/>
      <c r="BA316" s="833"/>
      <c r="BB316" s="833"/>
      <c r="BC316" s="833"/>
      <c r="BD316" s="833"/>
      <c r="BE316" s="833"/>
      <c r="BF316" s="833"/>
      <c r="BG316" s="833"/>
      <c r="BH316" s="833"/>
      <c r="BI316" s="833"/>
      <c r="BJ316" s="833"/>
      <c r="BK316" s="833"/>
    </row>
    <row r="317" spans="2:63" x14ac:dyDescent="0.2">
      <c r="B317" s="869" t="s">
        <v>740</v>
      </c>
      <c r="C317" s="1261" t="s">
        <v>97</v>
      </c>
      <c r="D317" s="1051"/>
      <c r="E317" s="1218" t="s">
        <v>14</v>
      </c>
      <c r="F317" s="1232"/>
      <c r="G317" s="1232"/>
      <c r="H317" s="1233" t="s">
        <v>217</v>
      </c>
      <c r="I317" s="1126">
        <v>1</v>
      </c>
      <c r="J317" s="1262">
        <v>100</v>
      </c>
      <c r="K317" s="1263">
        <v>12</v>
      </c>
      <c r="L317" s="485">
        <f t="shared" ref="L317:L318" si="29">K317*J317*I317</f>
        <v>1200</v>
      </c>
      <c r="M317" s="844"/>
      <c r="N317" s="859"/>
      <c r="O317" s="859"/>
      <c r="P317" s="1130">
        <v>1158.3800000000001</v>
      </c>
      <c r="Q317" s="1264"/>
      <c r="R317" s="1265"/>
      <c r="S317" s="844"/>
      <c r="T317" s="844"/>
      <c r="U317" s="844"/>
      <c r="V317" s="844"/>
      <c r="W317" s="844"/>
      <c r="X317" s="844"/>
      <c r="Y317" s="844"/>
      <c r="Z317" s="844"/>
      <c r="AA317" s="844"/>
      <c r="AB317" s="833"/>
      <c r="AC317" s="833"/>
      <c r="AD317" s="833"/>
      <c r="AE317" s="833"/>
      <c r="AF317" s="833"/>
      <c r="AG317" s="833"/>
      <c r="AH317" s="833"/>
      <c r="AI317" s="833"/>
      <c r="AJ317" s="833"/>
      <c r="AK317" s="833"/>
      <c r="AL317" s="833"/>
      <c r="AM317" s="833"/>
      <c r="AN317" s="833"/>
      <c r="AO317" s="833"/>
      <c r="AP317" s="833"/>
      <c r="AQ317" s="833"/>
      <c r="AR317" s="833"/>
      <c r="AS317" s="833"/>
      <c r="AT317" s="833"/>
      <c r="AU317" s="833"/>
      <c r="AV317" s="833"/>
      <c r="AW317" s="833"/>
      <c r="AX317" s="833"/>
      <c r="AY317" s="833"/>
      <c r="AZ317" s="833"/>
      <c r="BA317" s="833"/>
      <c r="BB317" s="833"/>
      <c r="BC317" s="833"/>
      <c r="BD317" s="833"/>
      <c r="BE317" s="833"/>
      <c r="BF317" s="833"/>
      <c r="BG317" s="833"/>
      <c r="BH317" s="833"/>
      <c r="BI317" s="833"/>
      <c r="BJ317" s="833"/>
      <c r="BK317" s="833"/>
    </row>
    <row r="318" spans="2:63" x14ac:dyDescent="0.2">
      <c r="B318" s="869" t="s">
        <v>741</v>
      </c>
      <c r="C318" s="1261" t="s">
        <v>396</v>
      </c>
      <c r="D318" s="1051"/>
      <c r="E318" s="1218" t="s">
        <v>14</v>
      </c>
      <c r="F318" s="1232"/>
      <c r="G318" s="1232"/>
      <c r="H318" s="1233" t="s">
        <v>217</v>
      </c>
      <c r="I318" s="1126">
        <v>1</v>
      </c>
      <c r="J318" s="1263">
        <v>100</v>
      </c>
      <c r="K318" s="1263">
        <v>12</v>
      </c>
      <c r="L318" s="485">
        <f t="shared" si="29"/>
        <v>1200</v>
      </c>
      <c r="M318" s="844"/>
      <c r="N318" s="859"/>
      <c r="O318" s="859"/>
      <c r="P318" s="1130">
        <v>2293.5500000000002</v>
      </c>
      <c r="Q318" s="1264"/>
      <c r="R318" s="1265"/>
      <c r="S318" s="844"/>
      <c r="T318" s="844"/>
      <c r="U318" s="844"/>
      <c r="V318" s="844"/>
      <c r="W318" s="844"/>
      <c r="X318" s="844"/>
      <c r="Y318" s="844"/>
      <c r="Z318" s="844"/>
      <c r="AA318" s="844"/>
      <c r="AB318" s="833"/>
      <c r="AC318" s="833"/>
      <c r="AD318" s="833"/>
      <c r="AE318" s="833"/>
      <c r="AF318" s="833"/>
      <c r="AG318" s="833"/>
      <c r="AH318" s="833"/>
      <c r="AI318" s="833"/>
      <c r="AJ318" s="833"/>
      <c r="AK318" s="833"/>
      <c r="AL318" s="833"/>
      <c r="AM318" s="833"/>
      <c r="AN318" s="833"/>
      <c r="AO318" s="833"/>
      <c r="AP318" s="833"/>
      <c r="AQ318" s="833"/>
      <c r="AR318" s="833"/>
      <c r="AS318" s="833"/>
      <c r="AT318" s="833"/>
      <c r="AU318" s="833"/>
      <c r="AV318" s="833"/>
      <c r="AW318" s="833"/>
      <c r="AX318" s="833"/>
      <c r="AY318" s="833"/>
      <c r="AZ318" s="833"/>
      <c r="BA318" s="833"/>
      <c r="BB318" s="833"/>
      <c r="BC318" s="833"/>
      <c r="BD318" s="833"/>
      <c r="BE318" s="833"/>
      <c r="BF318" s="833"/>
      <c r="BG318" s="833"/>
      <c r="BH318" s="833"/>
      <c r="BI318" s="833"/>
      <c r="BJ318" s="833"/>
      <c r="BK318" s="833"/>
    </row>
    <row r="319" spans="2:63" x14ac:dyDescent="0.2">
      <c r="B319" s="869" t="s">
        <v>742</v>
      </c>
      <c r="C319" s="1266" t="s">
        <v>397</v>
      </c>
      <c r="D319" s="1267"/>
      <c r="E319" s="1218" t="s">
        <v>14</v>
      </c>
      <c r="F319" s="1232"/>
      <c r="G319" s="1232"/>
      <c r="H319" s="1233" t="s">
        <v>217</v>
      </c>
      <c r="I319" s="1126">
        <v>1</v>
      </c>
      <c r="J319" s="1268">
        <v>200</v>
      </c>
      <c r="K319" s="1263">
        <v>12</v>
      </c>
      <c r="L319" s="1269">
        <f>K319*J319*I319</f>
        <v>2400</v>
      </c>
      <c r="M319" s="844"/>
      <c r="N319" s="859"/>
      <c r="O319" s="859"/>
      <c r="P319" s="1130">
        <v>2328.0199999999995</v>
      </c>
      <c r="Q319" s="1264"/>
      <c r="R319" s="1265"/>
      <c r="S319" s="844"/>
      <c r="T319" s="844"/>
      <c r="U319" s="844"/>
      <c r="V319" s="844"/>
      <c r="W319" s="844"/>
      <c r="X319" s="844"/>
      <c r="Y319" s="844"/>
      <c r="Z319" s="844"/>
      <c r="AA319" s="844"/>
      <c r="AB319" s="833"/>
      <c r="AC319" s="833"/>
      <c r="AD319" s="833"/>
      <c r="AE319" s="833"/>
      <c r="AF319" s="833"/>
      <c r="AG319" s="833"/>
      <c r="AH319" s="833"/>
      <c r="AI319" s="833"/>
      <c r="AJ319" s="833"/>
      <c r="AK319" s="833"/>
      <c r="AL319" s="833"/>
      <c r="AM319" s="833"/>
      <c r="AN319" s="833"/>
      <c r="AO319" s="833"/>
      <c r="AP319" s="833"/>
      <c r="AQ319" s="833"/>
      <c r="AR319" s="833"/>
      <c r="AS319" s="833"/>
      <c r="AT319" s="833"/>
      <c r="AU319" s="833"/>
      <c r="AV319" s="833"/>
      <c r="AW319" s="833"/>
      <c r="AX319" s="833"/>
      <c r="AY319" s="833"/>
      <c r="AZ319" s="833"/>
      <c r="BA319" s="833"/>
      <c r="BB319" s="833"/>
      <c r="BC319" s="833"/>
      <c r="BD319" s="833"/>
      <c r="BE319" s="833"/>
      <c r="BF319" s="833"/>
      <c r="BG319" s="833"/>
      <c r="BH319" s="833"/>
      <c r="BI319" s="833"/>
      <c r="BJ319" s="833"/>
      <c r="BK319" s="833"/>
    </row>
    <row r="320" spans="2:63" ht="25.5" x14ac:dyDescent="0.2">
      <c r="B320" s="869" t="s">
        <v>743</v>
      </c>
      <c r="C320" s="998" t="s">
        <v>398</v>
      </c>
      <c r="D320" s="1270"/>
      <c r="E320" s="1218" t="s">
        <v>14</v>
      </c>
      <c r="F320" s="1232"/>
      <c r="G320" s="1232"/>
      <c r="H320" s="1233" t="s">
        <v>217</v>
      </c>
      <c r="I320" s="1126">
        <v>1</v>
      </c>
      <c r="J320" s="1268">
        <v>800</v>
      </c>
      <c r="K320" s="1263">
        <v>12</v>
      </c>
      <c r="L320" s="1269">
        <f>K320*J320*I320</f>
        <v>9600</v>
      </c>
      <c r="M320" s="844"/>
      <c r="N320" s="859"/>
      <c r="O320" s="859"/>
      <c r="P320" s="1130">
        <v>9483</v>
      </c>
      <c r="Q320" s="1264"/>
      <c r="R320" s="1265"/>
      <c r="S320" s="844"/>
      <c r="T320" s="844"/>
      <c r="U320" s="844"/>
      <c r="V320" s="844"/>
      <c r="W320" s="844"/>
      <c r="X320" s="844"/>
      <c r="Y320" s="844"/>
      <c r="Z320" s="844"/>
      <c r="AA320" s="844"/>
      <c r="AB320" s="833"/>
      <c r="AC320" s="833"/>
      <c r="AD320" s="833"/>
      <c r="AE320" s="833"/>
      <c r="AF320" s="833"/>
      <c r="AG320" s="833"/>
      <c r="AH320" s="833"/>
      <c r="AI320" s="833"/>
      <c r="AJ320" s="833"/>
      <c r="AK320" s="833"/>
      <c r="AL320" s="833"/>
      <c r="AM320" s="833"/>
      <c r="AN320" s="833"/>
      <c r="AO320" s="833"/>
      <c r="AP320" s="833"/>
      <c r="AQ320" s="833"/>
      <c r="AR320" s="833"/>
      <c r="AS320" s="833"/>
      <c r="AT320" s="833"/>
      <c r="AU320" s="833"/>
      <c r="AV320" s="833"/>
      <c r="AW320" s="833"/>
      <c r="AX320" s="833"/>
      <c r="AY320" s="833"/>
      <c r="AZ320" s="833"/>
      <c r="BA320" s="833"/>
      <c r="BB320" s="833"/>
      <c r="BC320" s="833"/>
      <c r="BD320" s="833"/>
      <c r="BE320" s="833"/>
      <c r="BF320" s="833"/>
      <c r="BG320" s="833"/>
      <c r="BH320" s="833"/>
      <c r="BI320" s="833"/>
      <c r="BJ320" s="833"/>
      <c r="BK320" s="833"/>
    </row>
    <row r="321" spans="2:63" x14ac:dyDescent="0.2">
      <c r="B321" s="869" t="s">
        <v>744</v>
      </c>
      <c r="C321" s="998" t="s">
        <v>399</v>
      </c>
      <c r="D321" s="1270"/>
      <c r="E321" s="1218" t="s">
        <v>14</v>
      </c>
      <c r="F321" s="1232"/>
      <c r="G321" s="1232"/>
      <c r="H321" s="1233" t="s">
        <v>217</v>
      </c>
      <c r="I321" s="1126">
        <v>1</v>
      </c>
      <c r="J321" s="1268">
        <v>3000</v>
      </c>
      <c r="K321" s="1263">
        <v>1</v>
      </c>
      <c r="L321" s="1269">
        <f t="shared" ref="L321:L322" si="30">K321*J321*I321</f>
        <v>3000</v>
      </c>
      <c r="M321" s="844"/>
      <c r="N321" s="859"/>
      <c r="O321" s="859"/>
      <c r="P321" s="1130">
        <v>1841</v>
      </c>
      <c r="Q321" s="1264"/>
      <c r="R321" s="1265"/>
      <c r="S321" s="844"/>
      <c r="T321" s="844"/>
      <c r="U321" s="844"/>
      <c r="V321" s="844"/>
      <c r="W321" s="844"/>
      <c r="X321" s="844"/>
      <c r="Y321" s="844"/>
      <c r="Z321" s="844"/>
      <c r="AA321" s="844"/>
      <c r="AB321" s="833"/>
      <c r="AC321" s="833"/>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3"/>
      <c r="AY321" s="833"/>
      <c r="AZ321" s="833"/>
      <c r="BA321" s="833"/>
      <c r="BB321" s="833"/>
      <c r="BC321" s="833"/>
      <c r="BD321" s="833"/>
      <c r="BE321" s="833"/>
      <c r="BF321" s="833"/>
      <c r="BG321" s="833"/>
      <c r="BH321" s="833"/>
      <c r="BI321" s="833"/>
      <c r="BJ321" s="833"/>
      <c r="BK321" s="833"/>
    </row>
    <row r="322" spans="2:63" x14ac:dyDescent="0.2">
      <c r="B322" s="869" t="s">
        <v>745</v>
      </c>
      <c r="C322" s="998" t="s">
        <v>400</v>
      </c>
      <c r="D322" s="1270"/>
      <c r="E322" s="1218" t="s">
        <v>14</v>
      </c>
      <c r="F322" s="1232"/>
      <c r="G322" s="1232"/>
      <c r="H322" s="1233" t="s">
        <v>217</v>
      </c>
      <c r="I322" s="1126">
        <v>1</v>
      </c>
      <c r="J322" s="1268">
        <v>300</v>
      </c>
      <c r="K322" s="1263">
        <v>12</v>
      </c>
      <c r="L322" s="1269">
        <f t="shared" si="30"/>
        <v>3600</v>
      </c>
      <c r="M322" s="844"/>
      <c r="N322" s="1271"/>
      <c r="P322" s="1130">
        <v>3595.55</v>
      </c>
      <c r="Q322" s="1264"/>
      <c r="R322" s="1265"/>
      <c r="S322" s="844"/>
      <c r="T322" s="844"/>
      <c r="U322" s="844"/>
      <c r="V322" s="844"/>
      <c r="W322" s="844"/>
      <c r="X322" s="844"/>
      <c r="Y322" s="844"/>
      <c r="Z322" s="844"/>
      <c r="AA322" s="844"/>
      <c r="AB322" s="833"/>
      <c r="AC322" s="833"/>
      <c r="AD322" s="833"/>
      <c r="AE322" s="833"/>
      <c r="AF322" s="833"/>
      <c r="AG322" s="833"/>
      <c r="AH322" s="833"/>
      <c r="AI322" s="833"/>
      <c r="AJ322" s="833"/>
      <c r="AK322" s="833"/>
      <c r="AL322" s="833"/>
      <c r="AM322" s="833"/>
      <c r="AN322" s="833"/>
      <c r="AO322" s="833"/>
      <c r="AP322" s="833"/>
      <c r="AQ322" s="833"/>
      <c r="AR322" s="833"/>
      <c r="AS322" s="833"/>
      <c r="AT322" s="833"/>
      <c r="AU322" s="833"/>
      <c r="AV322" s="833"/>
      <c r="AW322" s="833"/>
      <c r="AX322" s="833"/>
      <c r="AY322" s="833"/>
      <c r="AZ322" s="833"/>
      <c r="BA322" s="833"/>
      <c r="BB322" s="833"/>
      <c r="BC322" s="833"/>
      <c r="BD322" s="833"/>
      <c r="BE322" s="833"/>
      <c r="BF322" s="833"/>
      <c r="BG322" s="833"/>
      <c r="BH322" s="833"/>
      <c r="BI322" s="833"/>
      <c r="BJ322" s="833"/>
      <c r="BK322" s="833"/>
    </row>
    <row r="323" spans="2:63" ht="38.25" x14ac:dyDescent="0.2">
      <c r="B323" s="869" t="s">
        <v>746</v>
      </c>
      <c r="C323" s="1272" t="s">
        <v>60</v>
      </c>
      <c r="D323" s="1273"/>
      <c r="E323" s="1218" t="s">
        <v>14</v>
      </c>
      <c r="F323" s="1232"/>
      <c r="G323" s="1232"/>
      <c r="H323" s="1274" t="s">
        <v>217</v>
      </c>
      <c r="I323" s="1275">
        <v>1</v>
      </c>
      <c r="J323" s="1249">
        <v>9360.44</v>
      </c>
      <c r="K323" s="1275">
        <v>1</v>
      </c>
      <c r="L323" s="1276">
        <f>I323*J323*K323</f>
        <v>9360.44</v>
      </c>
      <c r="M323" s="844"/>
      <c r="N323" s="1271"/>
      <c r="O323" s="1271"/>
      <c r="P323" s="1130">
        <v>9776.7800000000007</v>
      </c>
      <c r="Q323" s="1264"/>
      <c r="R323" s="1265"/>
      <c r="S323" s="844"/>
      <c r="T323" s="844"/>
      <c r="U323" s="844"/>
      <c r="V323" s="844"/>
      <c r="W323" s="844"/>
      <c r="X323" s="844"/>
      <c r="Y323" s="844"/>
      <c r="Z323" s="844"/>
      <c r="AA323" s="844"/>
      <c r="AB323" s="833"/>
      <c r="AC323" s="833"/>
      <c r="AD323" s="833"/>
      <c r="AE323" s="833"/>
      <c r="AF323" s="833"/>
      <c r="AG323" s="833"/>
      <c r="AH323" s="833"/>
      <c r="AI323" s="833"/>
      <c r="AJ323" s="833"/>
      <c r="AK323" s="833"/>
      <c r="AL323" s="833"/>
      <c r="AM323" s="833"/>
      <c r="AN323" s="833"/>
      <c r="AO323" s="833"/>
      <c r="AP323" s="833"/>
      <c r="AQ323" s="833"/>
      <c r="AR323" s="833"/>
      <c r="AS323" s="833"/>
      <c r="AT323" s="833"/>
      <c r="AU323" s="833"/>
      <c r="AV323" s="833"/>
      <c r="AW323" s="833"/>
      <c r="AX323" s="833"/>
      <c r="AY323" s="833"/>
      <c r="AZ323" s="833"/>
      <c r="BA323" s="833"/>
      <c r="BB323" s="833"/>
      <c r="BC323" s="833"/>
      <c r="BD323" s="833"/>
      <c r="BE323" s="833"/>
      <c r="BF323" s="833"/>
      <c r="BG323" s="833"/>
      <c r="BH323" s="833"/>
      <c r="BI323" s="833"/>
      <c r="BJ323" s="833"/>
      <c r="BK323" s="833"/>
    </row>
    <row r="324" spans="2:63" x14ac:dyDescent="0.2">
      <c r="C324" s="1277" t="s">
        <v>401</v>
      </c>
      <c r="D324" s="1278"/>
      <c r="E324" s="1279"/>
      <c r="F324" s="1278"/>
      <c r="G324" s="1278"/>
      <c r="H324" s="1280"/>
      <c r="I324" s="1277"/>
      <c r="J324" s="1277"/>
      <c r="K324" s="1277"/>
      <c r="L324" s="1281">
        <f>SUM(L317:L323)</f>
        <v>30360.440000000002</v>
      </c>
      <c r="M324" s="960"/>
      <c r="N324" s="1255"/>
      <c r="O324" s="1211"/>
      <c r="P324" s="1077">
        <f>SUM(P317:P323)</f>
        <v>30476.28</v>
      </c>
      <c r="Q324" s="1086">
        <f>P324/L324</f>
        <v>1.0038154914750905</v>
      </c>
      <c r="R324" s="1265"/>
      <c r="S324" s="844"/>
      <c r="T324" s="844"/>
      <c r="U324" s="844"/>
      <c r="V324" s="844"/>
      <c r="W324" s="844"/>
      <c r="X324" s="844"/>
      <c r="Y324" s="844"/>
      <c r="Z324" s="844"/>
      <c r="AA324" s="960" t="s">
        <v>747</v>
      </c>
      <c r="AB324" s="833"/>
      <c r="AC324" s="833"/>
      <c r="AD324" s="833"/>
      <c r="AE324" s="833"/>
      <c r="AF324" s="833"/>
      <c r="AG324" s="833"/>
      <c r="AH324" s="833"/>
      <c r="AI324" s="833"/>
      <c r="AJ324" s="833"/>
      <c r="AK324" s="833"/>
      <c r="AL324" s="833"/>
      <c r="AM324" s="833"/>
      <c r="AN324" s="833"/>
      <c r="AO324" s="833"/>
      <c r="AP324" s="833"/>
      <c r="AQ324" s="833"/>
      <c r="AR324" s="833"/>
      <c r="AS324" s="833"/>
      <c r="AT324" s="833"/>
      <c r="AU324" s="833"/>
      <c r="AV324" s="833"/>
      <c r="AW324" s="833"/>
      <c r="AX324" s="833"/>
      <c r="AY324" s="833"/>
      <c r="AZ324" s="833"/>
      <c r="BA324" s="833"/>
      <c r="BB324" s="833"/>
      <c r="BC324" s="833"/>
      <c r="BD324" s="833"/>
      <c r="BE324" s="833"/>
      <c r="BF324" s="833"/>
      <c r="BG324" s="833"/>
      <c r="BH324" s="833"/>
      <c r="BI324" s="833"/>
      <c r="BJ324" s="833"/>
      <c r="BK324" s="833"/>
    </row>
    <row r="325" spans="2:63" x14ac:dyDescent="0.2">
      <c r="C325" s="999" t="s">
        <v>38</v>
      </c>
      <c r="D325" s="1001"/>
      <c r="E325" s="1000"/>
      <c r="F325" s="1000"/>
      <c r="G325" s="1000"/>
      <c r="H325" s="1168"/>
      <c r="I325" s="1168"/>
      <c r="J325" s="1168"/>
      <c r="K325" s="1282"/>
      <c r="L325" s="1283">
        <f>L299+L305+L309+L313+L324</f>
        <v>134995.84</v>
      </c>
      <c r="M325" s="1284">
        <f>L325/L328</f>
        <v>0.24598373690163708</v>
      </c>
      <c r="N325" s="1285"/>
      <c r="O325" s="1286"/>
      <c r="P325" s="1286">
        <f>P299+P305+P309+P313+P324</f>
        <v>117325.6</v>
      </c>
      <c r="Q325" s="1171">
        <f>P325/L325</f>
        <v>0.8691052998373876</v>
      </c>
      <c r="R325" s="1265"/>
      <c r="S325" s="844"/>
      <c r="T325" s="844"/>
      <c r="U325" s="844"/>
      <c r="V325" s="844"/>
      <c r="W325" s="844"/>
      <c r="X325" s="844"/>
      <c r="Y325" s="844"/>
      <c r="Z325" s="844"/>
      <c r="AA325" s="1008"/>
      <c r="AB325" s="833"/>
      <c r="AC325" s="833"/>
      <c r="AD325" s="833"/>
      <c r="AE325" s="833"/>
      <c r="AF325" s="833"/>
      <c r="AG325" s="833"/>
      <c r="AH325" s="833"/>
      <c r="AI325" s="833"/>
      <c r="AJ325" s="833"/>
      <c r="AK325" s="833"/>
      <c r="AL325" s="833"/>
      <c r="AM325" s="833"/>
      <c r="AN325" s="833"/>
      <c r="AO325" s="833"/>
      <c r="AP325" s="833"/>
      <c r="AQ325" s="833"/>
      <c r="AR325" s="833"/>
      <c r="AS325" s="833"/>
      <c r="AT325" s="833"/>
      <c r="AU325" s="833"/>
      <c r="AV325" s="833"/>
      <c r="AW325" s="833"/>
      <c r="AX325" s="833"/>
      <c r="AY325" s="833"/>
      <c r="AZ325" s="833"/>
      <c r="BA325" s="833"/>
      <c r="BB325" s="833"/>
      <c r="BC325" s="833"/>
      <c r="BD325" s="833"/>
      <c r="BE325" s="833"/>
      <c r="BF325" s="833"/>
      <c r="BG325" s="833"/>
      <c r="BH325" s="833"/>
      <c r="BI325" s="833"/>
      <c r="BJ325" s="833"/>
      <c r="BK325" s="833"/>
    </row>
    <row r="326" spans="2:63" x14ac:dyDescent="0.2">
      <c r="C326" s="1287"/>
      <c r="D326" s="1288"/>
      <c r="E326" s="1289"/>
      <c r="F326" s="1290"/>
      <c r="G326" s="1290"/>
      <c r="H326" s="1291" t="s">
        <v>37</v>
      </c>
      <c r="I326" s="1292"/>
      <c r="J326" s="1292"/>
      <c r="K326" s="1292"/>
      <c r="L326" s="1293">
        <f>L291+L325</f>
        <v>512897.06400000001</v>
      </c>
      <c r="M326" s="1292"/>
      <c r="N326" s="1292"/>
      <c r="O326" s="1293">
        <v>256448.78</v>
      </c>
      <c r="P326" s="1294">
        <f>P325+P291</f>
        <v>498578.98</v>
      </c>
      <c r="Q326" s="1295"/>
      <c r="R326" s="1296"/>
      <c r="S326" s="844"/>
      <c r="T326" s="844"/>
      <c r="U326" s="844"/>
      <c r="V326" s="844"/>
      <c r="W326" s="844"/>
      <c r="X326" s="844"/>
      <c r="Y326" s="844"/>
      <c r="Z326" s="844"/>
      <c r="AA326" s="844"/>
      <c r="AB326" s="833"/>
      <c r="AC326" s="833"/>
      <c r="AD326" s="833"/>
      <c r="AE326" s="833"/>
      <c r="AF326" s="833"/>
      <c r="AG326" s="833"/>
      <c r="AH326" s="833"/>
      <c r="AI326" s="833"/>
      <c r="AJ326" s="833"/>
      <c r="AK326" s="833"/>
      <c r="AL326" s="833"/>
      <c r="AM326" s="833"/>
      <c r="AN326" s="833"/>
      <c r="AO326" s="833"/>
      <c r="AP326" s="833"/>
      <c r="AQ326" s="833"/>
      <c r="AR326" s="833"/>
      <c r="AS326" s="833"/>
      <c r="AT326" s="833"/>
      <c r="AU326" s="833"/>
      <c r="AV326" s="833"/>
      <c r="AW326" s="833"/>
      <c r="AX326" s="833"/>
      <c r="AY326" s="833"/>
      <c r="AZ326" s="833"/>
      <c r="BA326" s="833"/>
      <c r="BB326" s="833"/>
      <c r="BC326" s="833"/>
      <c r="BD326" s="833"/>
      <c r="BE326" s="833"/>
      <c r="BF326" s="833"/>
      <c r="BG326" s="833"/>
      <c r="BH326" s="833"/>
      <c r="BI326" s="833"/>
      <c r="BJ326" s="833"/>
      <c r="BK326" s="833"/>
    </row>
    <row r="327" spans="2:63" ht="38.25" x14ac:dyDescent="0.2">
      <c r="C327" s="1297"/>
      <c r="D327" s="1298"/>
      <c r="E327" s="1299"/>
      <c r="F327" s="1299"/>
      <c r="G327" s="1299"/>
      <c r="H327" s="1300" t="s">
        <v>49</v>
      </c>
      <c r="I327" s="1300"/>
      <c r="J327" s="1300"/>
      <c r="K327" s="1300"/>
      <c r="L327" s="1301">
        <f>L326*0.07</f>
        <v>35902.794480000004</v>
      </c>
      <c r="M327" s="1300"/>
      <c r="N327" s="1300"/>
      <c r="O327" s="1301">
        <f>O326*0.07</f>
        <v>17951.4146</v>
      </c>
      <c r="P327" s="1301">
        <f>P326*0.07</f>
        <v>34900.528600000005</v>
      </c>
      <c r="Q327" s="1300"/>
      <c r="R327" s="988"/>
      <c r="S327" s="844"/>
      <c r="T327" s="844"/>
      <c r="U327" s="844"/>
      <c r="V327" s="844"/>
      <c r="W327" s="844"/>
      <c r="X327" s="844"/>
      <c r="Y327" s="844"/>
      <c r="Z327" s="844"/>
      <c r="AA327" s="844"/>
      <c r="AB327" s="833"/>
      <c r="AC327" s="833"/>
      <c r="AD327" s="833"/>
      <c r="AE327" s="833"/>
      <c r="AF327" s="833"/>
      <c r="AG327" s="833"/>
      <c r="AH327" s="833"/>
      <c r="AI327" s="833"/>
      <c r="AJ327" s="833"/>
      <c r="AK327" s="833"/>
      <c r="AL327" s="833"/>
      <c r="AM327" s="833"/>
      <c r="AN327" s="833"/>
      <c r="AO327" s="833"/>
      <c r="AP327" s="833"/>
      <c r="AQ327" s="833"/>
      <c r="AR327" s="833"/>
      <c r="AS327" s="833"/>
      <c r="AT327" s="833"/>
      <c r="AU327" s="833"/>
      <c r="AV327" s="833"/>
      <c r="AW327" s="833"/>
      <c r="AX327" s="833"/>
      <c r="AY327" s="833"/>
      <c r="AZ327" s="833"/>
      <c r="BA327" s="833"/>
      <c r="BB327" s="833"/>
      <c r="BC327" s="833"/>
      <c r="BD327" s="833"/>
      <c r="BE327" s="833"/>
      <c r="BF327" s="833"/>
      <c r="BG327" s="833"/>
      <c r="BH327" s="833"/>
      <c r="BI327" s="833"/>
      <c r="BJ327" s="833"/>
      <c r="BK327" s="833"/>
    </row>
    <row r="328" spans="2:63" ht="38.25" x14ac:dyDescent="0.2">
      <c r="C328" s="1093" t="s">
        <v>22</v>
      </c>
      <c r="D328" s="1094"/>
      <c r="E328" s="1094"/>
      <c r="F328" s="1094"/>
      <c r="G328" s="1094"/>
      <c r="H328" s="1094"/>
      <c r="I328" s="1094"/>
      <c r="J328" s="1094"/>
      <c r="K328" s="1095"/>
      <c r="L328" s="1302">
        <f>L326+L327</f>
        <v>548799.85848000005</v>
      </c>
      <c r="M328" s="1303">
        <f>N328/L328</f>
        <v>0.2272943734815957</v>
      </c>
      <c r="N328" s="1304">
        <f>SUM(N291:N327)</f>
        <v>124739.12</v>
      </c>
      <c r="O328" s="1302">
        <v>548800</v>
      </c>
      <c r="P328" s="1304">
        <f>P291+P325+P327</f>
        <v>533479.50859999994</v>
      </c>
      <c r="Q328" s="258">
        <f>P328/O328</f>
        <v>0.97208365269679287</v>
      </c>
      <c r="R328" s="1223"/>
      <c r="S328" s="844"/>
      <c r="T328" s="844"/>
      <c r="U328" s="844"/>
      <c r="V328" s="844"/>
      <c r="W328" s="844"/>
      <c r="X328" s="844"/>
      <c r="Y328" s="844"/>
      <c r="Z328" s="844"/>
      <c r="AA328" s="878" t="s">
        <v>748</v>
      </c>
      <c r="AB328" s="833"/>
      <c r="AC328" s="833"/>
      <c r="AD328" s="833"/>
      <c r="AE328" s="833"/>
      <c r="AF328" s="833"/>
      <c r="AG328" s="833"/>
      <c r="AH328" s="833"/>
      <c r="AI328" s="833"/>
      <c r="AJ328" s="833"/>
      <c r="AK328" s="833"/>
      <c r="AL328" s="833"/>
      <c r="AM328" s="833"/>
      <c r="AN328" s="833"/>
      <c r="AO328" s="833"/>
      <c r="AP328" s="833"/>
      <c r="AQ328" s="833"/>
      <c r="AR328" s="833"/>
      <c r="AS328" s="833"/>
      <c r="AT328" s="833"/>
      <c r="AU328" s="833"/>
      <c r="AV328" s="833"/>
      <c r="AW328" s="833"/>
      <c r="AX328" s="833"/>
      <c r="AY328" s="833"/>
      <c r="AZ328" s="833"/>
      <c r="BA328" s="833"/>
      <c r="BB328" s="833"/>
      <c r="BC328" s="833"/>
      <c r="BD328" s="833"/>
      <c r="BE328" s="833"/>
      <c r="BF328" s="833"/>
      <c r="BG328" s="833"/>
      <c r="BH328" s="833"/>
      <c r="BI328" s="833"/>
      <c r="BJ328" s="833"/>
      <c r="BK328" s="833"/>
    </row>
    <row r="330" spans="2:63" x14ac:dyDescent="0.2">
      <c r="Q330" s="1305"/>
    </row>
    <row r="332" spans="2:63" x14ac:dyDescent="0.2">
      <c r="J332" s="1306" t="s">
        <v>749</v>
      </c>
      <c r="K332" s="1307"/>
      <c r="L332" s="1307">
        <v>548000</v>
      </c>
      <c r="M332" s="1308"/>
      <c r="N332" s="1309"/>
      <c r="O332" s="1308"/>
      <c r="P332" s="1310">
        <f>P328</f>
        <v>533479.50859999994</v>
      </c>
      <c r="Q332" s="1311">
        <f>P332/L332</f>
        <v>0.97350275291970789</v>
      </c>
    </row>
    <row r="333" spans="2:63" ht="12.75" customHeight="1" x14ac:dyDescent="0.2"/>
    <row r="334" spans="2:63" x14ac:dyDescent="0.2">
      <c r="P334" s="1312"/>
    </row>
    <row r="335" spans="2:63" x14ac:dyDescent="0.2">
      <c r="H335" s="1313"/>
      <c r="K335" s="1314"/>
      <c r="L335" s="1315"/>
      <c r="M335" s="1314"/>
      <c r="Q335" s="574"/>
    </row>
    <row r="336" spans="2:63" x14ac:dyDescent="0.2">
      <c r="I336" s="1314"/>
      <c r="L336" s="574"/>
      <c r="Q336" s="574"/>
    </row>
    <row r="337" spans="12:13" s="817" customFormat="1" x14ac:dyDescent="0.2">
      <c r="L337" s="574"/>
      <c r="M337" s="1314"/>
    </row>
  </sheetData>
  <autoFilter ref="A9:K296" xr:uid="{00000000-0009-0000-0000-000001000000}"/>
  <dataConsolidate/>
  <mergeCells count="30">
    <mergeCell ref="C315:D315"/>
    <mergeCell ref="C292:D292"/>
    <mergeCell ref="C301:D301"/>
    <mergeCell ref="C304:D304"/>
    <mergeCell ref="C307:D307"/>
    <mergeCell ref="C308:D308"/>
    <mergeCell ref="C218:C225"/>
    <mergeCell ref="C254:C288"/>
    <mergeCell ref="C290:D290"/>
    <mergeCell ref="C311:D311"/>
    <mergeCell ref="C312:D312"/>
    <mergeCell ref="R162:R174"/>
    <mergeCell ref="C164:C174"/>
    <mergeCell ref="R175:R186"/>
    <mergeCell ref="R188:R189"/>
    <mergeCell ref="C192:C211"/>
    <mergeCell ref="C14:D14"/>
    <mergeCell ref="C118:C160"/>
    <mergeCell ref="R15:R28"/>
    <mergeCell ref="R29:R41"/>
    <mergeCell ref="R42:R51"/>
    <mergeCell ref="R54:R60"/>
    <mergeCell ref="R61:R71"/>
    <mergeCell ref="R72:R85"/>
    <mergeCell ref="R88:R93"/>
    <mergeCell ref="R94:R106"/>
    <mergeCell ref="R107:R116"/>
    <mergeCell ref="R117:R129"/>
    <mergeCell ref="R130:R140"/>
    <mergeCell ref="R153:R154"/>
  </mergeCells>
  <dataValidations count="9">
    <dataValidation type="list" allowBlank="1" showInputMessage="1" showErrorMessage="1" sqref="E324:G324 BG317:BG323 AY317:AY323 AQ317:AQ323 AI317:AI323 AA317:AA323 S317:S323 E265:G265" xr:uid="{00000000-0002-0000-0100-000000000000}">
      <formula1>categories</formula1>
    </dataValidation>
    <dataValidation type="list" allowBlank="1" showInputMessage="1" showErrorMessage="1" sqref="E165:G174" xr:uid="{00000000-0002-0000-0100-000001000000}">
      <formula1>$C$320:$C$326</formula1>
    </dataValidation>
    <dataValidation type="list" allowBlank="1" showInputMessage="1" showErrorMessage="1" sqref="E154:G160" xr:uid="{00000000-0002-0000-0100-000002000000}">
      <formula1>$C$318:$C$324</formula1>
    </dataValidation>
    <dataValidation type="list" allowBlank="1" showInputMessage="1" showErrorMessage="1" sqref="E141:G153" xr:uid="{00000000-0002-0000-0100-000003000000}">
      <formula1>$C$319:$C$325</formula1>
    </dataValidation>
    <dataValidation type="list" allowBlank="1" showInputMessage="1" showErrorMessage="1" sqref="E299:G323 E187:G217 E93:G93 E87:G87 E161:G164 E15:G71 E266:G266 E225:G264 E106:G139 E268:G293" xr:uid="{00000000-0002-0000-0100-000004000000}">
      <formula1>#REF!</formula1>
    </dataValidation>
    <dataValidation type="list" allowBlank="1" showInputMessage="1" showErrorMessage="1" sqref="E95:G105 E267:G267 E140:G140 E175:G186 E218:G224" xr:uid="{00000000-0002-0000-0100-000005000000}">
      <formula1>$C$329:$C$329</formula1>
    </dataValidation>
    <dataValidation type="list" allowBlank="1" showInputMessage="1" showErrorMessage="1" sqref="E88:G92" xr:uid="{00000000-0002-0000-0100-000006000000}">
      <formula1>$C$325:$C$329</formula1>
    </dataValidation>
    <dataValidation type="list" allowBlank="1" showInputMessage="1" showErrorMessage="1" sqref="E72:G72" xr:uid="{00000000-0002-0000-0100-000007000000}">
      <formula1>$C$326:$C$329</formula1>
    </dataValidation>
    <dataValidation type="list" allowBlank="1" showInputMessage="1" showErrorMessage="1" sqref="E294:G298 E73:G86 E94:G94" xr:uid="{00000000-0002-0000-0100-000008000000}">
      <formula1>$C$327:$C$329</formula1>
    </dataValidation>
  </dataValidations>
  <pageMargins left="0.4" right="0.24" top="0.91" bottom="0.65" header="0" footer="0"/>
  <pageSetup scale="52" orientation="portrait" horizontalDpi="4294967294" r:id="rId1"/>
  <headerFooter alignWithMargins="0">
    <oddFooter>Página &amp;P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Q165"/>
  <sheetViews>
    <sheetView topLeftCell="C110" zoomScaleNormal="100" workbookViewId="0">
      <selection activeCell="J148" sqref="J148"/>
    </sheetView>
  </sheetViews>
  <sheetFormatPr defaultColWidth="11.42578125" defaultRowHeight="12.75" x14ac:dyDescent="0.2"/>
  <cols>
    <col min="1" max="1" width="23.28515625" style="1" customWidth="1"/>
    <col min="2" max="2" width="27.85546875" style="1" customWidth="1"/>
    <col min="3" max="3" width="23.28515625" style="1" customWidth="1"/>
    <col min="4" max="4" width="43.5703125" style="2" customWidth="1"/>
    <col min="5" max="5" width="43" style="2" hidden="1" customWidth="1"/>
    <col min="6" max="6" width="17.7109375" style="1" customWidth="1"/>
    <col min="7" max="8" width="11.42578125" style="1"/>
    <col min="9" max="9" width="11.7109375" style="1" customWidth="1"/>
    <col min="10" max="10" width="15.7109375" style="2" customWidth="1"/>
    <col min="11" max="11" width="15.28515625" style="2" customWidth="1"/>
    <col min="12" max="12" width="18.42578125" style="2" customWidth="1"/>
    <col min="13" max="13" width="16.28515625" style="2" customWidth="1"/>
    <col min="14" max="14" width="18.42578125" style="2" customWidth="1"/>
    <col min="15" max="15" width="24.5703125" style="1" customWidth="1"/>
    <col min="16" max="16384" width="11.42578125" style="1"/>
  </cols>
  <sheetData>
    <row r="2" spans="1:16" x14ac:dyDescent="0.2">
      <c r="A2" s="46" t="s">
        <v>64</v>
      </c>
      <c r="B2" s="46"/>
      <c r="C2" s="46"/>
      <c r="D2" s="3" t="s">
        <v>65</v>
      </c>
    </row>
    <row r="3" spans="1:16" x14ac:dyDescent="0.2">
      <c r="A3" s="52" t="s">
        <v>18</v>
      </c>
      <c r="B3" s="52"/>
      <c r="C3" s="52"/>
      <c r="D3" s="52" t="s">
        <v>66</v>
      </c>
      <c r="E3" s="33"/>
      <c r="F3" s="33"/>
      <c r="G3" s="33"/>
      <c r="H3" s="33"/>
      <c r="I3" s="33"/>
      <c r="J3" s="33"/>
      <c r="K3" s="33"/>
      <c r="L3" s="33"/>
      <c r="M3" s="33"/>
      <c r="N3" s="33"/>
      <c r="O3" s="33"/>
    </row>
    <row r="4" spans="1:16" x14ac:dyDescent="0.2">
      <c r="A4" s="52" t="s">
        <v>15</v>
      </c>
      <c r="B4" s="52"/>
      <c r="C4" s="52"/>
      <c r="D4" s="91" t="s">
        <v>621</v>
      </c>
      <c r="E4" s="33"/>
      <c r="F4" s="53"/>
      <c r="G4" s="53"/>
      <c r="H4" s="53"/>
      <c r="I4" s="53"/>
      <c r="J4" s="53"/>
      <c r="K4" s="53"/>
      <c r="L4" s="53"/>
      <c r="M4" s="53"/>
      <c r="N4" s="53"/>
      <c r="O4" s="33"/>
    </row>
    <row r="5" spans="1:16" x14ac:dyDescent="0.2">
      <c r="A5" s="52" t="s">
        <v>16</v>
      </c>
      <c r="B5" s="52"/>
      <c r="C5" s="52"/>
      <c r="D5" s="519">
        <f>J146</f>
        <v>335598.45</v>
      </c>
      <c r="E5" s="33"/>
      <c r="F5" s="53"/>
      <c r="G5" s="53"/>
      <c r="H5" s="53"/>
      <c r="I5" s="53"/>
      <c r="J5" s="53"/>
      <c r="K5" s="53"/>
      <c r="L5" s="53"/>
      <c r="M5" s="53"/>
      <c r="N5" s="53"/>
      <c r="O5" s="33"/>
    </row>
    <row r="6" spans="1:16" x14ac:dyDescent="0.2">
      <c r="A6" s="32" t="s">
        <v>28</v>
      </c>
      <c r="B6" s="32"/>
      <c r="C6" s="32"/>
      <c r="D6" s="519">
        <f>D5*0.07</f>
        <v>23491.891500000002</v>
      </c>
      <c r="E6" s="164"/>
      <c r="F6" s="53"/>
      <c r="G6" s="53"/>
      <c r="H6" s="53"/>
      <c r="I6" s="53"/>
      <c r="J6" s="53"/>
      <c r="K6" s="53"/>
      <c r="L6" s="53"/>
      <c r="M6" s="53"/>
      <c r="N6" s="53"/>
      <c r="O6" s="33"/>
    </row>
    <row r="7" spans="1:16" x14ac:dyDescent="0.2">
      <c r="A7" s="32" t="s">
        <v>29</v>
      </c>
      <c r="B7" s="32"/>
      <c r="C7" s="32"/>
      <c r="D7" s="519">
        <f>SUM(D5:D6)</f>
        <v>359090.34150000004</v>
      </c>
      <c r="E7" s="164"/>
      <c r="F7" s="53"/>
      <c r="G7" s="53"/>
      <c r="H7" s="53"/>
      <c r="I7" s="53"/>
      <c r="J7" s="53"/>
      <c r="K7" s="53"/>
      <c r="L7" s="53"/>
      <c r="M7" s="53"/>
      <c r="N7" s="53"/>
      <c r="O7" s="33"/>
    </row>
    <row r="8" spans="1:16" x14ac:dyDescent="0.2">
      <c r="A8" s="33" t="s">
        <v>623</v>
      </c>
      <c r="B8" s="33"/>
      <c r="C8" s="33"/>
      <c r="D8" s="33"/>
      <c r="E8" s="33"/>
      <c r="F8" s="33"/>
      <c r="G8" s="33"/>
      <c r="H8" s="33"/>
      <c r="I8" s="33"/>
      <c r="J8" s="33"/>
      <c r="K8" s="33"/>
      <c r="L8" s="33"/>
      <c r="M8" s="33"/>
      <c r="N8" s="33"/>
      <c r="O8" s="33"/>
    </row>
    <row r="9" spans="1:16" ht="38.25" x14ac:dyDescent="0.2">
      <c r="A9" s="9" t="s">
        <v>6</v>
      </c>
      <c r="B9" s="9"/>
      <c r="C9" s="9"/>
      <c r="D9" s="9" t="s">
        <v>7</v>
      </c>
      <c r="E9" s="9" t="s">
        <v>31</v>
      </c>
      <c r="F9" s="9" t="s">
        <v>26</v>
      </c>
      <c r="G9" s="9" t="s">
        <v>3</v>
      </c>
      <c r="H9" s="9" t="s">
        <v>4</v>
      </c>
      <c r="I9" s="7" t="s">
        <v>5</v>
      </c>
      <c r="J9" s="10" t="s">
        <v>622</v>
      </c>
      <c r="K9" s="10" t="s">
        <v>19</v>
      </c>
      <c r="L9" s="10" t="s">
        <v>113</v>
      </c>
      <c r="M9" s="539" t="s">
        <v>643</v>
      </c>
      <c r="N9" s="539" t="s">
        <v>642</v>
      </c>
      <c r="O9" s="10" t="s">
        <v>30</v>
      </c>
    </row>
    <row r="10" spans="1:16" x14ac:dyDescent="0.2">
      <c r="A10" s="1707" t="s">
        <v>39</v>
      </c>
      <c r="B10" s="1708"/>
      <c r="C10" s="1708"/>
      <c r="D10" s="1708"/>
      <c r="E10" s="158"/>
      <c r="F10" s="158"/>
      <c r="G10" s="158"/>
      <c r="H10" s="158"/>
      <c r="I10" s="158"/>
      <c r="J10" s="158"/>
      <c r="K10" s="158"/>
      <c r="L10" s="158"/>
      <c r="M10" s="158"/>
      <c r="N10" s="158"/>
      <c r="O10" s="159"/>
    </row>
    <row r="11" spans="1:16" x14ac:dyDescent="0.2">
      <c r="A11" s="1705" t="s">
        <v>112</v>
      </c>
      <c r="B11" s="1706"/>
      <c r="C11" s="1706"/>
      <c r="D11" s="1706"/>
      <c r="E11" s="156"/>
      <c r="F11" s="156"/>
      <c r="G11" s="156"/>
      <c r="H11" s="156"/>
      <c r="I11" s="156"/>
      <c r="J11" s="156"/>
      <c r="K11" s="156"/>
      <c r="L11" s="156"/>
      <c r="M11" s="156"/>
      <c r="N11" s="156"/>
      <c r="O11" s="157"/>
    </row>
    <row r="12" spans="1:16" ht="45" x14ac:dyDescent="0.2">
      <c r="A12" s="1719" t="s">
        <v>74</v>
      </c>
      <c r="B12" s="1725" t="s">
        <v>625</v>
      </c>
      <c r="C12" s="537" t="s">
        <v>624</v>
      </c>
      <c r="D12" s="111" t="s">
        <v>75</v>
      </c>
      <c r="E12" s="11"/>
      <c r="F12" s="114" t="s">
        <v>53</v>
      </c>
      <c r="G12" s="54"/>
      <c r="H12" s="96"/>
      <c r="I12" s="54"/>
      <c r="J12" s="54"/>
      <c r="K12" s="54"/>
      <c r="L12" s="54"/>
      <c r="M12" s="54"/>
      <c r="N12" s="54"/>
      <c r="O12" s="54"/>
    </row>
    <row r="13" spans="1:16" ht="38.25" x14ac:dyDescent="0.2">
      <c r="A13" s="1720"/>
      <c r="B13" s="1726"/>
      <c r="C13" s="521"/>
      <c r="D13" s="405" t="s">
        <v>96</v>
      </c>
      <c r="E13" s="47" t="s">
        <v>34</v>
      </c>
      <c r="F13" s="114" t="s">
        <v>53</v>
      </c>
      <c r="G13" s="144">
        <v>2</v>
      </c>
      <c r="H13" s="123">
        <v>15000</v>
      </c>
      <c r="I13" s="144">
        <v>1</v>
      </c>
      <c r="J13" s="145">
        <f>G13*H13*I13</f>
        <v>30000</v>
      </c>
      <c r="K13" s="149">
        <v>0.15</v>
      </c>
      <c r="L13" s="150">
        <f>J13*K13</f>
        <v>4500</v>
      </c>
      <c r="M13" s="150">
        <v>31628</v>
      </c>
      <c r="N13" s="547">
        <f>M13/J13</f>
        <v>1.0542666666666667</v>
      </c>
      <c r="O13" s="147"/>
    </row>
    <row r="14" spans="1:16" ht="25.5" x14ac:dyDescent="0.2">
      <c r="A14" s="1720"/>
      <c r="B14" s="1726"/>
      <c r="C14" s="521"/>
      <c r="D14" s="403" t="s">
        <v>62</v>
      </c>
      <c r="E14" s="47" t="s">
        <v>34</v>
      </c>
      <c r="F14" s="114" t="s">
        <v>53</v>
      </c>
      <c r="G14" s="144">
        <v>1</v>
      </c>
      <c r="H14" s="123">
        <v>2650</v>
      </c>
      <c r="I14" s="144">
        <v>12</v>
      </c>
      <c r="J14" s="145">
        <f t="shared" ref="J14:J15" si="0">G14*H14*I14</f>
        <v>31800</v>
      </c>
      <c r="K14" s="149">
        <v>0.4</v>
      </c>
      <c r="L14" s="150">
        <f t="shared" ref="L14:L15" si="1">J14*K14</f>
        <v>12720</v>
      </c>
      <c r="M14" s="150">
        <v>30870</v>
      </c>
      <c r="N14" s="547">
        <f t="shared" ref="N14:N15" si="2">M14/J14</f>
        <v>0.97075471698113203</v>
      </c>
      <c r="O14" s="147"/>
    </row>
    <row r="15" spans="1:16" ht="25.5" x14ac:dyDescent="0.2">
      <c r="A15" s="1720"/>
      <c r="B15" s="1726"/>
      <c r="C15" s="521"/>
      <c r="D15" s="403" t="s">
        <v>63</v>
      </c>
      <c r="E15" s="47" t="s">
        <v>34</v>
      </c>
      <c r="F15" s="114" t="s">
        <v>53</v>
      </c>
      <c r="G15" s="144">
        <v>1</v>
      </c>
      <c r="H15" s="123">
        <v>15000</v>
      </c>
      <c r="I15" s="144">
        <v>1</v>
      </c>
      <c r="J15" s="145">
        <f t="shared" si="0"/>
        <v>15000</v>
      </c>
      <c r="K15" s="149">
        <f>0.4</f>
        <v>0.4</v>
      </c>
      <c r="L15" s="150">
        <f t="shared" si="1"/>
        <v>6000</v>
      </c>
      <c r="M15" s="150">
        <v>14280</v>
      </c>
      <c r="N15" s="547">
        <f t="shared" si="2"/>
        <v>0.95199999999999996</v>
      </c>
      <c r="O15" s="147"/>
    </row>
    <row r="16" spans="1:16" ht="15" x14ac:dyDescent="0.2">
      <c r="A16" s="1721"/>
      <c r="B16" s="527"/>
      <c r="C16" s="531"/>
      <c r="D16" s="13"/>
      <c r="E16" s="13"/>
      <c r="F16" s="14" t="s">
        <v>0</v>
      </c>
      <c r="G16" s="14"/>
      <c r="H16" s="14"/>
      <c r="I16" s="14"/>
      <c r="J16" s="55">
        <f>SUM(J13:J15)</f>
        <v>76800</v>
      </c>
      <c r="K16" s="55"/>
      <c r="L16" s="55">
        <f>SUM(L13:L15)</f>
        <v>23220</v>
      </c>
      <c r="M16" s="55">
        <f>SUM(M13:M15)</f>
        <v>76778</v>
      </c>
      <c r="N16" s="151">
        <f>M16/J16</f>
        <v>0.99971354166666671</v>
      </c>
      <c r="O16" s="55"/>
      <c r="P16" s="573"/>
    </row>
    <row r="17" spans="1:16" ht="30" x14ac:dyDescent="0.2">
      <c r="A17" s="1722" t="s">
        <v>103</v>
      </c>
      <c r="B17" s="1727" t="s">
        <v>626</v>
      </c>
      <c r="C17" s="535" t="s">
        <v>634</v>
      </c>
      <c r="D17" s="111" t="s">
        <v>76</v>
      </c>
      <c r="E17" s="47"/>
      <c r="F17" s="114" t="s">
        <v>53</v>
      </c>
      <c r="G17" s="57"/>
      <c r="H17" s="97"/>
      <c r="I17" s="57"/>
      <c r="J17" s="98"/>
      <c r="K17" s="58"/>
      <c r="L17" s="58"/>
      <c r="M17" s="58"/>
      <c r="N17" s="58"/>
      <c r="O17" s="147"/>
    </row>
    <row r="18" spans="1:16" x14ac:dyDescent="0.2">
      <c r="A18" s="1723"/>
      <c r="B18" s="1726"/>
      <c r="C18" s="523"/>
      <c r="D18" s="403" t="s">
        <v>107</v>
      </c>
      <c r="E18" s="47" t="s">
        <v>12</v>
      </c>
      <c r="F18" s="114" t="s">
        <v>53</v>
      </c>
      <c r="G18" s="120">
        <v>1</v>
      </c>
      <c r="H18" s="121">
        <v>104</v>
      </c>
      <c r="I18" s="120">
        <v>1</v>
      </c>
      <c r="J18" s="122">
        <f>G18*H18*I18</f>
        <v>104</v>
      </c>
      <c r="K18" s="58"/>
      <c r="L18" s="58"/>
      <c r="M18" s="160"/>
      <c r="N18" s="160"/>
      <c r="O18" s="58"/>
    </row>
    <row r="19" spans="1:16" x14ac:dyDescent="0.2">
      <c r="A19" s="1723"/>
      <c r="B19" s="1726"/>
      <c r="C19" s="523"/>
      <c r="D19" s="403" t="s">
        <v>104</v>
      </c>
      <c r="E19" s="47" t="s">
        <v>12</v>
      </c>
      <c r="F19" s="114" t="s">
        <v>53</v>
      </c>
      <c r="G19" s="161">
        <f>46</f>
        <v>46</v>
      </c>
      <c r="H19" s="121">
        <v>4</v>
      </c>
      <c r="I19" s="120">
        <v>1</v>
      </c>
      <c r="J19" s="122">
        <f t="shared" ref="J19:J29" si="3">G19*H19*I19</f>
        <v>184</v>
      </c>
      <c r="K19" s="58"/>
      <c r="L19" s="58"/>
      <c r="M19" s="160"/>
      <c r="N19" s="160"/>
      <c r="O19" s="58"/>
    </row>
    <row r="20" spans="1:16" x14ac:dyDescent="0.2">
      <c r="A20" s="1723"/>
      <c r="B20" s="1726"/>
      <c r="C20" s="523"/>
      <c r="D20" s="403" t="s">
        <v>98</v>
      </c>
      <c r="E20" s="47" t="s">
        <v>12</v>
      </c>
      <c r="F20" s="114" t="s">
        <v>53</v>
      </c>
      <c r="G20" s="120">
        <v>1</v>
      </c>
      <c r="H20" s="121">
        <v>75</v>
      </c>
      <c r="I20" s="120">
        <v>1</v>
      </c>
      <c r="J20" s="122">
        <f t="shared" si="3"/>
        <v>75</v>
      </c>
      <c r="K20" s="58"/>
      <c r="L20" s="58"/>
      <c r="M20" s="160"/>
      <c r="N20" s="160"/>
      <c r="O20" s="58"/>
    </row>
    <row r="21" spans="1:16" x14ac:dyDescent="0.2">
      <c r="A21" s="1723"/>
      <c r="B21" s="1726"/>
      <c r="C21" s="523"/>
      <c r="D21" s="403" t="s">
        <v>54</v>
      </c>
      <c r="E21" s="47" t="s">
        <v>13</v>
      </c>
      <c r="F21" s="114" t="s">
        <v>53</v>
      </c>
      <c r="G21" s="120">
        <v>20</v>
      </c>
      <c r="H21" s="121">
        <v>7</v>
      </c>
      <c r="I21" s="120">
        <v>2</v>
      </c>
      <c r="J21" s="122">
        <f t="shared" si="3"/>
        <v>280</v>
      </c>
      <c r="K21" s="58"/>
      <c r="L21" s="58"/>
      <c r="M21" s="160"/>
      <c r="N21" s="160"/>
      <c r="O21" s="58"/>
    </row>
    <row r="22" spans="1:16" x14ac:dyDescent="0.2">
      <c r="A22" s="1723"/>
      <c r="B22" s="1726"/>
      <c r="C22" s="523"/>
      <c r="D22" s="403" t="s">
        <v>105</v>
      </c>
      <c r="E22" s="47" t="s">
        <v>13</v>
      </c>
      <c r="F22" s="114" t="s">
        <v>53</v>
      </c>
      <c r="G22" s="120">
        <v>22</v>
      </c>
      <c r="H22" s="121">
        <v>20</v>
      </c>
      <c r="I22" s="120">
        <v>2</v>
      </c>
      <c r="J22" s="122">
        <f t="shared" si="3"/>
        <v>880</v>
      </c>
      <c r="K22" s="58"/>
      <c r="L22" s="58"/>
      <c r="M22" s="160"/>
      <c r="N22" s="160"/>
      <c r="O22" s="58"/>
    </row>
    <row r="23" spans="1:16" x14ac:dyDescent="0.2">
      <c r="A23" s="1723"/>
      <c r="B23" s="1726"/>
      <c r="C23" s="523"/>
      <c r="D23" s="403" t="s">
        <v>106</v>
      </c>
      <c r="E23" s="47" t="s">
        <v>13</v>
      </c>
      <c r="F23" s="114" t="s">
        <v>53</v>
      </c>
      <c r="G23" s="120">
        <v>2</v>
      </c>
      <c r="H23" s="121">
        <v>25</v>
      </c>
      <c r="I23" s="120">
        <v>2</v>
      </c>
      <c r="J23" s="122">
        <f t="shared" si="3"/>
        <v>100</v>
      </c>
      <c r="K23" s="58"/>
      <c r="L23" s="58"/>
      <c r="M23" s="160"/>
      <c r="N23" s="160"/>
      <c r="O23" s="58"/>
    </row>
    <row r="24" spans="1:16" x14ac:dyDescent="0.2">
      <c r="A24" s="1723"/>
      <c r="B24" s="1726"/>
      <c r="C24" s="523"/>
      <c r="D24" s="403" t="s">
        <v>55</v>
      </c>
      <c r="E24" s="47" t="s">
        <v>13</v>
      </c>
      <c r="F24" s="114" t="s">
        <v>53</v>
      </c>
      <c r="G24" s="120">
        <v>24</v>
      </c>
      <c r="H24" s="121">
        <v>25</v>
      </c>
      <c r="I24" s="120">
        <v>3</v>
      </c>
      <c r="J24" s="122">
        <f t="shared" si="3"/>
        <v>1800</v>
      </c>
      <c r="K24" s="58"/>
      <c r="L24" s="58"/>
      <c r="M24" s="160"/>
      <c r="N24" s="160"/>
      <c r="O24" s="58"/>
    </row>
    <row r="25" spans="1:16" x14ac:dyDescent="0.2">
      <c r="A25" s="1723"/>
      <c r="B25" s="1726"/>
      <c r="C25" s="523"/>
      <c r="D25" s="403" t="s">
        <v>56</v>
      </c>
      <c r="E25" s="47" t="s">
        <v>13</v>
      </c>
      <c r="F25" s="114" t="s">
        <v>53</v>
      </c>
      <c r="G25" s="120">
        <v>24</v>
      </c>
      <c r="H25" s="121">
        <v>6</v>
      </c>
      <c r="I25" s="120">
        <v>3</v>
      </c>
      <c r="J25" s="122">
        <f t="shared" si="3"/>
        <v>432</v>
      </c>
      <c r="K25" s="58"/>
      <c r="L25" s="58"/>
      <c r="M25" s="160"/>
      <c r="N25" s="160"/>
      <c r="O25" s="58"/>
    </row>
    <row r="26" spans="1:16" x14ac:dyDescent="0.2">
      <c r="A26" s="1723"/>
      <c r="B26" s="1726"/>
      <c r="C26" s="523"/>
      <c r="D26" s="403" t="s">
        <v>99</v>
      </c>
      <c r="E26" s="47" t="s">
        <v>13</v>
      </c>
      <c r="F26" s="114" t="s">
        <v>53</v>
      </c>
      <c r="G26" s="120">
        <v>44</v>
      </c>
      <c r="H26" s="121">
        <v>6</v>
      </c>
      <c r="I26" s="120">
        <v>2</v>
      </c>
      <c r="J26" s="122">
        <f t="shared" si="3"/>
        <v>528</v>
      </c>
      <c r="K26" s="58"/>
      <c r="L26" s="58"/>
      <c r="M26" s="160"/>
      <c r="N26" s="160"/>
      <c r="O26" s="58"/>
    </row>
    <row r="27" spans="1:16" x14ac:dyDescent="0.2">
      <c r="A27" s="1723"/>
      <c r="B27" s="1726"/>
      <c r="C27" s="523"/>
      <c r="D27" s="403" t="s">
        <v>100</v>
      </c>
      <c r="E27" s="47" t="s">
        <v>13</v>
      </c>
      <c r="F27" s="114" t="s">
        <v>53</v>
      </c>
      <c r="G27" s="120">
        <v>44</v>
      </c>
      <c r="H27" s="121">
        <v>3</v>
      </c>
      <c r="I27" s="120">
        <v>2</v>
      </c>
      <c r="J27" s="122">
        <f t="shared" si="3"/>
        <v>264</v>
      </c>
      <c r="K27" s="58"/>
      <c r="L27" s="58"/>
      <c r="M27" s="160"/>
      <c r="N27" s="160"/>
      <c r="O27" s="58"/>
    </row>
    <row r="28" spans="1:16" x14ac:dyDescent="0.2">
      <c r="A28" s="1723"/>
      <c r="B28" s="1726"/>
      <c r="C28" s="523"/>
      <c r="D28" s="403" t="s">
        <v>101</v>
      </c>
      <c r="E28" s="47" t="s">
        <v>13</v>
      </c>
      <c r="F28" s="114" t="s">
        <v>53</v>
      </c>
      <c r="G28" s="120">
        <f>44*2+48+24</f>
        <v>160</v>
      </c>
      <c r="H28" s="121">
        <v>0.5</v>
      </c>
      <c r="I28" s="120">
        <v>1</v>
      </c>
      <c r="J28" s="122">
        <f t="shared" si="3"/>
        <v>80</v>
      </c>
      <c r="K28" s="58"/>
      <c r="L28" s="58"/>
      <c r="M28" s="160"/>
      <c r="N28" s="160"/>
      <c r="O28" s="58"/>
    </row>
    <row r="29" spans="1:16" ht="25.5" x14ac:dyDescent="0.2">
      <c r="A29" s="1723"/>
      <c r="B29" s="1726"/>
      <c r="C29" s="523"/>
      <c r="D29" s="403" t="s">
        <v>61</v>
      </c>
      <c r="E29" s="47" t="s">
        <v>14</v>
      </c>
      <c r="F29" s="114" t="s">
        <v>53</v>
      </c>
      <c r="G29" s="120">
        <v>1</v>
      </c>
      <c r="H29" s="121">
        <v>100</v>
      </c>
      <c r="I29" s="120">
        <v>2</v>
      </c>
      <c r="J29" s="122">
        <f t="shared" si="3"/>
        <v>200</v>
      </c>
      <c r="K29" s="58"/>
      <c r="L29" s="58"/>
      <c r="M29" s="160"/>
      <c r="N29" s="160"/>
      <c r="O29" s="58"/>
    </row>
    <row r="30" spans="1:16" x14ac:dyDescent="0.2">
      <c r="A30" s="1723"/>
      <c r="B30" s="1726"/>
      <c r="C30" s="523"/>
      <c r="D30" s="403" t="s">
        <v>102</v>
      </c>
      <c r="E30" s="47" t="s">
        <v>13</v>
      </c>
      <c r="F30" s="114" t="s">
        <v>53</v>
      </c>
      <c r="G30" s="120">
        <v>24</v>
      </c>
      <c r="H30" s="121">
        <v>17</v>
      </c>
      <c r="I30" s="120">
        <v>3</v>
      </c>
      <c r="J30" s="122">
        <f>G30*H30*I30</f>
        <v>1224</v>
      </c>
      <c r="K30" s="160"/>
      <c r="L30" s="58"/>
      <c r="M30" s="160"/>
      <c r="N30" s="160"/>
      <c r="O30" s="58"/>
    </row>
    <row r="31" spans="1:16" x14ac:dyDescent="0.2">
      <c r="A31" s="1723"/>
      <c r="B31" s="1726"/>
      <c r="C31" s="523"/>
      <c r="D31" s="403" t="s">
        <v>120</v>
      </c>
      <c r="E31" s="47" t="s">
        <v>13</v>
      </c>
      <c r="F31" s="114" t="s">
        <v>53</v>
      </c>
      <c r="G31" s="120">
        <v>1</v>
      </c>
      <c r="H31" s="121">
        <v>141</v>
      </c>
      <c r="I31" s="120">
        <v>7</v>
      </c>
      <c r="J31" s="122">
        <f>G31*H31*I31</f>
        <v>987</v>
      </c>
      <c r="K31" s="160"/>
      <c r="L31" s="58"/>
      <c r="M31" s="160"/>
      <c r="N31" s="160"/>
      <c r="O31" s="58"/>
    </row>
    <row r="32" spans="1:16" x14ac:dyDescent="0.2">
      <c r="A32" s="1723"/>
      <c r="B32" s="1726"/>
      <c r="C32" s="523"/>
      <c r="D32" s="13"/>
      <c r="E32" s="13"/>
      <c r="F32" s="14" t="s">
        <v>0</v>
      </c>
      <c r="G32" s="14"/>
      <c r="H32" s="14"/>
      <c r="I32" s="14"/>
      <c r="J32" s="55">
        <f>SUM(J18:J31)</f>
        <v>7138</v>
      </c>
      <c r="K32" s="151">
        <v>0.5</v>
      </c>
      <c r="L32" s="55">
        <f>J32*K32</f>
        <v>3569</v>
      </c>
      <c r="M32" s="55">
        <v>6954</v>
      </c>
      <c r="N32" s="151">
        <f>M32/J32</f>
        <v>0.97422247128047068</v>
      </c>
      <c r="O32" s="55"/>
      <c r="P32" s="573"/>
    </row>
    <row r="33" spans="1:16" ht="30" x14ac:dyDescent="0.2">
      <c r="A33" s="1723"/>
      <c r="B33" s="1726"/>
      <c r="C33" s="523"/>
      <c r="D33" s="111" t="s">
        <v>88</v>
      </c>
      <c r="E33" s="47"/>
      <c r="F33" s="62" t="s">
        <v>53</v>
      </c>
      <c r="G33" s="57"/>
      <c r="H33" s="97"/>
      <c r="I33" s="57"/>
      <c r="J33" s="98"/>
      <c r="K33" s="58"/>
      <c r="L33" s="58"/>
      <c r="M33" s="58"/>
      <c r="N33" s="58"/>
      <c r="O33" s="147"/>
    </row>
    <row r="34" spans="1:16" ht="25.5" x14ac:dyDescent="0.2">
      <c r="A34" s="1723"/>
      <c r="B34" s="1726"/>
      <c r="C34" s="523"/>
      <c r="D34" s="403" t="s">
        <v>97</v>
      </c>
      <c r="E34" s="47" t="s">
        <v>14</v>
      </c>
      <c r="F34" s="62" t="s">
        <v>53</v>
      </c>
      <c r="G34" s="120">
        <v>1</v>
      </c>
      <c r="H34" s="121">
        <v>104</v>
      </c>
      <c r="I34" s="115">
        <v>2</v>
      </c>
      <c r="J34" s="116">
        <f>G34*H34*I34</f>
        <v>208</v>
      </c>
      <c r="K34" s="58"/>
      <c r="L34" s="58"/>
      <c r="M34" s="160"/>
      <c r="N34" s="160"/>
      <c r="O34" s="58"/>
    </row>
    <row r="35" spans="1:16" x14ac:dyDescent="0.2">
      <c r="A35" s="1723"/>
      <c r="B35" s="1726"/>
      <c r="C35" s="523"/>
      <c r="D35" s="403" t="s">
        <v>109</v>
      </c>
      <c r="E35" s="47" t="s">
        <v>12</v>
      </c>
      <c r="F35" s="62" t="s">
        <v>53</v>
      </c>
      <c r="G35" s="161">
        <f>46</f>
        <v>46</v>
      </c>
      <c r="H35" s="121">
        <v>4</v>
      </c>
      <c r="I35" s="115">
        <v>2</v>
      </c>
      <c r="J35" s="116">
        <f t="shared" ref="J35:J46" si="4">G35*H35*I35</f>
        <v>368</v>
      </c>
      <c r="K35" s="58"/>
      <c r="L35" s="58"/>
      <c r="M35" s="160"/>
      <c r="N35" s="160"/>
      <c r="O35" s="58"/>
    </row>
    <row r="36" spans="1:16" x14ac:dyDescent="0.2">
      <c r="A36" s="1723"/>
      <c r="B36" s="1726"/>
      <c r="C36" s="523"/>
      <c r="D36" s="403" t="s">
        <v>98</v>
      </c>
      <c r="E36" s="47" t="s">
        <v>12</v>
      </c>
      <c r="F36" s="62" t="s">
        <v>53</v>
      </c>
      <c r="G36" s="120">
        <v>1</v>
      </c>
      <c r="H36" s="121">
        <v>75</v>
      </c>
      <c r="I36" s="115">
        <v>2</v>
      </c>
      <c r="J36" s="116">
        <f t="shared" si="4"/>
        <v>150</v>
      </c>
      <c r="K36" s="58"/>
      <c r="L36" s="58"/>
      <c r="M36" s="160"/>
      <c r="N36" s="160"/>
      <c r="O36" s="58"/>
    </row>
    <row r="37" spans="1:16" x14ac:dyDescent="0.2">
      <c r="A37" s="1723"/>
      <c r="B37" s="1726"/>
      <c r="C37" s="523"/>
      <c r="D37" s="403" t="s">
        <v>54</v>
      </c>
      <c r="E37" s="47" t="s">
        <v>13</v>
      </c>
      <c r="F37" s="62" t="s">
        <v>53</v>
      </c>
      <c r="G37" s="120">
        <v>20</v>
      </c>
      <c r="H37" s="121">
        <v>7</v>
      </c>
      <c r="I37" s="115">
        <v>4</v>
      </c>
      <c r="J37" s="116">
        <f t="shared" si="4"/>
        <v>560</v>
      </c>
      <c r="K37" s="58"/>
      <c r="L37" s="58"/>
      <c r="M37" s="160"/>
      <c r="N37" s="160"/>
      <c r="O37" s="58"/>
    </row>
    <row r="38" spans="1:16" x14ac:dyDescent="0.2">
      <c r="A38" s="1723"/>
      <c r="B38" s="1726"/>
      <c r="C38" s="523"/>
      <c r="D38" s="403" t="s">
        <v>105</v>
      </c>
      <c r="E38" s="47" t="s">
        <v>13</v>
      </c>
      <c r="F38" s="62" t="s">
        <v>53</v>
      </c>
      <c r="G38" s="120">
        <v>22</v>
      </c>
      <c r="H38" s="121">
        <v>20</v>
      </c>
      <c r="I38" s="115">
        <v>4</v>
      </c>
      <c r="J38" s="116">
        <f t="shared" si="4"/>
        <v>1760</v>
      </c>
      <c r="K38" s="58"/>
      <c r="L38" s="58"/>
      <c r="M38" s="160"/>
      <c r="N38" s="160"/>
      <c r="O38" s="58"/>
    </row>
    <row r="39" spans="1:16" x14ac:dyDescent="0.2">
      <c r="A39" s="1723"/>
      <c r="B39" s="1726"/>
      <c r="C39" s="523"/>
      <c r="D39" s="403" t="s">
        <v>106</v>
      </c>
      <c r="E39" s="47" t="s">
        <v>13</v>
      </c>
      <c r="F39" s="62" t="s">
        <v>53</v>
      </c>
      <c r="G39" s="120">
        <v>2</v>
      </c>
      <c r="H39" s="121">
        <v>25</v>
      </c>
      <c r="I39" s="115">
        <v>4</v>
      </c>
      <c r="J39" s="116">
        <f t="shared" si="4"/>
        <v>200</v>
      </c>
      <c r="K39" s="58"/>
      <c r="L39" s="58"/>
      <c r="M39" s="160"/>
      <c r="N39" s="160"/>
      <c r="O39" s="58"/>
    </row>
    <row r="40" spans="1:16" x14ac:dyDescent="0.2">
      <c r="A40" s="1723"/>
      <c r="B40" s="1726"/>
      <c r="C40" s="523"/>
      <c r="D40" s="403" t="s">
        <v>55</v>
      </c>
      <c r="E40" s="47" t="s">
        <v>13</v>
      </c>
      <c r="F40" s="62" t="s">
        <v>53</v>
      </c>
      <c r="G40" s="120">
        <v>24</v>
      </c>
      <c r="H40" s="121">
        <v>25</v>
      </c>
      <c r="I40" s="115">
        <v>6</v>
      </c>
      <c r="J40" s="116">
        <f t="shared" si="4"/>
        <v>3600</v>
      </c>
      <c r="K40" s="58"/>
      <c r="L40" s="58"/>
      <c r="M40" s="160"/>
      <c r="N40" s="160"/>
      <c r="O40" s="58"/>
    </row>
    <row r="41" spans="1:16" x14ac:dyDescent="0.2">
      <c r="A41" s="1723"/>
      <c r="B41" s="1726"/>
      <c r="C41" s="523"/>
      <c r="D41" s="403" t="s">
        <v>56</v>
      </c>
      <c r="E41" s="47" t="s">
        <v>13</v>
      </c>
      <c r="F41" s="62" t="s">
        <v>53</v>
      </c>
      <c r="G41" s="120">
        <v>24</v>
      </c>
      <c r="H41" s="121">
        <v>6</v>
      </c>
      <c r="I41" s="115">
        <v>6</v>
      </c>
      <c r="J41" s="116">
        <f t="shared" si="4"/>
        <v>864</v>
      </c>
      <c r="K41" s="58"/>
      <c r="L41" s="58"/>
      <c r="M41" s="160"/>
      <c r="N41" s="160"/>
      <c r="O41" s="58"/>
    </row>
    <row r="42" spans="1:16" x14ac:dyDescent="0.2">
      <c r="A42" s="1723"/>
      <c r="B42" s="1726"/>
      <c r="C42" s="523"/>
      <c r="D42" s="403" t="s">
        <v>99</v>
      </c>
      <c r="E42" s="47" t="s">
        <v>13</v>
      </c>
      <c r="F42" s="62" t="s">
        <v>53</v>
      </c>
      <c r="G42" s="120">
        <v>44</v>
      </c>
      <c r="H42" s="121">
        <v>6</v>
      </c>
      <c r="I42" s="115">
        <v>4</v>
      </c>
      <c r="J42" s="116">
        <f t="shared" si="4"/>
        <v>1056</v>
      </c>
      <c r="K42" s="58"/>
      <c r="L42" s="58"/>
      <c r="M42" s="160"/>
      <c r="N42" s="160"/>
      <c r="O42" s="58"/>
    </row>
    <row r="43" spans="1:16" x14ac:dyDescent="0.2">
      <c r="A43" s="1723"/>
      <c r="B43" s="1726"/>
      <c r="C43" s="523"/>
      <c r="D43" s="403" t="s">
        <v>100</v>
      </c>
      <c r="E43" s="47" t="s">
        <v>13</v>
      </c>
      <c r="F43" s="62" t="s">
        <v>53</v>
      </c>
      <c r="G43" s="120">
        <v>44</v>
      </c>
      <c r="H43" s="121">
        <v>3</v>
      </c>
      <c r="I43" s="115">
        <v>4</v>
      </c>
      <c r="J43" s="116">
        <f t="shared" si="4"/>
        <v>528</v>
      </c>
      <c r="K43" s="58"/>
      <c r="L43" s="58"/>
      <c r="M43" s="160"/>
      <c r="N43" s="160"/>
      <c r="O43" s="58"/>
    </row>
    <row r="44" spans="1:16" x14ac:dyDescent="0.2">
      <c r="A44" s="1723"/>
      <c r="B44" s="1726"/>
      <c r="C44" s="523"/>
      <c r="D44" s="403" t="s">
        <v>101</v>
      </c>
      <c r="E44" s="47" t="s">
        <v>13</v>
      </c>
      <c r="F44" s="62" t="s">
        <v>53</v>
      </c>
      <c r="G44" s="120">
        <f>44*2+48+24</f>
        <v>160</v>
      </c>
      <c r="H44" s="121">
        <v>0.5</v>
      </c>
      <c r="I44" s="115">
        <v>2</v>
      </c>
      <c r="J44" s="116">
        <f t="shared" si="4"/>
        <v>160</v>
      </c>
      <c r="K44" s="58"/>
      <c r="L44" s="58"/>
      <c r="M44" s="160"/>
      <c r="N44" s="160"/>
      <c r="O44" s="58"/>
    </row>
    <row r="45" spans="1:16" ht="25.5" x14ac:dyDescent="0.2">
      <c r="A45" s="1723"/>
      <c r="B45" s="1726"/>
      <c r="C45" s="523"/>
      <c r="D45" s="403" t="s">
        <v>61</v>
      </c>
      <c r="E45" s="47" t="s">
        <v>14</v>
      </c>
      <c r="F45" s="62" t="s">
        <v>53</v>
      </c>
      <c r="G45" s="120">
        <v>1</v>
      </c>
      <c r="H45" s="121">
        <v>100</v>
      </c>
      <c r="I45" s="115">
        <v>4</v>
      </c>
      <c r="J45" s="116">
        <f t="shared" si="4"/>
        <v>400</v>
      </c>
      <c r="K45" s="58"/>
      <c r="L45" s="58"/>
      <c r="M45" s="160"/>
      <c r="N45" s="160"/>
      <c r="O45" s="58"/>
    </row>
    <row r="46" spans="1:16" x14ac:dyDescent="0.2">
      <c r="A46" s="1723"/>
      <c r="B46" s="1726"/>
      <c r="C46" s="523"/>
      <c r="D46" s="403" t="s">
        <v>102</v>
      </c>
      <c r="E46" s="47" t="s">
        <v>13</v>
      </c>
      <c r="F46" s="62" t="s">
        <v>53</v>
      </c>
      <c r="G46" s="120">
        <v>24</v>
      </c>
      <c r="H46" s="121">
        <v>17</v>
      </c>
      <c r="I46" s="115">
        <v>6</v>
      </c>
      <c r="J46" s="116">
        <f t="shared" si="4"/>
        <v>2448</v>
      </c>
      <c r="K46" s="58"/>
      <c r="L46" s="58"/>
      <c r="M46" s="160"/>
      <c r="N46" s="160"/>
      <c r="O46" s="58"/>
    </row>
    <row r="47" spans="1:16" x14ac:dyDescent="0.2">
      <c r="A47" s="1723"/>
      <c r="B47" s="1726"/>
      <c r="C47" s="523"/>
      <c r="D47" s="403" t="s">
        <v>120</v>
      </c>
      <c r="E47" s="47" t="s">
        <v>13</v>
      </c>
      <c r="F47" s="62" t="s">
        <v>53</v>
      </c>
      <c r="G47" s="120">
        <v>1</v>
      </c>
      <c r="H47" s="121">
        <v>141</v>
      </c>
      <c r="I47" s="120">
        <v>14</v>
      </c>
      <c r="J47" s="122">
        <f>G47*H47*I47</f>
        <v>1974</v>
      </c>
      <c r="K47" s="58"/>
      <c r="L47" s="58"/>
      <c r="M47" s="160"/>
      <c r="N47" s="160"/>
      <c r="O47" s="58"/>
    </row>
    <row r="48" spans="1:16" x14ac:dyDescent="0.2">
      <c r="A48" s="1723"/>
      <c r="B48" s="1726"/>
      <c r="C48" s="523"/>
      <c r="D48" s="13"/>
      <c r="E48" s="13"/>
      <c r="F48" s="13"/>
      <c r="G48" s="14"/>
      <c r="H48" s="14"/>
      <c r="I48" s="14"/>
      <c r="J48" s="55">
        <f>SUM(J34:J47)</f>
        <v>14276</v>
      </c>
      <c r="K48" s="151">
        <v>0.4</v>
      </c>
      <c r="L48" s="55">
        <f>+J48*K48</f>
        <v>5710.4000000000005</v>
      </c>
      <c r="M48" s="55">
        <f>7137+6969</f>
        <v>14106</v>
      </c>
      <c r="N48" s="151">
        <f>M48/J48</f>
        <v>0.98809190249369572</v>
      </c>
      <c r="O48" s="55"/>
      <c r="P48" s="573"/>
    </row>
    <row r="49" spans="1:16" ht="15" x14ac:dyDescent="0.2">
      <c r="A49" s="1723"/>
      <c r="B49" s="1726"/>
      <c r="C49" s="523"/>
      <c r="D49" s="111" t="s">
        <v>77</v>
      </c>
      <c r="E49" s="47"/>
      <c r="F49" s="62" t="s">
        <v>53</v>
      </c>
      <c r="G49" s="57"/>
      <c r="H49" s="97"/>
      <c r="I49" s="57"/>
      <c r="J49" s="98"/>
      <c r="K49" s="58"/>
      <c r="L49" s="58"/>
      <c r="M49" s="58"/>
      <c r="N49" s="58"/>
      <c r="O49" s="146"/>
    </row>
    <row r="50" spans="1:16" ht="25.5" x14ac:dyDescent="0.2">
      <c r="A50" s="1723"/>
      <c r="B50" s="1726"/>
      <c r="C50" s="523"/>
      <c r="D50" s="402" t="s">
        <v>107</v>
      </c>
      <c r="E50" s="113" t="s">
        <v>14</v>
      </c>
      <c r="F50" s="62" t="s">
        <v>53</v>
      </c>
      <c r="G50" s="124">
        <v>1</v>
      </c>
      <c r="H50" s="126">
        <v>92</v>
      </c>
      <c r="I50" s="124">
        <v>1</v>
      </c>
      <c r="J50" s="125">
        <f>G50*H50*I50</f>
        <v>92</v>
      </c>
      <c r="K50" s="58"/>
      <c r="L50" s="58"/>
      <c r="M50" s="160"/>
      <c r="N50" s="160"/>
      <c r="O50" s="58"/>
    </row>
    <row r="51" spans="1:16" x14ac:dyDescent="0.2">
      <c r="A51" s="1723"/>
      <c r="B51" s="1726"/>
      <c r="C51" s="523"/>
      <c r="D51" s="403" t="s">
        <v>104</v>
      </c>
      <c r="E51" s="47" t="s">
        <v>12</v>
      </c>
      <c r="F51" s="62" t="s">
        <v>53</v>
      </c>
      <c r="G51" s="142">
        <f>7+25+2</f>
        <v>34</v>
      </c>
      <c r="H51" s="126">
        <v>4</v>
      </c>
      <c r="I51" s="124">
        <v>1</v>
      </c>
      <c r="J51" s="125">
        <f t="shared" ref="J51:J61" si="5">G51*H51*I51</f>
        <v>136</v>
      </c>
      <c r="K51" s="58"/>
      <c r="L51" s="58"/>
      <c r="M51" s="160"/>
      <c r="N51" s="160"/>
      <c r="O51" s="58"/>
    </row>
    <row r="52" spans="1:16" x14ac:dyDescent="0.2">
      <c r="A52" s="1723"/>
      <c r="B52" s="1726"/>
      <c r="C52" s="523"/>
      <c r="D52" s="403" t="s">
        <v>98</v>
      </c>
      <c r="E52" s="47" t="s">
        <v>12</v>
      </c>
      <c r="F52" s="62" t="s">
        <v>53</v>
      </c>
      <c r="G52" s="124">
        <v>1</v>
      </c>
      <c r="H52" s="126">
        <v>75</v>
      </c>
      <c r="I52" s="124">
        <v>1</v>
      </c>
      <c r="J52" s="125">
        <f t="shared" si="5"/>
        <v>75</v>
      </c>
      <c r="K52" s="58"/>
      <c r="L52" s="58"/>
      <c r="M52" s="160"/>
      <c r="N52" s="160"/>
      <c r="O52" s="58"/>
    </row>
    <row r="53" spans="1:16" x14ac:dyDescent="0.2">
      <c r="A53" s="1723"/>
      <c r="B53" s="1726"/>
      <c r="C53" s="523"/>
      <c r="D53" s="403" t="s">
        <v>54</v>
      </c>
      <c r="E53" s="47" t="s">
        <v>13</v>
      </c>
      <c r="F53" s="62" t="s">
        <v>53</v>
      </c>
      <c r="G53" s="124">
        <v>7</v>
      </c>
      <c r="H53" s="126">
        <v>7</v>
      </c>
      <c r="I53" s="124">
        <v>2</v>
      </c>
      <c r="J53" s="125">
        <f t="shared" si="5"/>
        <v>98</v>
      </c>
      <c r="K53" s="58"/>
      <c r="L53" s="58"/>
      <c r="M53" s="160"/>
      <c r="N53" s="160"/>
      <c r="O53" s="58"/>
    </row>
    <row r="54" spans="1:16" x14ac:dyDescent="0.2">
      <c r="A54" s="1723"/>
      <c r="B54" s="1726"/>
      <c r="C54" s="523"/>
      <c r="D54" s="403" t="s">
        <v>108</v>
      </c>
      <c r="E54" s="47" t="s">
        <v>13</v>
      </c>
      <c r="F54" s="62" t="s">
        <v>53</v>
      </c>
      <c r="G54" s="124">
        <v>25</v>
      </c>
      <c r="H54" s="126">
        <v>20</v>
      </c>
      <c r="I54" s="124">
        <v>2</v>
      </c>
      <c r="J54" s="125">
        <f t="shared" si="5"/>
        <v>1000</v>
      </c>
      <c r="K54" s="58"/>
      <c r="L54" s="58"/>
      <c r="M54" s="160"/>
      <c r="N54" s="160"/>
      <c r="O54" s="58"/>
    </row>
    <row r="55" spans="1:16" x14ac:dyDescent="0.2">
      <c r="A55" s="1723"/>
      <c r="B55" s="1726"/>
      <c r="C55" s="523"/>
      <c r="D55" s="403" t="s">
        <v>55</v>
      </c>
      <c r="E55" s="47" t="s">
        <v>13</v>
      </c>
      <c r="F55" s="62" t="s">
        <v>53</v>
      </c>
      <c r="G55" s="124">
        <v>25</v>
      </c>
      <c r="H55" s="126">
        <v>25</v>
      </c>
      <c r="I55" s="124">
        <v>3</v>
      </c>
      <c r="J55" s="125">
        <f t="shared" si="5"/>
        <v>1875</v>
      </c>
      <c r="K55" s="58"/>
      <c r="L55" s="58"/>
      <c r="M55" s="160"/>
      <c r="N55" s="160"/>
      <c r="O55" s="58"/>
    </row>
    <row r="56" spans="1:16" x14ac:dyDescent="0.2">
      <c r="A56" s="1723"/>
      <c r="B56" s="1726"/>
      <c r="C56" s="523"/>
      <c r="D56" s="403" t="s">
        <v>56</v>
      </c>
      <c r="E56" s="47" t="s">
        <v>13</v>
      </c>
      <c r="F56" s="62" t="s">
        <v>53</v>
      </c>
      <c r="G56" s="124">
        <v>25</v>
      </c>
      <c r="H56" s="126">
        <v>6</v>
      </c>
      <c r="I56" s="124">
        <v>3</v>
      </c>
      <c r="J56" s="125">
        <f t="shared" si="5"/>
        <v>450</v>
      </c>
      <c r="K56" s="58"/>
      <c r="L56" s="58"/>
      <c r="M56" s="160"/>
      <c r="N56" s="160"/>
      <c r="O56" s="58"/>
    </row>
    <row r="57" spans="1:16" x14ac:dyDescent="0.2">
      <c r="A57" s="1723"/>
      <c r="B57" s="1726"/>
      <c r="C57" s="523"/>
      <c r="D57" s="403" t="s">
        <v>99</v>
      </c>
      <c r="E57" s="47" t="s">
        <v>13</v>
      </c>
      <c r="F57" s="62" t="s">
        <v>53</v>
      </c>
      <c r="G57" s="124">
        <v>32</v>
      </c>
      <c r="H57" s="126">
        <v>6</v>
      </c>
      <c r="I57" s="124">
        <v>2</v>
      </c>
      <c r="J57" s="125">
        <f t="shared" si="5"/>
        <v>384</v>
      </c>
      <c r="K57" s="58"/>
      <c r="L57" s="58"/>
      <c r="M57" s="160"/>
      <c r="N57" s="160"/>
      <c r="O57" s="58"/>
    </row>
    <row r="58" spans="1:16" x14ac:dyDescent="0.2">
      <c r="A58" s="1723"/>
      <c r="B58" s="1726"/>
      <c r="C58" s="523"/>
      <c r="D58" s="403" t="s">
        <v>100</v>
      </c>
      <c r="E58" s="47" t="s">
        <v>13</v>
      </c>
      <c r="F58" s="62" t="s">
        <v>53</v>
      </c>
      <c r="G58" s="124">
        <v>32</v>
      </c>
      <c r="H58" s="126">
        <v>6</v>
      </c>
      <c r="I58" s="124">
        <v>2</v>
      </c>
      <c r="J58" s="125">
        <f t="shared" si="5"/>
        <v>384</v>
      </c>
      <c r="K58" s="58"/>
      <c r="L58" s="58"/>
      <c r="M58" s="160"/>
      <c r="N58" s="160"/>
      <c r="O58" s="58"/>
    </row>
    <row r="59" spans="1:16" x14ac:dyDescent="0.2">
      <c r="A59" s="1723"/>
      <c r="B59" s="1726"/>
      <c r="C59" s="523"/>
      <c r="D59" s="403" t="s">
        <v>101</v>
      </c>
      <c r="E59" s="47" t="s">
        <v>13</v>
      </c>
      <c r="F59" s="62" t="s">
        <v>53</v>
      </c>
      <c r="G59" s="124">
        <v>140</v>
      </c>
      <c r="H59" s="126">
        <v>0.5</v>
      </c>
      <c r="I59" s="124">
        <v>1</v>
      </c>
      <c r="J59" s="125">
        <f t="shared" si="5"/>
        <v>70</v>
      </c>
      <c r="K59" s="58"/>
      <c r="L59" s="58"/>
      <c r="M59" s="160"/>
      <c r="N59" s="160"/>
      <c r="O59" s="58"/>
    </row>
    <row r="60" spans="1:16" ht="25.5" x14ac:dyDescent="0.2">
      <c r="A60" s="1723"/>
      <c r="B60" s="1726"/>
      <c r="C60" s="523"/>
      <c r="D60" s="403" t="s">
        <v>61</v>
      </c>
      <c r="E60" s="47" t="s">
        <v>14</v>
      </c>
      <c r="F60" s="62" t="s">
        <v>53</v>
      </c>
      <c r="G60" s="124">
        <v>1</v>
      </c>
      <c r="H60" s="126">
        <v>100</v>
      </c>
      <c r="I60" s="124">
        <v>2</v>
      </c>
      <c r="J60" s="125">
        <f t="shared" si="5"/>
        <v>200</v>
      </c>
      <c r="K60" s="58"/>
      <c r="L60" s="58"/>
      <c r="M60" s="160"/>
      <c r="N60" s="160"/>
      <c r="O60" s="58"/>
    </row>
    <row r="61" spans="1:16" x14ac:dyDescent="0.2">
      <c r="A61" s="1723"/>
      <c r="B61" s="1726"/>
      <c r="C61" s="523"/>
      <c r="D61" s="403" t="s">
        <v>102</v>
      </c>
      <c r="E61" s="47" t="s">
        <v>13</v>
      </c>
      <c r="F61" s="62" t="s">
        <v>53</v>
      </c>
      <c r="G61" s="124">
        <v>25</v>
      </c>
      <c r="H61" s="126">
        <v>17</v>
      </c>
      <c r="I61" s="142">
        <v>3</v>
      </c>
      <c r="J61" s="125">
        <f t="shared" si="5"/>
        <v>1275</v>
      </c>
      <c r="K61" s="58"/>
      <c r="L61" s="58"/>
      <c r="M61" s="160"/>
      <c r="N61" s="160"/>
      <c r="O61" s="58"/>
    </row>
    <row r="62" spans="1:16" x14ac:dyDescent="0.2">
      <c r="A62" s="1723"/>
      <c r="B62" s="1726"/>
      <c r="C62" s="523"/>
      <c r="D62" s="403" t="s">
        <v>120</v>
      </c>
      <c r="E62" s="47" t="s">
        <v>13</v>
      </c>
      <c r="F62" s="62" t="s">
        <v>53</v>
      </c>
      <c r="G62" s="120">
        <v>1</v>
      </c>
      <c r="H62" s="121">
        <v>141</v>
      </c>
      <c r="I62" s="120">
        <v>7</v>
      </c>
      <c r="J62" s="122">
        <f>G62*H62*I62</f>
        <v>987</v>
      </c>
      <c r="K62" s="58"/>
      <c r="L62" s="58"/>
      <c r="M62" s="160"/>
      <c r="N62" s="160"/>
      <c r="O62" s="58"/>
    </row>
    <row r="63" spans="1:16" x14ac:dyDescent="0.2">
      <c r="A63" s="1723"/>
      <c r="B63" s="1726"/>
      <c r="C63" s="523"/>
      <c r="D63" s="13"/>
      <c r="E63" s="13"/>
      <c r="F63" s="14" t="s">
        <v>0</v>
      </c>
      <c r="G63" s="14"/>
      <c r="H63" s="14"/>
      <c r="I63" s="14"/>
      <c r="J63" s="55">
        <f>SUM(J50:J62)</f>
        <v>7026</v>
      </c>
      <c r="K63" s="151">
        <v>0.3</v>
      </c>
      <c r="L63" s="55">
        <f>+J63*K63</f>
        <v>2107.7999999999997</v>
      </c>
      <c r="M63" s="55">
        <f>6834+61.36</f>
        <v>6895.36</v>
      </c>
      <c r="N63" s="151">
        <f>M63/J63</f>
        <v>0.98140620552234548</v>
      </c>
      <c r="O63" s="55"/>
      <c r="P63" s="573"/>
    </row>
    <row r="64" spans="1:16" ht="75" x14ac:dyDescent="0.2">
      <c r="A64" s="1723"/>
      <c r="B64" s="1726"/>
      <c r="C64" s="523"/>
      <c r="D64" s="111" t="s">
        <v>78</v>
      </c>
      <c r="E64" s="47" t="s">
        <v>33</v>
      </c>
      <c r="F64" s="62" t="s">
        <v>53</v>
      </c>
      <c r="G64" s="124">
        <v>1</v>
      </c>
      <c r="H64" s="126">
        <v>7000</v>
      </c>
      <c r="I64" s="124">
        <v>1</v>
      </c>
      <c r="J64" s="125">
        <f>G64*H64*I64</f>
        <v>7000</v>
      </c>
      <c r="K64" s="58"/>
      <c r="L64" s="58"/>
      <c r="M64" s="119">
        <f>4250+2748</f>
        <v>6998</v>
      </c>
      <c r="N64" s="160"/>
      <c r="O64" s="143"/>
    </row>
    <row r="65" spans="1:16" x14ac:dyDescent="0.2">
      <c r="A65" s="1724"/>
      <c r="B65" s="1728"/>
      <c r="C65" s="524"/>
      <c r="D65" s="13"/>
      <c r="E65" s="13"/>
      <c r="F65" s="14" t="s">
        <v>0</v>
      </c>
      <c r="G65" s="14"/>
      <c r="H65" s="14"/>
      <c r="I65" s="14"/>
      <c r="J65" s="55">
        <f>SUM(J64)</f>
        <v>7000</v>
      </c>
      <c r="K65" s="55"/>
      <c r="L65" s="55"/>
      <c r="M65" s="55">
        <f>SUM(M64)</f>
        <v>6998</v>
      </c>
      <c r="N65" s="151">
        <f>M65/J65</f>
        <v>0.99971428571428567</v>
      </c>
      <c r="O65" s="55"/>
      <c r="P65" s="573"/>
    </row>
    <row r="66" spans="1:16" ht="30" x14ac:dyDescent="0.2">
      <c r="A66" s="1709" t="s">
        <v>79</v>
      </c>
      <c r="B66" s="1729" t="s">
        <v>627</v>
      </c>
      <c r="C66" s="536" t="s">
        <v>635</v>
      </c>
      <c r="D66" s="111" t="s">
        <v>80</v>
      </c>
      <c r="E66" s="11"/>
      <c r="F66" s="62" t="s">
        <v>53</v>
      </c>
      <c r="G66" s="57"/>
      <c r="H66" s="57"/>
      <c r="I66" s="57"/>
      <c r="J66" s="58"/>
      <c r="K66" s="58"/>
      <c r="L66" s="518"/>
      <c r="M66" s="518"/>
      <c r="N66" s="518"/>
      <c r="O66" s="58"/>
    </row>
    <row r="67" spans="1:16" ht="63.75" x14ac:dyDescent="0.2">
      <c r="A67" s="1710"/>
      <c r="B67" s="1730"/>
      <c r="C67" s="525"/>
      <c r="D67" s="403" t="s">
        <v>89</v>
      </c>
      <c r="E67" s="11" t="s">
        <v>33</v>
      </c>
      <c r="F67" s="62" t="s">
        <v>53</v>
      </c>
      <c r="G67" s="124">
        <v>1</v>
      </c>
      <c r="H67" s="140">
        <v>2692</v>
      </c>
      <c r="I67" s="124">
        <v>12</v>
      </c>
      <c r="J67" s="125">
        <f>G67*H67*I67</f>
        <v>32304</v>
      </c>
      <c r="K67" s="119">
        <v>2495</v>
      </c>
      <c r="L67" s="119">
        <v>478</v>
      </c>
      <c r="M67" s="119">
        <f>15207.34+14307.17</f>
        <v>29514.510000000002</v>
      </c>
      <c r="N67" s="566">
        <f>M67/J67</f>
        <v>0.91364877414561674</v>
      </c>
      <c r="O67" s="143" t="s">
        <v>644</v>
      </c>
    </row>
    <row r="68" spans="1:16" x14ac:dyDescent="0.2">
      <c r="A68" s="1710"/>
      <c r="B68" s="1730"/>
      <c r="C68" s="525"/>
      <c r="D68" s="13"/>
      <c r="E68" s="13"/>
      <c r="F68" s="12" t="s">
        <v>0</v>
      </c>
      <c r="G68" s="12"/>
      <c r="H68" s="12"/>
      <c r="I68" s="12"/>
      <c r="J68" s="127">
        <f>SUM(J67)</f>
        <v>32304</v>
      </c>
      <c r="K68" s="129"/>
      <c r="L68" s="129"/>
      <c r="M68" s="129">
        <f>SUM(M67)</f>
        <v>29514.510000000002</v>
      </c>
      <c r="N68" s="548">
        <f>SUM(N67)</f>
        <v>0.91364877414561674</v>
      </c>
      <c r="O68" s="55"/>
      <c r="P68" s="573"/>
    </row>
    <row r="69" spans="1:16" ht="60" x14ac:dyDescent="0.2">
      <c r="A69" s="1710"/>
      <c r="B69" s="1730"/>
      <c r="C69" s="525"/>
      <c r="D69" s="111" t="s">
        <v>81</v>
      </c>
      <c r="E69" s="56" t="s">
        <v>27</v>
      </c>
      <c r="F69" s="62" t="s">
        <v>53</v>
      </c>
      <c r="G69" s="124">
        <v>1</v>
      </c>
      <c r="H69" s="126">
        <v>2500</v>
      </c>
      <c r="I69" s="124">
        <v>1</v>
      </c>
      <c r="J69" s="125">
        <f>G69*H69*I69</f>
        <v>2500</v>
      </c>
      <c r="K69" s="119"/>
      <c r="L69" s="119"/>
      <c r="M69" s="119">
        <v>2850</v>
      </c>
      <c r="N69" s="540"/>
      <c r="O69" s="143"/>
    </row>
    <row r="70" spans="1:16" x14ac:dyDescent="0.2">
      <c r="A70" s="1710"/>
      <c r="B70" s="1730"/>
      <c r="C70" s="525" t="s">
        <v>641</v>
      </c>
      <c r="D70" s="13"/>
      <c r="E70" s="13"/>
      <c r="F70" s="12" t="s">
        <v>0</v>
      </c>
      <c r="G70" s="12"/>
      <c r="H70" s="12"/>
      <c r="I70" s="12"/>
      <c r="J70" s="127">
        <f>SUM(J69)</f>
        <v>2500</v>
      </c>
      <c r="K70" s="129"/>
      <c r="L70" s="129"/>
      <c r="M70" s="129">
        <v>2850</v>
      </c>
      <c r="N70" s="548">
        <f>M70/J70</f>
        <v>1.1399999999999999</v>
      </c>
      <c r="O70" s="55"/>
      <c r="P70" s="573"/>
    </row>
    <row r="71" spans="1:16" ht="30" x14ac:dyDescent="0.2">
      <c r="A71" s="1710"/>
      <c r="B71" s="1730"/>
      <c r="C71" s="525"/>
      <c r="D71" s="111" t="s">
        <v>92</v>
      </c>
      <c r="E71" s="56"/>
      <c r="F71" s="62" t="s">
        <v>53</v>
      </c>
      <c r="G71" s="117"/>
      <c r="H71" s="118"/>
      <c r="I71" s="117"/>
      <c r="J71" s="119"/>
      <c r="K71" s="58"/>
      <c r="L71" s="58"/>
      <c r="M71" s="58"/>
      <c r="N71" s="58"/>
      <c r="O71" s="143"/>
    </row>
    <row r="72" spans="1:16" ht="25.5" x14ac:dyDescent="0.2">
      <c r="A72" s="1710"/>
      <c r="B72" s="1730"/>
      <c r="C72" s="525"/>
      <c r="D72" s="402" t="s">
        <v>107</v>
      </c>
      <c r="E72" s="113" t="s">
        <v>14</v>
      </c>
      <c r="F72" s="62" t="s">
        <v>53</v>
      </c>
      <c r="G72" s="124">
        <v>1</v>
      </c>
      <c r="H72" s="141">
        <v>20</v>
      </c>
      <c r="I72" s="142">
        <v>1</v>
      </c>
      <c r="J72" s="162">
        <f>G72*H72*I72</f>
        <v>20</v>
      </c>
      <c r="K72" s="58"/>
      <c r="L72" s="58"/>
      <c r="M72" s="160"/>
      <c r="N72" s="160"/>
      <c r="O72" s="58"/>
    </row>
    <row r="73" spans="1:16" x14ac:dyDescent="0.2">
      <c r="A73" s="1710"/>
      <c r="B73" s="1730"/>
      <c r="C73" s="525"/>
      <c r="D73" s="402" t="s">
        <v>54</v>
      </c>
      <c r="E73" s="113" t="s">
        <v>13</v>
      </c>
      <c r="F73" s="62" t="s">
        <v>53</v>
      </c>
      <c r="G73" s="124">
        <v>3</v>
      </c>
      <c r="H73" s="126">
        <v>7</v>
      </c>
      <c r="I73" s="124">
        <v>3</v>
      </c>
      <c r="J73" s="125">
        <f>G73*H73*I73</f>
        <v>63</v>
      </c>
      <c r="K73" s="58"/>
      <c r="L73" s="58"/>
      <c r="M73" s="160"/>
      <c r="N73" s="160"/>
      <c r="O73" s="58"/>
    </row>
    <row r="74" spans="1:16" x14ac:dyDescent="0.2">
      <c r="A74" s="1710"/>
      <c r="B74" s="1730"/>
      <c r="C74" s="525"/>
      <c r="D74" s="402" t="s">
        <v>99</v>
      </c>
      <c r="E74" s="113" t="s">
        <v>13</v>
      </c>
      <c r="F74" s="62" t="s">
        <v>53</v>
      </c>
      <c r="G74" s="124">
        <v>3</v>
      </c>
      <c r="H74" s="126">
        <v>10</v>
      </c>
      <c r="I74" s="124">
        <v>3</v>
      </c>
      <c r="J74" s="125">
        <f t="shared" ref="J74:J76" si="6">G74*H74*I74</f>
        <v>90</v>
      </c>
      <c r="K74" s="58"/>
      <c r="L74" s="58"/>
      <c r="M74" s="160"/>
      <c r="N74" s="160"/>
      <c r="O74" s="58"/>
    </row>
    <row r="75" spans="1:16" x14ac:dyDescent="0.2">
      <c r="A75" s="1710"/>
      <c r="B75" s="1730"/>
      <c r="C75" s="525"/>
      <c r="D75" s="402" t="s">
        <v>100</v>
      </c>
      <c r="E75" s="113" t="s">
        <v>13</v>
      </c>
      <c r="F75" s="62" t="s">
        <v>53</v>
      </c>
      <c r="G75" s="124">
        <v>3</v>
      </c>
      <c r="H75" s="126">
        <v>4</v>
      </c>
      <c r="I75" s="124">
        <v>3</v>
      </c>
      <c r="J75" s="125">
        <f t="shared" si="6"/>
        <v>36</v>
      </c>
      <c r="K75" s="58"/>
      <c r="L75" s="58"/>
      <c r="M75" s="160"/>
      <c r="N75" s="160"/>
      <c r="O75" s="58"/>
    </row>
    <row r="76" spans="1:16" x14ac:dyDescent="0.2">
      <c r="A76" s="1710"/>
      <c r="B76" s="1730"/>
      <c r="C76" s="525"/>
      <c r="D76" s="402" t="s">
        <v>101</v>
      </c>
      <c r="E76" s="113" t="s">
        <v>13</v>
      </c>
      <c r="F76" s="62" t="s">
        <v>53</v>
      </c>
      <c r="G76" s="124">
        <f>36</f>
        <v>36</v>
      </c>
      <c r="H76" s="126">
        <v>0.5</v>
      </c>
      <c r="I76" s="124">
        <v>1</v>
      </c>
      <c r="J76" s="125">
        <f t="shared" si="6"/>
        <v>18</v>
      </c>
      <c r="K76" s="58"/>
      <c r="L76" s="58"/>
      <c r="M76" s="160"/>
      <c r="N76" s="160"/>
      <c r="O76" s="58"/>
    </row>
    <row r="77" spans="1:16" ht="25.5" x14ac:dyDescent="0.2">
      <c r="A77" s="1710"/>
      <c r="B77" s="1730"/>
      <c r="C77" s="525"/>
      <c r="D77" s="402" t="s">
        <v>61</v>
      </c>
      <c r="E77" s="113" t="s">
        <v>14</v>
      </c>
      <c r="F77" s="62" t="s">
        <v>53</v>
      </c>
      <c r="G77" s="124">
        <v>1</v>
      </c>
      <c r="H77" s="126">
        <v>100</v>
      </c>
      <c r="I77" s="124">
        <v>3</v>
      </c>
      <c r="J77" s="125">
        <f>G77*H77*I77</f>
        <v>300</v>
      </c>
      <c r="K77" s="58"/>
      <c r="L77" s="58"/>
      <c r="M77" s="160"/>
      <c r="N77" s="101"/>
      <c r="O77" s="58"/>
    </row>
    <row r="78" spans="1:16" x14ac:dyDescent="0.2">
      <c r="A78" s="1710"/>
      <c r="B78" s="1730"/>
      <c r="C78" s="525"/>
      <c r="D78" s="403" t="s">
        <v>120</v>
      </c>
      <c r="E78" s="47" t="s">
        <v>13</v>
      </c>
      <c r="F78" s="62" t="s">
        <v>53</v>
      </c>
      <c r="G78" s="124">
        <v>1</v>
      </c>
      <c r="H78" s="126">
        <v>150</v>
      </c>
      <c r="I78" s="124">
        <v>4</v>
      </c>
      <c r="J78" s="125">
        <f>G78*H78*I78</f>
        <v>600</v>
      </c>
      <c r="K78" s="58"/>
      <c r="L78" s="58"/>
      <c r="M78" s="160"/>
      <c r="N78" s="160"/>
      <c r="O78" s="58"/>
    </row>
    <row r="79" spans="1:16" x14ac:dyDescent="0.2">
      <c r="A79" s="1711"/>
      <c r="B79" s="1731"/>
      <c r="C79" s="526"/>
      <c r="D79" s="59"/>
      <c r="E79" s="13"/>
      <c r="F79" s="14" t="s">
        <v>0</v>
      </c>
      <c r="G79" s="14"/>
      <c r="H79" s="14"/>
      <c r="I79" s="14"/>
      <c r="J79" s="127">
        <f>SUM(J72:J78)</f>
        <v>1127</v>
      </c>
      <c r="K79" s="151">
        <v>0.66666666666666663</v>
      </c>
      <c r="L79" s="55">
        <f>+J79*K79</f>
        <v>751.33333333333326</v>
      </c>
      <c r="M79" s="55">
        <v>1127</v>
      </c>
      <c r="N79" s="151">
        <f>M79/J79</f>
        <v>1</v>
      </c>
      <c r="O79" s="55"/>
      <c r="P79" s="573"/>
    </row>
    <row r="80" spans="1:16" ht="25.5" x14ac:dyDescent="0.2">
      <c r="A80" s="1709" t="s">
        <v>82</v>
      </c>
      <c r="B80" s="1729" t="s">
        <v>628</v>
      </c>
      <c r="C80" s="530" t="s">
        <v>623</v>
      </c>
      <c r="D80" s="102" t="s">
        <v>95</v>
      </c>
      <c r="E80" s="99"/>
      <c r="F80" s="62" t="s">
        <v>53</v>
      </c>
      <c r="G80" s="100"/>
      <c r="H80" s="100"/>
      <c r="I80" s="100"/>
      <c r="J80" s="101"/>
      <c r="K80" s="101"/>
      <c r="L80" s="101"/>
      <c r="N80" s="101"/>
      <c r="O80" s="101"/>
    </row>
    <row r="81" spans="1:16" ht="38.25" x14ac:dyDescent="0.2">
      <c r="A81" s="1710"/>
      <c r="B81" s="1730"/>
      <c r="C81" s="538" t="s">
        <v>638</v>
      </c>
      <c r="D81" s="404" t="s">
        <v>83</v>
      </c>
      <c r="E81" s="56" t="s">
        <v>34</v>
      </c>
      <c r="F81" s="62" t="s">
        <v>53</v>
      </c>
      <c r="G81" s="124">
        <v>1</v>
      </c>
      <c r="H81" s="126">
        <v>250</v>
      </c>
      <c r="I81" s="124">
        <v>11</v>
      </c>
      <c r="J81" s="125">
        <f>G81*H81*I81</f>
        <v>2750</v>
      </c>
      <c r="K81" s="152">
        <v>0.3</v>
      </c>
      <c r="L81" s="125">
        <f>+J81*K81</f>
        <v>825</v>
      </c>
      <c r="M81" s="508">
        <v>2750</v>
      </c>
      <c r="N81" s="549">
        <f>M81/J81</f>
        <v>1</v>
      </c>
      <c r="O81" s="143"/>
    </row>
    <row r="82" spans="1:16" ht="38.25" x14ac:dyDescent="0.2">
      <c r="A82" s="1710"/>
      <c r="B82" s="1730"/>
      <c r="C82" s="538" t="s">
        <v>638</v>
      </c>
      <c r="D82" s="404" t="s">
        <v>93</v>
      </c>
      <c r="E82" s="56" t="s">
        <v>34</v>
      </c>
      <c r="F82" s="62" t="s">
        <v>53</v>
      </c>
      <c r="G82" s="124">
        <v>1</v>
      </c>
      <c r="H82" s="126">
        <v>2500</v>
      </c>
      <c r="I82" s="124">
        <v>2</v>
      </c>
      <c r="J82" s="125">
        <f t="shared" ref="J82:J83" si="7">G82*H82*I82</f>
        <v>5000</v>
      </c>
      <c r="K82" s="152">
        <v>0.2</v>
      </c>
      <c r="L82" s="125">
        <f t="shared" ref="L82:L83" si="8">+J82*K82</f>
        <v>1000</v>
      </c>
      <c r="M82" s="508">
        <v>5000</v>
      </c>
      <c r="N82" s="549">
        <f>M82/J82</f>
        <v>1</v>
      </c>
      <c r="O82" s="143"/>
    </row>
    <row r="83" spans="1:16" ht="25.5" x14ac:dyDescent="0.2">
      <c r="A83" s="1710"/>
      <c r="B83" s="1730"/>
      <c r="C83" s="525"/>
      <c r="D83" s="404" t="s">
        <v>94</v>
      </c>
      <c r="E83" s="47" t="s">
        <v>12</v>
      </c>
      <c r="F83" s="62" t="s">
        <v>53</v>
      </c>
      <c r="G83" s="190">
        <v>1</v>
      </c>
      <c r="H83" s="191">
        <v>12000</v>
      </c>
      <c r="I83" s="192">
        <v>1</v>
      </c>
      <c r="J83" s="162">
        <f t="shared" si="7"/>
        <v>12000</v>
      </c>
      <c r="K83" s="153">
        <v>0.5</v>
      </c>
      <c r="L83" s="125">
        <f t="shared" si="8"/>
        <v>6000</v>
      </c>
      <c r="M83" s="508">
        <f>5400+4050</f>
        <v>9450</v>
      </c>
      <c r="N83" s="549">
        <f>M83/J83</f>
        <v>0.78749999999999998</v>
      </c>
      <c r="O83" s="146"/>
    </row>
    <row r="84" spans="1:16" x14ac:dyDescent="0.2">
      <c r="A84" s="1711"/>
      <c r="B84" s="1731"/>
      <c r="C84" s="526"/>
      <c r="D84" s="13"/>
      <c r="E84" s="13"/>
      <c r="F84" s="14" t="s">
        <v>0</v>
      </c>
      <c r="G84" s="14"/>
      <c r="H84" s="14"/>
      <c r="I84" s="14"/>
      <c r="J84" s="55">
        <f>SUM(J81:J83)</f>
        <v>19750</v>
      </c>
      <c r="K84" s="55"/>
      <c r="L84" s="55">
        <f>SUM(L81:L83)</f>
        <v>7825</v>
      </c>
      <c r="M84" s="55">
        <f>SUM(M81:M83)</f>
        <v>17200</v>
      </c>
      <c r="N84" s="151">
        <f>M84/J84</f>
        <v>0.87088607594936707</v>
      </c>
      <c r="O84" s="55"/>
      <c r="P84" s="573"/>
    </row>
    <row r="85" spans="1:16" ht="76.5" x14ac:dyDescent="0.2">
      <c r="A85" s="103" t="s">
        <v>84</v>
      </c>
      <c r="B85" s="528" t="s">
        <v>629</v>
      </c>
      <c r="C85" s="536" t="s">
        <v>636</v>
      </c>
      <c r="D85" s="112" t="s">
        <v>85</v>
      </c>
      <c r="E85" s="56"/>
      <c r="F85" s="62" t="s">
        <v>53</v>
      </c>
      <c r="G85" s="57"/>
      <c r="H85" s="57"/>
      <c r="I85" s="57"/>
      <c r="J85" s="58"/>
      <c r="K85" s="58"/>
      <c r="L85" s="58"/>
      <c r="M85" s="58"/>
      <c r="N85" s="58"/>
      <c r="O85" s="276"/>
    </row>
    <row r="86" spans="1:16" ht="25.5" x14ac:dyDescent="0.2">
      <c r="A86" s="104"/>
      <c r="B86" s="528"/>
      <c r="C86" s="525"/>
      <c r="D86" s="403" t="s">
        <v>91</v>
      </c>
      <c r="E86" s="56" t="s">
        <v>14</v>
      </c>
      <c r="F86" s="62" t="s">
        <v>53</v>
      </c>
      <c r="G86" s="124">
        <v>1</v>
      </c>
      <c r="H86" s="126">
        <v>500</v>
      </c>
      <c r="I86" s="124">
        <v>5</v>
      </c>
      <c r="J86" s="125">
        <f>G86*H86*I86</f>
        <v>2500</v>
      </c>
      <c r="K86" s="152">
        <v>0.3</v>
      </c>
      <c r="L86" s="125">
        <f>+J86*K86</f>
        <v>750</v>
      </c>
      <c r="M86" s="125">
        <f>2300+119.8</f>
        <v>2419.8000000000002</v>
      </c>
      <c r="N86" s="152">
        <f>M86/J86</f>
        <v>0.96792000000000011</v>
      </c>
      <c r="O86" s="143"/>
    </row>
    <row r="87" spans="1:16" x14ac:dyDescent="0.2">
      <c r="A87" s="107"/>
      <c r="B87" s="528"/>
      <c r="C87" s="525"/>
      <c r="D87" s="13"/>
      <c r="E87" s="13"/>
      <c r="F87" s="14" t="s">
        <v>0</v>
      </c>
      <c r="G87" s="14"/>
      <c r="H87" s="14"/>
      <c r="I87" s="14"/>
      <c r="J87" s="55">
        <f>SUM(J86)</f>
        <v>2500</v>
      </c>
      <c r="K87" s="55"/>
      <c r="L87" s="55">
        <f>SUM(L86)</f>
        <v>750</v>
      </c>
      <c r="M87" s="55">
        <f>SUM(M86)</f>
        <v>2419.8000000000002</v>
      </c>
      <c r="N87" s="151">
        <f>SUM(N86)</f>
        <v>0.96792000000000011</v>
      </c>
      <c r="O87" s="55"/>
      <c r="P87" s="573"/>
    </row>
    <row r="88" spans="1:16" ht="25.5" x14ac:dyDescent="0.2">
      <c r="A88" s="104"/>
      <c r="B88" s="528"/>
      <c r="C88" s="525"/>
      <c r="D88" s="112" t="s">
        <v>86</v>
      </c>
      <c r="E88" s="56"/>
      <c r="F88" s="62" t="s">
        <v>53</v>
      </c>
      <c r="G88" s="57"/>
      <c r="H88" s="57"/>
      <c r="I88" s="57"/>
      <c r="J88" s="58"/>
      <c r="K88" s="58"/>
      <c r="L88" s="58"/>
      <c r="M88" s="58">
        <f>J86-M86</f>
        <v>80.199999999999818</v>
      </c>
      <c r="N88" s="58"/>
      <c r="O88" s="58"/>
    </row>
    <row r="89" spans="1:16" ht="25.5" x14ac:dyDescent="0.2">
      <c r="A89" s="104"/>
      <c r="B89" s="528"/>
      <c r="C89" s="525"/>
      <c r="D89" s="403" t="s">
        <v>90</v>
      </c>
      <c r="E89" s="56" t="s">
        <v>14</v>
      </c>
      <c r="F89" s="62" t="s">
        <v>53</v>
      </c>
      <c r="G89" s="124">
        <v>1</v>
      </c>
      <c r="H89" s="126">
        <v>500</v>
      </c>
      <c r="I89" s="190">
        <v>40</v>
      </c>
      <c r="J89" s="125">
        <f>G89*H89*I89</f>
        <v>20000</v>
      </c>
      <c r="K89" s="154">
        <v>0.3</v>
      </c>
      <c r="L89" s="125">
        <f>+J89*K89</f>
        <v>6000</v>
      </c>
      <c r="M89" s="125">
        <f>19743+242.67</f>
        <v>19985.669999999998</v>
      </c>
      <c r="N89" s="549">
        <f>M89/J89</f>
        <v>0.99928349999999988</v>
      </c>
      <c r="O89" s="143"/>
    </row>
    <row r="90" spans="1:16" x14ac:dyDescent="0.2">
      <c r="A90" s="107"/>
      <c r="B90" s="528"/>
      <c r="C90" s="525"/>
      <c r="D90" s="13"/>
      <c r="E90" s="13"/>
      <c r="F90" s="14" t="s">
        <v>0</v>
      </c>
      <c r="G90" s="14"/>
      <c r="H90" s="14"/>
      <c r="I90" s="14"/>
      <c r="J90" s="127">
        <f>SUM(J89)</f>
        <v>20000</v>
      </c>
      <c r="K90" s="55"/>
      <c r="L90" s="127">
        <f>SUM(L89)</f>
        <v>6000</v>
      </c>
      <c r="M90" s="127">
        <f>SUM(M89)</f>
        <v>19985.669999999998</v>
      </c>
      <c r="N90" s="550">
        <f>SUM(N89)</f>
        <v>0.99928349999999988</v>
      </c>
      <c r="O90" s="55"/>
      <c r="P90" s="573"/>
    </row>
    <row r="91" spans="1:16" ht="38.25" x14ac:dyDescent="0.2">
      <c r="A91" s="104"/>
      <c r="B91" s="528"/>
      <c r="C91" s="525"/>
      <c r="D91" s="112" t="s">
        <v>87</v>
      </c>
      <c r="E91" s="56"/>
      <c r="F91" s="62" t="s">
        <v>53</v>
      </c>
      <c r="G91" s="57"/>
      <c r="H91" s="97"/>
      <c r="I91" s="57"/>
      <c r="J91" s="98"/>
      <c r="K91" s="58"/>
      <c r="L91" s="58"/>
      <c r="M91" s="58"/>
      <c r="N91" s="58"/>
      <c r="O91" s="58"/>
    </row>
    <row r="92" spans="1:16" ht="25.5" x14ac:dyDescent="0.2">
      <c r="A92" s="106"/>
      <c r="B92" s="528"/>
      <c r="C92" s="525"/>
      <c r="D92" s="402" t="s">
        <v>110</v>
      </c>
      <c r="E92" s="113" t="s">
        <v>14</v>
      </c>
      <c r="F92" s="62" t="s">
        <v>53</v>
      </c>
      <c r="G92" s="124">
        <v>1</v>
      </c>
      <c r="H92" s="126">
        <v>72</v>
      </c>
      <c r="I92" s="124">
        <v>4</v>
      </c>
      <c r="J92" s="125">
        <f>G92*H92*I92</f>
        <v>288</v>
      </c>
      <c r="K92" s="58"/>
      <c r="L92" s="541"/>
      <c r="M92" s="160"/>
      <c r="N92" s="160"/>
      <c r="O92" s="58"/>
    </row>
    <row r="93" spans="1:16" x14ac:dyDescent="0.2">
      <c r="A93" s="106"/>
      <c r="B93" s="528"/>
      <c r="C93" s="525"/>
      <c r="D93" s="403" t="s">
        <v>98</v>
      </c>
      <c r="E93" s="47" t="s">
        <v>12</v>
      </c>
      <c r="F93" s="62" t="s">
        <v>53</v>
      </c>
      <c r="G93" s="124">
        <v>1</v>
      </c>
      <c r="H93" s="126">
        <v>75</v>
      </c>
      <c r="I93" s="124">
        <v>4</v>
      </c>
      <c r="J93" s="125">
        <f t="shared" ref="J93:J102" si="9">G93*H93*I93</f>
        <v>300</v>
      </c>
      <c r="K93" s="58"/>
      <c r="L93" s="541"/>
      <c r="M93" s="160"/>
      <c r="N93" s="160"/>
      <c r="O93" s="58"/>
    </row>
    <row r="94" spans="1:16" x14ac:dyDescent="0.2">
      <c r="A94" s="106"/>
      <c r="B94" s="528"/>
      <c r="C94" s="525"/>
      <c r="D94" s="403" t="s">
        <v>54</v>
      </c>
      <c r="E94" s="47" t="s">
        <v>13</v>
      </c>
      <c r="F94" s="62" t="s">
        <v>53</v>
      </c>
      <c r="G94" s="124">
        <v>8</v>
      </c>
      <c r="H94" s="126">
        <v>7</v>
      </c>
      <c r="I94" s="124">
        <v>8</v>
      </c>
      <c r="J94" s="125">
        <f t="shared" si="9"/>
        <v>448</v>
      </c>
      <c r="K94" s="58"/>
      <c r="L94" s="541"/>
      <c r="M94" s="160"/>
      <c r="N94" s="160"/>
      <c r="O94" s="58"/>
    </row>
    <row r="95" spans="1:16" x14ac:dyDescent="0.2">
      <c r="A95" s="106"/>
      <c r="B95" s="528"/>
      <c r="C95" s="525"/>
      <c r="D95" s="403" t="s">
        <v>108</v>
      </c>
      <c r="E95" s="47" t="s">
        <v>13</v>
      </c>
      <c r="F95" s="62" t="s">
        <v>53</v>
      </c>
      <c r="G95" s="124">
        <v>6</v>
      </c>
      <c r="H95" s="126">
        <v>20</v>
      </c>
      <c r="I95" s="124">
        <v>8</v>
      </c>
      <c r="J95" s="125">
        <f t="shared" si="9"/>
        <v>960</v>
      </c>
      <c r="K95" s="58"/>
      <c r="L95" s="541"/>
      <c r="M95" s="160"/>
      <c r="N95" s="160"/>
      <c r="O95" s="58"/>
    </row>
    <row r="96" spans="1:16" x14ac:dyDescent="0.2">
      <c r="A96" s="106"/>
      <c r="B96" s="528"/>
      <c r="C96" s="525"/>
      <c r="D96" s="403" t="s">
        <v>55</v>
      </c>
      <c r="E96" s="47" t="s">
        <v>13</v>
      </c>
      <c r="F96" s="62" t="s">
        <v>53</v>
      </c>
      <c r="G96" s="124">
        <v>6</v>
      </c>
      <c r="H96" s="126">
        <v>25</v>
      </c>
      <c r="I96" s="124">
        <v>16</v>
      </c>
      <c r="J96" s="125">
        <f t="shared" si="9"/>
        <v>2400</v>
      </c>
      <c r="K96" s="58"/>
      <c r="L96" s="541"/>
      <c r="M96" s="160"/>
      <c r="N96" s="160"/>
      <c r="O96" s="58"/>
    </row>
    <row r="97" spans="1:16" x14ac:dyDescent="0.2">
      <c r="A97" s="106"/>
      <c r="B97" s="528"/>
      <c r="C97" s="525"/>
      <c r="D97" s="403" t="s">
        <v>56</v>
      </c>
      <c r="E97" s="47" t="s">
        <v>13</v>
      </c>
      <c r="F97" s="62" t="s">
        <v>53</v>
      </c>
      <c r="G97" s="124">
        <v>6</v>
      </c>
      <c r="H97" s="126">
        <v>6</v>
      </c>
      <c r="I97" s="124">
        <v>16</v>
      </c>
      <c r="J97" s="125">
        <f t="shared" si="9"/>
        <v>576</v>
      </c>
      <c r="K97" s="58"/>
      <c r="L97" s="541"/>
      <c r="M97" s="160"/>
      <c r="N97" s="160"/>
      <c r="O97" s="58"/>
    </row>
    <row r="98" spans="1:16" x14ac:dyDescent="0.2">
      <c r="A98" s="106"/>
      <c r="B98" s="528"/>
      <c r="C98" s="525"/>
      <c r="D98" s="403" t="s">
        <v>99</v>
      </c>
      <c r="E98" s="47" t="s">
        <v>13</v>
      </c>
      <c r="F98" s="62" t="s">
        <v>53</v>
      </c>
      <c r="G98" s="124">
        <v>14</v>
      </c>
      <c r="H98" s="126">
        <v>6</v>
      </c>
      <c r="I98" s="124">
        <v>12</v>
      </c>
      <c r="J98" s="125">
        <f t="shared" si="9"/>
        <v>1008</v>
      </c>
      <c r="K98" s="58"/>
      <c r="L98" s="541"/>
      <c r="M98" s="160"/>
      <c r="N98" s="160"/>
      <c r="O98" s="58"/>
    </row>
    <row r="99" spans="1:16" x14ac:dyDescent="0.2">
      <c r="A99" s="106"/>
      <c r="B99" s="528"/>
      <c r="C99" s="525"/>
      <c r="D99" s="403" t="s">
        <v>100</v>
      </c>
      <c r="E99" s="47" t="s">
        <v>13</v>
      </c>
      <c r="F99" s="62" t="s">
        <v>53</v>
      </c>
      <c r="G99" s="124">
        <v>14</v>
      </c>
      <c r="H99" s="126">
        <v>3</v>
      </c>
      <c r="I99" s="124">
        <v>12</v>
      </c>
      <c r="J99" s="125">
        <f t="shared" si="9"/>
        <v>504</v>
      </c>
      <c r="K99" s="58"/>
      <c r="L99" s="541"/>
      <c r="M99" s="160"/>
      <c r="N99" s="160"/>
      <c r="O99" s="58"/>
    </row>
    <row r="100" spans="1:16" x14ac:dyDescent="0.2">
      <c r="A100" s="106"/>
      <c r="B100" s="528"/>
      <c r="C100" s="525"/>
      <c r="D100" s="402" t="s">
        <v>101</v>
      </c>
      <c r="E100" s="113" t="s">
        <v>13</v>
      </c>
      <c r="F100" s="62" t="s">
        <v>53</v>
      </c>
      <c r="G100" s="124">
        <f>28+28+28+12</f>
        <v>96</v>
      </c>
      <c r="H100" s="126">
        <v>0.5</v>
      </c>
      <c r="I100" s="124">
        <v>12</v>
      </c>
      <c r="J100" s="125">
        <f t="shared" si="9"/>
        <v>576</v>
      </c>
      <c r="K100" s="58"/>
      <c r="L100" s="541"/>
      <c r="M100" s="160"/>
      <c r="N100" s="160"/>
      <c r="O100" s="58"/>
    </row>
    <row r="101" spans="1:16" ht="25.5" x14ac:dyDescent="0.2">
      <c r="A101" s="106"/>
      <c r="B101" s="528"/>
      <c r="C101" s="525"/>
      <c r="D101" s="402" t="s">
        <v>61</v>
      </c>
      <c r="E101" s="113" t="s">
        <v>14</v>
      </c>
      <c r="F101" s="62" t="s">
        <v>53</v>
      </c>
      <c r="G101" s="124">
        <v>1</v>
      </c>
      <c r="H101" s="126">
        <v>100</v>
      </c>
      <c r="I101" s="124">
        <v>12</v>
      </c>
      <c r="J101" s="125">
        <f t="shared" si="9"/>
        <v>1200</v>
      </c>
      <c r="K101" s="58"/>
      <c r="L101" s="541"/>
      <c r="M101" s="160"/>
      <c r="N101" s="160"/>
      <c r="O101" s="58"/>
    </row>
    <row r="102" spans="1:16" x14ac:dyDescent="0.2">
      <c r="A102" s="106"/>
      <c r="B102" s="528"/>
      <c r="C102" s="525"/>
      <c r="D102" s="403" t="s">
        <v>102</v>
      </c>
      <c r="E102" s="47" t="s">
        <v>13</v>
      </c>
      <c r="F102" s="62" t="s">
        <v>53</v>
      </c>
      <c r="G102" s="124">
        <v>6</v>
      </c>
      <c r="H102" s="126">
        <v>17</v>
      </c>
      <c r="I102" s="124">
        <v>16</v>
      </c>
      <c r="J102" s="125">
        <f t="shared" si="9"/>
        <v>1632</v>
      </c>
      <c r="K102" s="58"/>
      <c r="L102" s="541"/>
      <c r="M102" s="160"/>
      <c r="N102" s="160"/>
      <c r="O102" s="58"/>
    </row>
    <row r="103" spans="1:16" x14ac:dyDescent="0.2">
      <c r="A103" s="107"/>
      <c r="B103" s="528"/>
      <c r="C103" s="525"/>
      <c r="D103" s="403" t="s">
        <v>120</v>
      </c>
      <c r="E103" s="47" t="s">
        <v>13</v>
      </c>
      <c r="F103" s="62" t="s">
        <v>53</v>
      </c>
      <c r="G103" s="120">
        <v>1</v>
      </c>
      <c r="H103" s="121">
        <v>141</v>
      </c>
      <c r="I103" s="120">
        <v>7</v>
      </c>
      <c r="J103" s="122">
        <f>G103*H103*I103</f>
        <v>987</v>
      </c>
      <c r="K103" s="58"/>
      <c r="L103" s="171"/>
      <c r="M103" s="160"/>
      <c r="N103" s="160"/>
      <c r="O103" s="58"/>
    </row>
    <row r="104" spans="1:16" x14ac:dyDescent="0.2">
      <c r="A104" s="104"/>
      <c r="B104" s="528"/>
      <c r="C104" s="525"/>
      <c r="D104" s="13"/>
      <c r="E104" s="13"/>
      <c r="F104" s="14" t="s">
        <v>0</v>
      </c>
      <c r="G104" s="14"/>
      <c r="H104" s="14"/>
      <c r="I104" s="14"/>
      <c r="J104" s="55">
        <f>SUM(J92:J103)</f>
        <v>10879</v>
      </c>
      <c r="K104" s="173"/>
      <c r="L104" s="163"/>
      <c r="M104" s="551">
        <f>2492+8037+98.4</f>
        <v>10627.4</v>
      </c>
      <c r="N104" s="552">
        <f>M104/J104</f>
        <v>0.97687287434506842</v>
      </c>
      <c r="O104" s="55"/>
      <c r="P104" s="579"/>
    </row>
    <row r="105" spans="1:16" ht="25.5" x14ac:dyDescent="0.2">
      <c r="A105" s="179" t="s">
        <v>114</v>
      </c>
      <c r="B105" s="532" t="s">
        <v>630</v>
      </c>
      <c r="C105" s="536" t="s">
        <v>637</v>
      </c>
      <c r="D105" s="99"/>
      <c r="E105" s="176"/>
      <c r="F105" s="62" t="s">
        <v>53</v>
      </c>
      <c r="G105" s="100"/>
      <c r="H105" s="100"/>
      <c r="I105" s="100"/>
      <c r="J105" s="101"/>
      <c r="K105" s="177"/>
      <c r="L105" s="178"/>
      <c r="M105" s="177"/>
      <c r="N105" s="178"/>
      <c r="O105" s="101"/>
    </row>
    <row r="106" spans="1:16" ht="25.5" x14ac:dyDescent="0.2">
      <c r="A106" s="175"/>
      <c r="B106" s="175"/>
      <c r="C106" s="175"/>
      <c r="D106" s="99" t="s">
        <v>115</v>
      </c>
      <c r="E106" s="113" t="s">
        <v>14</v>
      </c>
      <c r="F106" s="62" t="s">
        <v>53</v>
      </c>
      <c r="G106" s="142">
        <v>1</v>
      </c>
      <c r="H106" s="418">
        <v>5000</v>
      </c>
      <c r="I106" s="142">
        <v>1</v>
      </c>
      <c r="J106" s="125">
        <f>G106*H106*I106</f>
        <v>5000</v>
      </c>
      <c r="K106" s="177"/>
      <c r="L106" s="178"/>
      <c r="M106" s="553">
        <v>4997</v>
      </c>
      <c r="N106" s="556">
        <f>M106/J106</f>
        <v>0.99939999999999996</v>
      </c>
      <c r="O106" s="101"/>
    </row>
    <row r="107" spans="1:16" x14ac:dyDescent="0.2">
      <c r="A107" s="175"/>
      <c r="B107" s="175"/>
      <c r="C107" s="175"/>
      <c r="D107" s="99" t="s">
        <v>570</v>
      </c>
      <c r="E107" s="176" t="s">
        <v>33</v>
      </c>
      <c r="F107" s="414" t="s">
        <v>53</v>
      </c>
      <c r="G107" s="192">
        <v>1</v>
      </c>
      <c r="H107" s="419">
        <v>10000</v>
      </c>
      <c r="I107" s="192">
        <v>1</v>
      </c>
      <c r="J107" s="162">
        <f t="shared" ref="J107:J112" si="10">G107*H107*I107</f>
        <v>10000</v>
      </c>
      <c r="K107" s="177"/>
      <c r="L107" s="178"/>
      <c r="M107" s="553">
        <v>9840</v>
      </c>
      <c r="N107" s="555">
        <f t="shared" ref="N107:N112" si="11">M107/J107</f>
        <v>0.98399999999999999</v>
      </c>
      <c r="O107" s="101"/>
    </row>
    <row r="108" spans="1:16" x14ac:dyDescent="0.2">
      <c r="A108" s="175"/>
      <c r="B108" s="175"/>
      <c r="C108" s="175"/>
      <c r="D108" s="505" t="s">
        <v>571</v>
      </c>
      <c r="E108" s="509" t="s">
        <v>33</v>
      </c>
      <c r="F108" s="510" t="s">
        <v>53</v>
      </c>
      <c r="G108" s="506">
        <v>1</v>
      </c>
      <c r="H108" s="507">
        <v>0</v>
      </c>
      <c r="I108" s="506">
        <v>1</v>
      </c>
      <c r="J108" s="511">
        <f t="shared" si="10"/>
        <v>0</v>
      </c>
      <c r="K108" s="177"/>
      <c r="L108" s="178"/>
      <c r="M108" s="553">
        <v>0</v>
      </c>
      <c r="N108" s="555">
        <v>0</v>
      </c>
      <c r="O108" s="101"/>
    </row>
    <row r="109" spans="1:16" x14ac:dyDescent="0.2">
      <c r="A109" s="175"/>
      <c r="B109" s="175"/>
      <c r="C109" s="175"/>
      <c r="D109" s="99" t="s">
        <v>572</v>
      </c>
      <c r="E109" s="176" t="s">
        <v>13</v>
      </c>
      <c r="F109" s="62" t="s">
        <v>53</v>
      </c>
      <c r="G109" s="142">
        <v>1</v>
      </c>
      <c r="H109" s="418">
        <v>4000</v>
      </c>
      <c r="I109" s="142">
        <v>3</v>
      </c>
      <c r="J109" s="162">
        <f t="shared" si="10"/>
        <v>12000</v>
      </c>
      <c r="K109" s="177"/>
      <c r="L109" s="178"/>
      <c r="M109" s="553">
        <f>J109</f>
        <v>12000</v>
      </c>
      <c r="N109" s="555">
        <f t="shared" si="11"/>
        <v>1</v>
      </c>
      <c r="O109" s="569"/>
    </row>
    <row r="110" spans="1:16" ht="25.5" x14ac:dyDescent="0.2">
      <c r="A110" s="175"/>
      <c r="B110" s="175"/>
      <c r="C110" s="175"/>
      <c r="D110" s="99" t="s">
        <v>573</v>
      </c>
      <c r="E110" s="176" t="s">
        <v>33</v>
      </c>
      <c r="F110" s="62" t="s">
        <v>53</v>
      </c>
      <c r="G110" s="142">
        <v>1</v>
      </c>
      <c r="H110" s="418">
        <v>1000</v>
      </c>
      <c r="I110" s="142">
        <v>2</v>
      </c>
      <c r="J110" s="125">
        <f t="shared" si="10"/>
        <v>2000</v>
      </c>
      <c r="K110" s="177"/>
      <c r="L110" s="177"/>
      <c r="M110" s="553">
        <f>J110-116</f>
        <v>1884</v>
      </c>
      <c r="N110" s="555">
        <f t="shared" si="11"/>
        <v>0.94199999999999995</v>
      </c>
      <c r="O110" s="569"/>
    </row>
    <row r="111" spans="1:16" ht="38.25" x14ac:dyDescent="0.2">
      <c r="A111" s="175"/>
      <c r="B111" s="175"/>
      <c r="C111" s="175"/>
      <c r="D111" s="99" t="s">
        <v>574</v>
      </c>
      <c r="E111" s="176" t="s">
        <v>13</v>
      </c>
      <c r="F111" s="62" t="s">
        <v>53</v>
      </c>
      <c r="G111" s="142">
        <v>1</v>
      </c>
      <c r="H111" s="418">
        <v>5221.5</v>
      </c>
      <c r="I111" s="142">
        <v>2</v>
      </c>
      <c r="J111" s="125">
        <f t="shared" si="10"/>
        <v>10443</v>
      </c>
      <c r="K111" s="177"/>
      <c r="L111" s="177"/>
      <c r="M111" s="553">
        <v>10154</v>
      </c>
      <c r="N111" s="555">
        <f t="shared" si="11"/>
        <v>0.97232595997318783</v>
      </c>
      <c r="O111" s="101"/>
    </row>
    <row r="112" spans="1:16" x14ac:dyDescent="0.2">
      <c r="A112" s="175"/>
      <c r="B112" s="175"/>
      <c r="C112" s="175"/>
      <c r="D112" s="99" t="s">
        <v>116</v>
      </c>
      <c r="E112" s="176" t="s">
        <v>33</v>
      </c>
      <c r="F112" s="62" t="s">
        <v>53</v>
      </c>
      <c r="G112" s="142">
        <v>1</v>
      </c>
      <c r="H112" s="418">
        <v>14000</v>
      </c>
      <c r="I112" s="142">
        <v>1</v>
      </c>
      <c r="J112" s="125">
        <f t="shared" si="10"/>
        <v>14000</v>
      </c>
      <c r="K112" s="177"/>
      <c r="L112" s="178"/>
      <c r="M112" s="542">
        <v>0</v>
      </c>
      <c r="N112" s="553">
        <f t="shared" si="11"/>
        <v>0</v>
      </c>
      <c r="O112" s="101"/>
    </row>
    <row r="113" spans="1:16" x14ac:dyDescent="0.2">
      <c r="A113" s="175"/>
      <c r="B113" s="175"/>
      <c r="C113" s="175"/>
      <c r="D113" s="13"/>
      <c r="E113" s="13"/>
      <c r="F113" s="14" t="s">
        <v>0</v>
      </c>
      <c r="G113" s="14"/>
      <c r="H113" s="14"/>
      <c r="I113" s="14"/>
      <c r="J113" s="55">
        <f>SUM(J106:J112)</f>
        <v>53443</v>
      </c>
      <c r="K113" s="173"/>
      <c r="L113" s="163"/>
      <c r="M113" s="554">
        <f>SUM(M106:M112)</f>
        <v>38875</v>
      </c>
      <c r="N113" s="557">
        <f>M113/J113</f>
        <v>0.72741051213442354</v>
      </c>
      <c r="O113" s="55"/>
      <c r="P113" s="579"/>
    </row>
    <row r="114" spans="1:16" x14ac:dyDescent="0.2">
      <c r="A114" s="1714" t="s">
        <v>36</v>
      </c>
      <c r="B114" s="1715"/>
      <c r="C114" s="1715"/>
      <c r="D114" s="1715"/>
      <c r="E114" s="105"/>
      <c r="F114" s="29"/>
      <c r="G114" s="29"/>
      <c r="H114" s="29"/>
      <c r="I114" s="29"/>
      <c r="J114" s="130">
        <f>J16+J32+J48+J63+J65+J68+J70+J79+J84+J87+J90+J104+J113</f>
        <v>254743</v>
      </c>
      <c r="K114" s="170"/>
      <c r="L114" s="155">
        <f>L16+L32+L48+L63+L65+L68+L70+L79+L84+L87+L90+L104</f>
        <v>49933.53333333334</v>
      </c>
      <c r="M114" s="155">
        <f>M16+M32+M48+M63+M65+M68+M70+M79+M84+M87+M90+M104+M113</f>
        <v>234330.73999999996</v>
      </c>
      <c r="N114" s="563">
        <f>M114/J114</f>
        <v>0.919871164271442</v>
      </c>
      <c r="O114" s="61"/>
      <c r="P114" s="580"/>
    </row>
    <row r="115" spans="1:16" x14ac:dyDescent="0.2">
      <c r="A115" s="186" t="s">
        <v>40</v>
      </c>
      <c r="B115" s="187"/>
      <c r="C115" s="187"/>
      <c r="D115" s="187"/>
      <c r="E115" s="188"/>
      <c r="F115" s="63"/>
      <c r="G115" s="63"/>
      <c r="H115" s="64"/>
      <c r="I115" s="65"/>
      <c r="J115" s="131">
        <f>+J114</f>
        <v>254743</v>
      </c>
      <c r="K115" s="138">
        <f>J115/374600</f>
        <v>0.6800400427122264</v>
      </c>
      <c r="L115" s="182">
        <f>L114</f>
        <v>49933.53333333334</v>
      </c>
      <c r="M115" s="182">
        <f>+M114</f>
        <v>234330.73999999996</v>
      </c>
      <c r="N115" s="564">
        <f>M115/J115</f>
        <v>0.919871164271442</v>
      </c>
      <c r="O115" s="66"/>
    </row>
    <row r="116" spans="1:16" ht="15" x14ac:dyDescent="0.2">
      <c r="A116" s="1716" t="s">
        <v>639</v>
      </c>
      <c r="B116" s="1717"/>
      <c r="C116" s="1717"/>
      <c r="D116" s="1718"/>
      <c r="E116" s="16"/>
      <c r="F116" s="16"/>
      <c r="G116" s="16"/>
      <c r="H116" s="16"/>
      <c r="I116" s="16"/>
      <c r="J116" s="67"/>
      <c r="K116" s="16"/>
      <c r="L116" s="16"/>
      <c r="M116" s="16"/>
      <c r="N116" s="16"/>
      <c r="O116" s="17"/>
    </row>
    <row r="117" spans="1:16" x14ac:dyDescent="0.2">
      <c r="A117" s="1712" t="s">
        <v>41</v>
      </c>
      <c r="B117" s="1713"/>
      <c r="C117" s="1713"/>
      <c r="D117" s="1713"/>
      <c r="E117" s="185"/>
      <c r="F117" s="18"/>
      <c r="G117" s="18"/>
      <c r="H117" s="18"/>
      <c r="I117" s="18"/>
      <c r="J117" s="18"/>
      <c r="K117" s="18"/>
      <c r="L117" s="18"/>
      <c r="M117" s="18"/>
      <c r="N117" s="18"/>
      <c r="O117" s="19"/>
    </row>
    <row r="118" spans="1:16" ht="15" x14ac:dyDescent="0.2">
      <c r="A118" s="15" t="s">
        <v>57</v>
      </c>
      <c r="B118" s="533"/>
      <c r="C118" s="522"/>
      <c r="D118" s="68" t="s">
        <v>59</v>
      </c>
      <c r="E118" s="69" t="s">
        <v>11</v>
      </c>
      <c r="F118" s="70" t="s">
        <v>53</v>
      </c>
      <c r="G118" s="15">
        <v>1</v>
      </c>
      <c r="H118" s="15">
        <v>3660</v>
      </c>
      <c r="I118" s="15">
        <v>12</v>
      </c>
      <c r="J118" s="60">
        <f>G118*H118*I118</f>
        <v>43920</v>
      </c>
      <c r="K118" s="517">
        <v>3078</v>
      </c>
      <c r="L118" s="517"/>
      <c r="M118" s="543">
        <f>27949.6-3556.74+9606.62-1410</f>
        <v>32589.480000000003</v>
      </c>
      <c r="N118" s="543">
        <f>M118/J118</f>
        <v>0.74201912568306017</v>
      </c>
      <c r="O118" s="148"/>
    </row>
    <row r="119" spans="1:16" x14ac:dyDescent="0.2">
      <c r="A119" s="15" t="s">
        <v>58</v>
      </c>
      <c r="B119" s="529"/>
      <c r="C119" s="529"/>
      <c r="D119" s="68" t="s">
        <v>59</v>
      </c>
      <c r="E119" s="69" t="s">
        <v>11</v>
      </c>
      <c r="F119" s="70" t="s">
        <v>53</v>
      </c>
      <c r="G119" s="15">
        <v>1</v>
      </c>
      <c r="H119" s="15">
        <v>1525</v>
      </c>
      <c r="I119" s="15">
        <v>12</v>
      </c>
      <c r="J119" s="60">
        <f>G119*H119*I119</f>
        <v>18300</v>
      </c>
      <c r="K119" s="517">
        <v>1194</v>
      </c>
      <c r="L119" s="517"/>
      <c r="M119" s="543">
        <f>(10049.93-1581.17)+8364.16+2112.92+4225.84</f>
        <v>23171.679999999997</v>
      </c>
      <c r="N119" s="543">
        <f>M119/J119</f>
        <v>1.2662120218579234</v>
      </c>
      <c r="O119" s="148"/>
    </row>
    <row r="120" spans="1:16" x14ac:dyDescent="0.2">
      <c r="A120" s="26"/>
      <c r="B120" s="24"/>
      <c r="C120" s="24"/>
      <c r="D120" s="24"/>
      <c r="E120" s="25"/>
      <c r="F120" s="14" t="s">
        <v>0</v>
      </c>
      <c r="G120" s="14"/>
      <c r="H120" s="14"/>
      <c r="I120" s="14"/>
      <c r="J120" s="55">
        <f>SUM(J118:J119)</f>
        <v>62220</v>
      </c>
      <c r="K120" s="27">
        <f>J120/J148</f>
        <v>0.17327115995404738</v>
      </c>
      <c r="L120" s="27"/>
      <c r="M120" s="265">
        <f>SUM(M118:M119)</f>
        <v>55761.16</v>
      </c>
      <c r="N120" s="264">
        <f>M120/J120</f>
        <v>0.89619350691096111</v>
      </c>
      <c r="O120" s="55"/>
      <c r="P120" s="579"/>
    </row>
    <row r="121" spans="1:16" x14ac:dyDescent="0.2">
      <c r="A121" s="108" t="s">
        <v>42</v>
      </c>
      <c r="B121" s="109"/>
      <c r="C121" s="109"/>
      <c r="D121" s="109"/>
      <c r="E121" s="184"/>
      <c r="F121" s="109"/>
      <c r="G121" s="109"/>
      <c r="H121" s="109"/>
      <c r="I121" s="109"/>
      <c r="J121" s="109"/>
      <c r="K121" s="109"/>
      <c r="L121" s="109"/>
      <c r="M121" s="572"/>
      <c r="N121" s="577"/>
      <c r="O121" s="110"/>
    </row>
    <row r="122" spans="1:16" x14ac:dyDescent="0.2">
      <c r="A122" s="72"/>
      <c r="B122" s="68"/>
      <c r="C122" s="68"/>
      <c r="D122" s="24"/>
      <c r="E122" s="69" t="s">
        <v>12</v>
      </c>
      <c r="F122" s="70"/>
      <c r="G122" s="11"/>
      <c r="H122" s="73"/>
      <c r="I122" s="11"/>
      <c r="J122" s="74"/>
      <c r="K122" s="71"/>
      <c r="L122" s="71"/>
      <c r="M122" s="71"/>
      <c r="N122" s="71"/>
      <c r="O122" s="71"/>
    </row>
    <row r="123" spans="1:16" x14ac:dyDescent="0.2">
      <c r="A123" s="26"/>
      <c r="B123" s="24"/>
      <c r="C123" s="24"/>
      <c r="D123" s="24"/>
      <c r="E123" s="69" t="s">
        <v>12</v>
      </c>
      <c r="F123" s="14"/>
      <c r="G123" s="14"/>
      <c r="H123" s="14"/>
      <c r="I123" s="14"/>
      <c r="J123" s="75"/>
      <c r="K123" s="55"/>
      <c r="L123" s="55"/>
      <c r="M123" s="55"/>
      <c r="N123" s="55"/>
      <c r="O123" s="55"/>
    </row>
    <row r="124" spans="1:16" x14ac:dyDescent="0.2">
      <c r="A124" s="108" t="s">
        <v>43</v>
      </c>
      <c r="B124" s="109"/>
      <c r="C124" s="109"/>
      <c r="D124" s="109"/>
      <c r="E124" s="184"/>
      <c r="F124" s="109"/>
      <c r="G124" s="109"/>
      <c r="H124" s="109"/>
      <c r="I124" s="109"/>
      <c r="J124" s="109"/>
      <c r="K124" s="109"/>
      <c r="L124" s="109"/>
      <c r="M124" s="109"/>
      <c r="N124" s="109"/>
      <c r="O124" s="110"/>
    </row>
    <row r="125" spans="1:16" x14ac:dyDescent="0.2">
      <c r="A125" s="72" t="s">
        <v>117</v>
      </c>
      <c r="B125" s="68"/>
      <c r="C125" s="68"/>
      <c r="D125" s="165"/>
      <c r="E125" s="166" t="s">
        <v>27</v>
      </c>
      <c r="F125" s="70" t="s">
        <v>53</v>
      </c>
      <c r="G125" s="167">
        <v>1</v>
      </c>
      <c r="H125" s="168">
        <v>450</v>
      </c>
      <c r="I125" s="167">
        <v>1</v>
      </c>
      <c r="J125" s="169">
        <f>G125*H125*I125</f>
        <v>450</v>
      </c>
      <c r="K125" s="71"/>
      <c r="L125" s="71"/>
      <c r="M125" s="544">
        <f>J125</f>
        <v>450</v>
      </c>
      <c r="N125" s="558">
        <f>M125/J125</f>
        <v>1</v>
      </c>
      <c r="O125" s="71"/>
    </row>
    <row r="126" spans="1:16" x14ac:dyDescent="0.2">
      <c r="A126" s="72" t="s">
        <v>118</v>
      </c>
      <c r="B126" s="68"/>
      <c r="C126" s="68"/>
      <c r="D126" s="165"/>
      <c r="E126" s="166" t="s">
        <v>27</v>
      </c>
      <c r="F126" s="70" t="s">
        <v>53</v>
      </c>
      <c r="G126" s="167">
        <v>1</v>
      </c>
      <c r="H126" s="168">
        <v>200</v>
      </c>
      <c r="I126" s="167">
        <v>1</v>
      </c>
      <c r="J126" s="169">
        <f>G126*H126*I126</f>
        <v>200</v>
      </c>
      <c r="K126" s="71"/>
      <c r="L126" s="71"/>
      <c r="M126" s="544">
        <f t="shared" ref="M126:M127" si="12">J126</f>
        <v>200</v>
      </c>
      <c r="N126" s="558">
        <f t="shared" ref="N126:N127" si="13">M126/J126</f>
        <v>1</v>
      </c>
      <c r="O126" s="132"/>
    </row>
    <row r="127" spans="1:16" x14ac:dyDescent="0.2">
      <c r="A127" s="72" t="s">
        <v>119</v>
      </c>
      <c r="B127" s="68"/>
      <c r="C127" s="68"/>
      <c r="D127" s="165"/>
      <c r="E127" s="166" t="s">
        <v>27</v>
      </c>
      <c r="F127" s="70" t="s">
        <v>53</v>
      </c>
      <c r="G127" s="167">
        <v>2</v>
      </c>
      <c r="H127" s="168">
        <v>200</v>
      </c>
      <c r="I127" s="167">
        <v>1</v>
      </c>
      <c r="J127" s="169">
        <f>G127*H127*I127</f>
        <v>400</v>
      </c>
      <c r="K127" s="71"/>
      <c r="L127" s="71"/>
      <c r="M127" s="544">
        <f t="shared" si="12"/>
        <v>400</v>
      </c>
      <c r="N127" s="558">
        <f t="shared" si="13"/>
        <v>1</v>
      </c>
      <c r="O127" s="132"/>
    </row>
    <row r="128" spans="1:16" x14ac:dyDescent="0.2">
      <c r="A128" s="26"/>
      <c r="B128" s="28"/>
      <c r="C128" s="28"/>
      <c r="D128" s="28"/>
      <c r="E128" s="76"/>
      <c r="F128" s="14" t="s">
        <v>0</v>
      </c>
      <c r="G128" s="14"/>
      <c r="H128" s="14"/>
      <c r="I128" s="14"/>
      <c r="J128" s="55">
        <f>SUM(J125:J127)</f>
        <v>1050</v>
      </c>
      <c r="K128" s="139"/>
      <c r="L128" s="55"/>
      <c r="M128" s="55">
        <f>SUM(M125:M127)</f>
        <v>1050</v>
      </c>
      <c r="N128" s="151">
        <f>M128/J128</f>
        <v>1</v>
      </c>
      <c r="O128" s="55"/>
      <c r="P128" s="573"/>
    </row>
    <row r="129" spans="1:16" x14ac:dyDescent="0.2">
      <c r="A129" s="108" t="s">
        <v>44</v>
      </c>
      <c r="B129" s="109"/>
      <c r="C129" s="109"/>
      <c r="D129" s="109"/>
      <c r="E129" s="184"/>
      <c r="F129" s="109"/>
      <c r="G129" s="109"/>
      <c r="H129" s="109"/>
      <c r="I129" s="109"/>
      <c r="J129" s="109"/>
      <c r="K129" s="109"/>
      <c r="L129" s="109"/>
      <c r="M129" s="109"/>
      <c r="N129" s="109"/>
      <c r="O129" s="110"/>
      <c r="P129" s="573"/>
    </row>
    <row r="130" spans="1:16" x14ac:dyDescent="0.2">
      <c r="A130" s="26"/>
      <c r="B130" s="24"/>
      <c r="C130" s="24"/>
      <c r="D130" s="24"/>
      <c r="E130" s="21"/>
      <c r="F130" s="70"/>
      <c r="G130" s="20"/>
      <c r="H130" s="20"/>
      <c r="I130" s="20"/>
      <c r="J130" s="443"/>
      <c r="K130" s="71"/>
      <c r="L130" s="71"/>
      <c r="M130" s="544"/>
      <c r="N130" s="544"/>
      <c r="O130" s="71"/>
      <c r="P130" s="573"/>
    </row>
    <row r="131" spans="1:16" x14ac:dyDescent="0.2">
      <c r="A131" s="26"/>
      <c r="B131" s="24"/>
      <c r="C131" s="24"/>
      <c r="D131" s="24"/>
      <c r="E131" s="21"/>
      <c r="F131" s="22"/>
      <c r="G131" s="23"/>
      <c r="H131" s="23"/>
      <c r="I131" s="11"/>
      <c r="J131" s="71"/>
      <c r="K131" s="71"/>
      <c r="L131" s="71"/>
      <c r="M131" s="544"/>
      <c r="N131" s="544"/>
      <c r="O131" s="71"/>
      <c r="P131" s="573"/>
    </row>
    <row r="132" spans="1:16" x14ac:dyDescent="0.2">
      <c r="A132" s="26"/>
      <c r="B132" s="28"/>
      <c r="C132" s="28"/>
      <c r="D132" s="28"/>
      <c r="E132" s="76"/>
      <c r="F132" s="14" t="s">
        <v>0</v>
      </c>
      <c r="G132" s="14"/>
      <c r="H132" s="14"/>
      <c r="I132" s="14"/>
      <c r="J132" s="139">
        <f>SUM(J130:J131)</f>
        <v>0</v>
      </c>
      <c r="K132" s="55"/>
      <c r="L132" s="55"/>
      <c r="M132" s="55"/>
      <c r="N132" s="55"/>
      <c r="O132" s="55"/>
      <c r="P132" s="573"/>
    </row>
    <row r="133" spans="1:16" ht="38.25" x14ac:dyDescent="0.2">
      <c r="A133" s="108" t="s">
        <v>640</v>
      </c>
      <c r="B133" s="109"/>
      <c r="C133" s="18" t="s">
        <v>631</v>
      </c>
      <c r="D133" s="18" t="s">
        <v>632</v>
      </c>
      <c r="E133" s="184"/>
      <c r="F133" s="109"/>
      <c r="G133" s="109"/>
      <c r="H133" s="109"/>
      <c r="I133" s="109"/>
      <c r="J133" s="109"/>
      <c r="K133" s="109"/>
      <c r="L133" s="109"/>
      <c r="M133" s="109"/>
      <c r="N133" s="109"/>
      <c r="O133" s="110"/>
      <c r="P133" s="573"/>
    </row>
    <row r="134" spans="1:16" x14ac:dyDescent="0.2">
      <c r="A134" s="72" t="s">
        <v>67</v>
      </c>
      <c r="B134" s="68"/>
      <c r="C134" s="69" t="s">
        <v>13</v>
      </c>
      <c r="D134" s="165" t="s">
        <v>111</v>
      </c>
      <c r="E134" s="69" t="s">
        <v>13</v>
      </c>
      <c r="F134" s="413" t="s">
        <v>53</v>
      </c>
      <c r="G134" s="193">
        <v>2</v>
      </c>
      <c r="H134" s="193">
        <v>141</v>
      </c>
      <c r="I134" s="193">
        <v>22</v>
      </c>
      <c r="J134" s="194">
        <f>G134*H134*I134</f>
        <v>6204</v>
      </c>
      <c r="K134" s="71"/>
      <c r="L134" s="71"/>
      <c r="M134" s="544">
        <f>423+785+785+498+564+846+1410+893</f>
        <v>6204</v>
      </c>
      <c r="N134" s="558">
        <f>M134/J134</f>
        <v>1</v>
      </c>
      <c r="O134" s="71"/>
      <c r="P134" s="573"/>
    </row>
    <row r="135" spans="1:16" ht="15" x14ac:dyDescent="0.2">
      <c r="A135" s="26"/>
      <c r="B135" s="24"/>
      <c r="C135" s="24"/>
      <c r="D135" s="534" t="s">
        <v>633</v>
      </c>
      <c r="E135" s="21"/>
      <c r="F135" s="22"/>
      <c r="G135" s="11"/>
      <c r="H135" s="11"/>
      <c r="I135" s="11"/>
      <c r="J135" s="71"/>
      <c r="K135" s="71"/>
      <c r="L135" s="71"/>
      <c r="M135" s="544"/>
      <c r="N135" s="558"/>
      <c r="O135" s="71"/>
      <c r="P135" s="573"/>
    </row>
    <row r="136" spans="1:16" x14ac:dyDescent="0.2">
      <c r="A136" s="26"/>
      <c r="B136" s="28"/>
      <c r="C136" s="28"/>
      <c r="D136" s="28"/>
      <c r="E136" s="76"/>
      <c r="F136" s="14" t="s">
        <v>0</v>
      </c>
      <c r="G136" s="14"/>
      <c r="H136" s="14"/>
      <c r="I136" s="14"/>
      <c r="J136" s="55">
        <f>SUM(J134:J135)</f>
        <v>6204</v>
      </c>
      <c r="K136" s="55"/>
      <c r="L136" s="55"/>
      <c r="M136" s="55">
        <f>SUM(M134:M135)</f>
        <v>6204</v>
      </c>
      <c r="N136" s="151">
        <f>M136/J136</f>
        <v>1</v>
      </c>
      <c r="O136" s="55"/>
      <c r="P136" s="573"/>
    </row>
    <row r="137" spans="1:16" x14ac:dyDescent="0.2">
      <c r="A137" s="108" t="s">
        <v>47</v>
      </c>
      <c r="B137" s="109"/>
      <c r="C137" s="109"/>
      <c r="D137" s="109"/>
      <c r="E137" s="184"/>
      <c r="F137" s="109"/>
      <c r="G137" s="109"/>
      <c r="H137" s="109"/>
      <c r="I137" s="109"/>
      <c r="J137" s="109"/>
      <c r="K137" s="109"/>
      <c r="L137" s="109"/>
      <c r="M137" s="572"/>
      <c r="N137" s="572"/>
      <c r="O137" s="578"/>
      <c r="P137" s="573"/>
    </row>
    <row r="138" spans="1:16" x14ac:dyDescent="0.2">
      <c r="A138" s="133"/>
      <c r="B138" s="134"/>
      <c r="C138" s="134"/>
      <c r="D138" s="134"/>
      <c r="E138" s="135"/>
      <c r="F138" s="136"/>
      <c r="G138" s="99"/>
      <c r="H138" s="99"/>
      <c r="I138" s="99"/>
      <c r="J138" s="101"/>
      <c r="K138" s="71"/>
      <c r="L138" s="71"/>
      <c r="M138" s="71"/>
      <c r="N138" s="71"/>
      <c r="O138" s="71"/>
      <c r="P138" s="573"/>
    </row>
    <row r="139" spans="1:16" x14ac:dyDescent="0.2">
      <c r="A139" s="133"/>
      <c r="B139" s="134"/>
      <c r="C139" s="134"/>
      <c r="D139" s="134"/>
      <c r="E139" s="135"/>
      <c r="F139" s="137"/>
      <c r="G139" s="99"/>
      <c r="H139" s="99"/>
      <c r="I139" s="99"/>
      <c r="J139" s="101"/>
      <c r="K139" s="71"/>
      <c r="L139" s="71"/>
      <c r="M139" s="71"/>
      <c r="N139" s="71"/>
      <c r="O139" s="71"/>
      <c r="P139" s="573"/>
    </row>
    <row r="140" spans="1:16" x14ac:dyDescent="0.2">
      <c r="A140" s="77"/>
      <c r="B140" s="78"/>
      <c r="C140" s="78"/>
      <c r="D140" s="78"/>
      <c r="E140" s="79"/>
      <c r="F140" s="14" t="s">
        <v>0</v>
      </c>
      <c r="G140" s="14"/>
      <c r="H140" s="14"/>
      <c r="I140" s="14"/>
      <c r="J140" s="139">
        <f>SUM(J138:J139)</f>
        <v>0</v>
      </c>
      <c r="K140" s="55"/>
      <c r="L140" s="55"/>
      <c r="M140" s="55"/>
      <c r="N140" s="55"/>
      <c r="O140" s="55"/>
      <c r="P140" s="573"/>
    </row>
    <row r="141" spans="1:16" x14ac:dyDescent="0.2">
      <c r="A141" s="108" t="s">
        <v>45</v>
      </c>
      <c r="B141" s="109"/>
      <c r="C141" s="109"/>
      <c r="D141" s="109"/>
      <c r="E141" s="184"/>
      <c r="F141" s="109"/>
      <c r="G141" s="109"/>
      <c r="H141" s="109"/>
      <c r="I141" s="109"/>
      <c r="J141" s="109"/>
      <c r="K141" s="109"/>
      <c r="L141" s="109"/>
      <c r="M141" s="109"/>
      <c r="N141" s="109"/>
      <c r="O141" s="110"/>
      <c r="P141" s="573"/>
    </row>
    <row r="142" spans="1:16" ht="70.5" customHeight="1" x14ac:dyDescent="0.2">
      <c r="A142" s="80" t="s">
        <v>60</v>
      </c>
      <c r="B142" s="266"/>
      <c r="C142" s="266"/>
      <c r="D142" s="172" t="s">
        <v>60</v>
      </c>
      <c r="E142" s="408" t="s">
        <v>14</v>
      </c>
      <c r="F142" s="409" t="s">
        <v>53</v>
      </c>
      <c r="G142" s="410">
        <v>1</v>
      </c>
      <c r="H142" s="411">
        <f>11380+0.95</f>
        <v>11380.95</v>
      </c>
      <c r="I142" s="410">
        <v>1</v>
      </c>
      <c r="J142" s="412">
        <f>G142*H142*I142</f>
        <v>11380.95</v>
      </c>
      <c r="K142" s="517"/>
      <c r="L142" s="71"/>
      <c r="M142" s="543">
        <f>8252+3120</f>
        <v>11372</v>
      </c>
      <c r="N142" s="559">
        <f>M142/J142</f>
        <v>0.99921359816184052</v>
      </c>
      <c r="O142" s="520"/>
      <c r="P142" s="573"/>
    </row>
    <row r="143" spans="1:16" x14ac:dyDescent="0.2">
      <c r="A143" s="32"/>
      <c r="B143" s="32"/>
      <c r="C143" s="32"/>
      <c r="D143" s="24"/>
      <c r="E143" s="21"/>
      <c r="F143" s="14" t="s">
        <v>0</v>
      </c>
      <c r="G143" s="14"/>
      <c r="H143" s="14"/>
      <c r="I143" s="14"/>
      <c r="J143" s="55">
        <f>SUM(J142:J142)</f>
        <v>11380.95</v>
      </c>
      <c r="K143" s="55"/>
      <c r="L143" s="128"/>
      <c r="M143" s="128">
        <f>SUM(M142)</f>
        <v>11372</v>
      </c>
      <c r="N143" s="560">
        <f>SUM(N142)</f>
        <v>0.99921359816184052</v>
      </c>
      <c r="O143" s="55"/>
      <c r="P143" s="581"/>
    </row>
    <row r="144" spans="1:16" x14ac:dyDescent="0.2">
      <c r="A144" s="1714" t="s">
        <v>38</v>
      </c>
      <c r="B144" s="1715"/>
      <c r="C144" s="1715"/>
      <c r="D144" s="1715"/>
      <c r="E144" s="1743"/>
      <c r="F144" s="29"/>
      <c r="G144" s="29"/>
      <c r="H144" s="29"/>
      <c r="I144" s="444"/>
      <c r="J144" s="81">
        <f>J120+J128+J136+J143</f>
        <v>80854.95</v>
      </c>
      <c r="K144" s="82">
        <f>J144/J148</f>
        <v>0.22516603944915625</v>
      </c>
      <c r="L144" s="82"/>
      <c r="M144" s="561">
        <f>M120+M128+M136+M143</f>
        <v>74387.16</v>
      </c>
      <c r="N144" s="562">
        <f>M144/J144</f>
        <v>0.92000749490290956</v>
      </c>
      <c r="O144" s="61"/>
      <c r="P144" s="579"/>
    </row>
    <row r="145" spans="1:17" x14ac:dyDescent="0.2">
      <c r="A145" s="1744"/>
      <c r="B145" s="1745"/>
      <c r="C145" s="1745"/>
      <c r="D145" s="1745"/>
      <c r="E145" s="1746"/>
      <c r="F145" s="1750" t="s">
        <v>37</v>
      </c>
      <c r="G145" s="83"/>
      <c r="H145" s="83"/>
      <c r="I145" s="83"/>
      <c r="J145" s="30" t="s">
        <v>1</v>
      </c>
      <c r="K145" s="180"/>
      <c r="L145" s="84"/>
      <c r="M145" s="84"/>
      <c r="N145" s="84"/>
      <c r="O145" s="30"/>
      <c r="P145" s="573"/>
    </row>
    <row r="146" spans="1:17" x14ac:dyDescent="0.2">
      <c r="A146" s="1747"/>
      <c r="B146" s="1748"/>
      <c r="C146" s="1748"/>
      <c r="D146" s="1748"/>
      <c r="E146" s="1749"/>
      <c r="F146" s="1751"/>
      <c r="G146" s="83"/>
      <c r="H146" s="83"/>
      <c r="I146" s="83"/>
      <c r="J146" s="406">
        <f>J115+J144+0.5</f>
        <v>335598.45</v>
      </c>
      <c r="K146" s="84"/>
      <c r="L146" s="183"/>
      <c r="M146" s="406">
        <f>M115+M144</f>
        <v>308717.89999999997</v>
      </c>
      <c r="N146" s="183"/>
      <c r="O146" s="30"/>
    </row>
    <row r="147" spans="1:17" ht="25.5" x14ac:dyDescent="0.2">
      <c r="A147" s="1732"/>
      <c r="B147" s="1733"/>
      <c r="C147" s="1733"/>
      <c r="D147" s="1733"/>
      <c r="E147" s="1734"/>
      <c r="F147" s="85" t="s">
        <v>49</v>
      </c>
      <c r="G147" s="85"/>
      <c r="H147" s="85"/>
      <c r="I147" s="85"/>
      <c r="J147" s="407">
        <f>J146*0.07</f>
        <v>23491.891500000002</v>
      </c>
      <c r="K147" s="181"/>
      <c r="L147" s="31"/>
      <c r="M147" s="565">
        <f>20273+3219</f>
        <v>23492</v>
      </c>
      <c r="N147" s="567">
        <f>M147/J147</f>
        <v>1.0000046186148952</v>
      </c>
      <c r="O147" s="31"/>
      <c r="P147" s="579"/>
    </row>
    <row r="148" spans="1:17" ht="62.25" customHeight="1" x14ac:dyDescent="0.2">
      <c r="A148" s="1735"/>
      <c r="B148" s="1736"/>
      <c r="C148" s="1736"/>
      <c r="D148" s="1736"/>
      <c r="E148" s="1736"/>
      <c r="F148" s="86" t="s">
        <v>22</v>
      </c>
      <c r="G148" s="87"/>
      <c r="H148" s="87"/>
      <c r="I148" s="87"/>
      <c r="J148" s="407">
        <f>J146+J147</f>
        <v>359090.34150000004</v>
      </c>
      <c r="K148" s="571"/>
      <c r="L148" s="565"/>
      <c r="M148" s="565">
        <f>M146+M147</f>
        <v>332209.89999999997</v>
      </c>
      <c r="N148" s="567">
        <f>M148/J148</f>
        <v>0.92514295598228979</v>
      </c>
      <c r="O148" s="570"/>
      <c r="P148" s="579"/>
      <c r="Q148" s="579"/>
    </row>
    <row r="149" spans="1:17" x14ac:dyDescent="0.2">
      <c r="A149" s="32"/>
      <c r="B149" s="32"/>
      <c r="C149" s="32"/>
      <c r="D149" s="33"/>
      <c r="E149" s="33"/>
      <c r="F149" s="33"/>
      <c r="G149" s="33"/>
      <c r="H149" s="33"/>
      <c r="I149" s="88"/>
      <c r="J149" s="33"/>
      <c r="K149" s="33"/>
      <c r="L149" s="33"/>
      <c r="M149" s="33"/>
      <c r="N149" s="33"/>
      <c r="O149" s="89"/>
      <c r="P149" s="579"/>
    </row>
    <row r="150" spans="1:17" x14ac:dyDescent="0.2">
      <c r="A150" s="34" t="s">
        <v>2</v>
      </c>
      <c r="B150" s="35"/>
      <c r="C150" s="35"/>
      <c r="D150" s="35"/>
      <c r="E150" s="35"/>
      <c r="F150" s="35"/>
      <c r="G150" s="36"/>
      <c r="H150" s="32"/>
      <c r="I150" s="88"/>
      <c r="J150" s="33"/>
      <c r="K150" s="33"/>
      <c r="L150" s="33"/>
      <c r="M150" s="92"/>
      <c r="N150" s="33"/>
      <c r="O150" s="174"/>
      <c r="P150" s="579"/>
    </row>
    <row r="151" spans="1:17" x14ac:dyDescent="0.2">
      <c r="A151" s="37" t="s">
        <v>23</v>
      </c>
      <c r="B151" s="33"/>
      <c r="C151" s="33"/>
      <c r="D151" s="33"/>
      <c r="E151" s="33"/>
      <c r="F151" s="33"/>
      <c r="G151" s="38"/>
      <c r="H151" s="32"/>
      <c r="I151" s="32"/>
      <c r="J151" s="267"/>
      <c r="K151" s="32"/>
      <c r="L151" s="32"/>
      <c r="M151" s="816"/>
      <c r="N151" s="568"/>
      <c r="O151" s="174"/>
      <c r="P151" s="579"/>
    </row>
    <row r="152" spans="1:17" x14ac:dyDescent="0.2">
      <c r="A152" s="1737" t="s">
        <v>32</v>
      </c>
      <c r="B152" s="1738"/>
      <c r="C152" s="1738"/>
      <c r="D152" s="1738"/>
      <c r="E152" s="1738"/>
      <c r="F152" s="1738"/>
      <c r="G152" s="1739"/>
      <c r="H152" s="39"/>
      <c r="I152" s="39"/>
      <c r="J152" s="545"/>
      <c r="K152" s="32"/>
      <c r="L152" s="90"/>
      <c r="M152" s="90"/>
      <c r="N152" s="90"/>
      <c r="O152" s="39"/>
    </row>
    <row r="153" spans="1:17" x14ac:dyDescent="0.2">
      <c r="A153" s="37" t="s">
        <v>50</v>
      </c>
      <c r="B153" s="33"/>
      <c r="C153" s="33"/>
      <c r="D153" s="33"/>
      <c r="E153" s="33"/>
      <c r="F153" s="32"/>
      <c r="G153" s="38"/>
      <c r="H153" s="33"/>
      <c r="I153" s="92"/>
      <c r="J153" s="92"/>
      <c r="K153" s="3"/>
      <c r="L153" s="33"/>
      <c r="M153" s="574"/>
      <c r="N153" s="33"/>
      <c r="O153" s="33"/>
    </row>
    <row r="154" spans="1:17" x14ac:dyDescent="0.2">
      <c r="A154" s="37"/>
      <c r="B154" s="33"/>
      <c r="C154" s="33"/>
      <c r="D154" s="33" t="s">
        <v>24</v>
      </c>
      <c r="E154" s="33"/>
      <c r="F154" s="33"/>
      <c r="G154" s="38"/>
      <c r="H154" s="33"/>
      <c r="I154" s="33"/>
      <c r="J154" s="92"/>
      <c r="K154" s="3"/>
      <c r="L154" s="33"/>
      <c r="M154" s="92"/>
      <c r="N154" s="174"/>
      <c r="O154" s="174"/>
    </row>
    <row r="155" spans="1:17" x14ac:dyDescent="0.2">
      <c r="A155" s="37"/>
      <c r="B155" s="33"/>
      <c r="C155" s="33"/>
      <c r="D155" s="33" t="s">
        <v>25</v>
      </c>
      <c r="E155" s="33"/>
      <c r="F155" s="33"/>
      <c r="G155" s="38"/>
      <c r="H155" s="33"/>
      <c r="I155" s="33"/>
      <c r="J155" s="546"/>
      <c r="K155" s="32"/>
      <c r="L155" s="33"/>
      <c r="M155" s="546"/>
      <c r="N155" s="33"/>
      <c r="O155" s="33"/>
    </row>
    <row r="156" spans="1:17" x14ac:dyDescent="0.2">
      <c r="A156" s="1740" t="s">
        <v>51</v>
      </c>
      <c r="B156" s="1741"/>
      <c r="C156" s="1741"/>
      <c r="D156" s="1741"/>
      <c r="E156" s="1741"/>
      <c r="F156" s="1741"/>
      <c r="G156" s="1742"/>
      <c r="H156" s="33"/>
      <c r="I156" s="33"/>
      <c r="J156" s="33"/>
      <c r="K156" s="33"/>
      <c r="L156" s="33"/>
      <c r="M156" s="33"/>
      <c r="N156" s="33"/>
      <c r="O156" s="33"/>
    </row>
    <row r="157" spans="1:17" x14ac:dyDescent="0.2">
      <c r="A157" s="33"/>
      <c r="B157" s="33"/>
      <c r="C157" s="33"/>
      <c r="D157" s="33"/>
      <c r="E157" s="33"/>
      <c r="F157" s="33"/>
      <c r="G157" s="33"/>
      <c r="H157" s="33"/>
      <c r="I157" s="33"/>
      <c r="J157" s="546"/>
      <c r="K157" s="33"/>
      <c r="L157" s="33"/>
      <c r="M157" s="33"/>
      <c r="N157" s="33"/>
      <c r="O157" s="33"/>
    </row>
    <row r="158" spans="1:17" x14ac:dyDescent="0.2">
      <c r="A158" s="35" t="s">
        <v>35</v>
      </c>
      <c r="B158" s="35"/>
      <c r="C158" s="35"/>
      <c r="D158" s="40"/>
      <c r="E158" s="40"/>
      <c r="F158" s="40"/>
      <c r="G158" s="41"/>
      <c r="H158" s="33"/>
      <c r="I158" s="33"/>
      <c r="J158" s="33"/>
      <c r="K158" s="174"/>
      <c r="L158" s="33"/>
      <c r="M158" s="33"/>
      <c r="N158" s="33"/>
      <c r="O158" s="33"/>
    </row>
    <row r="159" spans="1:17" x14ac:dyDescent="0.2">
      <c r="A159" s="33" t="s">
        <v>11</v>
      </c>
      <c r="B159" s="33"/>
      <c r="C159" s="33"/>
      <c r="D159" s="33"/>
      <c r="E159" s="33"/>
      <c r="F159" s="33"/>
      <c r="G159" s="38"/>
      <c r="H159" s="33"/>
      <c r="I159" s="33"/>
      <c r="J159" s="33"/>
      <c r="K159" s="33"/>
      <c r="L159" s="33"/>
      <c r="M159" s="33"/>
      <c r="N159" s="33"/>
      <c r="O159" s="33"/>
    </row>
    <row r="160" spans="1:17" x14ac:dyDescent="0.2">
      <c r="A160" s="33" t="s">
        <v>12</v>
      </c>
      <c r="B160" s="33"/>
      <c r="C160" s="33"/>
      <c r="D160" s="33"/>
      <c r="E160" s="33"/>
      <c r="F160" s="33"/>
      <c r="G160" s="38"/>
      <c r="H160" s="33"/>
      <c r="I160" s="33"/>
      <c r="J160" s="33"/>
      <c r="K160" s="33"/>
      <c r="L160" s="33"/>
      <c r="M160" s="33"/>
      <c r="N160" s="33"/>
      <c r="O160" s="33"/>
    </row>
    <row r="161" spans="1:15" x14ac:dyDescent="0.2">
      <c r="A161" s="33" t="s">
        <v>27</v>
      </c>
      <c r="B161" s="33"/>
      <c r="C161" s="33"/>
      <c r="D161" s="33"/>
      <c r="E161" s="33"/>
      <c r="F161" s="33"/>
      <c r="G161" s="38"/>
      <c r="H161" s="33"/>
      <c r="I161" s="33"/>
      <c r="J161" s="33"/>
      <c r="K161" s="33"/>
      <c r="L161" s="33"/>
      <c r="M161" s="33"/>
      <c r="N161" s="33"/>
      <c r="O161" s="33"/>
    </row>
    <row r="162" spans="1:15" x14ac:dyDescent="0.2">
      <c r="A162" s="33" t="s">
        <v>33</v>
      </c>
      <c r="B162" s="33"/>
      <c r="C162" s="33"/>
      <c r="D162" s="33"/>
      <c r="E162" s="33"/>
      <c r="F162" s="33"/>
      <c r="G162" s="38"/>
      <c r="H162" s="33"/>
      <c r="I162" s="33"/>
      <c r="J162" s="33"/>
      <c r="K162" s="33"/>
      <c r="L162" s="33"/>
      <c r="M162" s="33"/>
      <c r="N162" s="33"/>
      <c r="O162" s="33"/>
    </row>
    <row r="163" spans="1:15" x14ac:dyDescent="0.2">
      <c r="A163" s="33" t="s">
        <v>13</v>
      </c>
      <c r="B163" s="33"/>
      <c r="C163" s="33"/>
      <c r="D163" s="33"/>
      <c r="E163" s="33"/>
      <c r="F163" s="33"/>
      <c r="G163" s="38"/>
      <c r="H163" s="33"/>
      <c r="I163" s="33"/>
      <c r="J163" s="33"/>
      <c r="K163" s="33"/>
      <c r="L163" s="33"/>
      <c r="M163" s="33"/>
      <c r="N163" s="33"/>
      <c r="O163" s="33"/>
    </row>
    <row r="164" spans="1:15" x14ac:dyDescent="0.2">
      <c r="A164" s="33" t="s">
        <v>34</v>
      </c>
      <c r="B164" s="33"/>
      <c r="C164" s="33"/>
      <c r="D164" s="33"/>
      <c r="E164" s="33"/>
      <c r="F164" s="33"/>
      <c r="G164" s="38"/>
      <c r="H164" s="33"/>
      <c r="I164" s="33"/>
      <c r="J164" s="33"/>
      <c r="K164" s="33"/>
      <c r="L164" s="33"/>
      <c r="M164" s="33"/>
      <c r="N164" s="33"/>
      <c r="O164" s="33"/>
    </row>
    <row r="165" spans="1:15" x14ac:dyDescent="0.2">
      <c r="A165" s="42" t="s">
        <v>14</v>
      </c>
      <c r="B165" s="42"/>
      <c r="C165" s="42"/>
      <c r="D165" s="42"/>
      <c r="E165" s="42"/>
      <c r="F165" s="42"/>
      <c r="G165" s="43"/>
      <c r="H165" s="33"/>
      <c r="I165" s="33"/>
      <c r="J165" s="33"/>
      <c r="K165" s="33"/>
      <c r="L165" s="33"/>
      <c r="M165" s="33"/>
      <c r="N165" s="33"/>
      <c r="O165" s="33"/>
    </row>
  </sheetData>
  <autoFilter ref="A9:O121" xr:uid="{00000000-0009-0000-0000-000002000000}"/>
  <dataConsolidate/>
  <mergeCells count="20">
    <mergeCell ref="A147:E147"/>
    <mergeCell ref="A148:E148"/>
    <mergeCell ref="A152:G152"/>
    <mergeCell ref="A156:G156"/>
    <mergeCell ref="A144:E144"/>
    <mergeCell ref="A145:E146"/>
    <mergeCell ref="F145:F146"/>
    <mergeCell ref="A11:D11"/>
    <mergeCell ref="A10:D10"/>
    <mergeCell ref="A80:A84"/>
    <mergeCell ref="A117:D117"/>
    <mergeCell ref="A114:D114"/>
    <mergeCell ref="A116:D116"/>
    <mergeCell ref="A12:A16"/>
    <mergeCell ref="A17:A65"/>
    <mergeCell ref="A66:A79"/>
    <mergeCell ref="B12:B15"/>
    <mergeCell ref="B17:B65"/>
    <mergeCell ref="B66:B79"/>
    <mergeCell ref="B80:B84"/>
  </mergeCells>
  <dataValidations count="2">
    <dataValidation type="list" allowBlank="1" showInputMessage="1" showErrorMessage="1" sqref="E140 E65 E70 E136 E132 E143 E63 E48:F48 E32 E68 E104:E105 E113" xr:uid="{00000000-0002-0000-0200-000000000000}">
      <formula1>categories</formula1>
    </dataValidation>
    <dataValidation type="list" allowBlank="1" showInputMessage="1" showErrorMessage="1" sqref="E106:E112 E118:E120 E69 E33:E47 E142 E49:E62 E122:E123 E125:E128 E130:E131 E134:E135 E138:E139 E64 E12:E31 E66:E67 E71:E103 A159:C160 C134" xr:uid="{00000000-0002-0000-0200-000001000000}">
      <formula1>$A$159:$A$165</formula1>
    </dataValidation>
  </dataValidations>
  <pageMargins left="0.4" right="0.24" top="0.91" bottom="0.65" header="0" footer="0"/>
  <pageSetup scale="52" orientation="portrait" horizontalDpi="4294967294" r:id="rId1"/>
  <headerFooter alignWithMargins="0">
    <oddFooter>Página &amp;P</oddFooter>
  </headerFooter>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2:O200"/>
  <sheetViews>
    <sheetView topLeftCell="B82" workbookViewId="0">
      <selection activeCell="C88" sqref="C88"/>
    </sheetView>
  </sheetViews>
  <sheetFormatPr defaultColWidth="9.140625" defaultRowHeight="15" x14ac:dyDescent="0.25"/>
  <cols>
    <col min="1" max="1" width="23.42578125" customWidth="1"/>
    <col min="2" max="2" width="27.140625" customWidth="1"/>
    <col min="3" max="3" width="27.42578125" customWidth="1"/>
    <col min="4" max="4" width="25.42578125" customWidth="1"/>
    <col min="5" max="5" width="18.140625" customWidth="1"/>
    <col min="6" max="6" width="17.42578125" customWidth="1"/>
    <col min="7" max="7" width="12.42578125" customWidth="1"/>
    <col min="8" max="8" width="29.140625" customWidth="1"/>
    <col min="9" max="10" width="11.42578125" bestFit="1" customWidth="1"/>
    <col min="11" max="11" width="13.140625" style="603" customWidth="1"/>
    <col min="12" max="12" width="16" customWidth="1"/>
    <col min="14" max="14" width="10.28515625" bestFit="1" customWidth="1"/>
  </cols>
  <sheetData>
    <row r="2" spans="1:12" ht="38.25" x14ac:dyDescent="0.2">
      <c r="A2" s="604" t="s">
        <v>6</v>
      </c>
      <c r="B2" s="604" t="s">
        <v>7</v>
      </c>
      <c r="C2" s="604" t="s">
        <v>31</v>
      </c>
      <c r="D2" s="604" t="s">
        <v>26</v>
      </c>
      <c r="E2" s="604" t="s">
        <v>3</v>
      </c>
      <c r="F2" s="604" t="s">
        <v>4</v>
      </c>
      <c r="G2" s="604" t="s">
        <v>5</v>
      </c>
      <c r="H2" s="605" t="s">
        <v>8</v>
      </c>
      <c r="I2" s="606" t="s">
        <v>649</v>
      </c>
      <c r="J2" s="606" t="s">
        <v>650</v>
      </c>
      <c r="K2" s="607" t="s">
        <v>651</v>
      </c>
      <c r="L2" s="606" t="s">
        <v>30</v>
      </c>
    </row>
    <row r="3" spans="1:12" ht="27" customHeight="1" x14ac:dyDescent="0.25">
      <c r="A3" s="608" t="s">
        <v>39</v>
      </c>
      <c r="B3" s="609"/>
      <c r="C3" s="609"/>
      <c r="D3" s="609"/>
      <c r="E3" s="609"/>
      <c r="F3" s="609"/>
      <c r="G3" s="609"/>
      <c r="H3" s="609"/>
      <c r="I3" s="610"/>
      <c r="J3" s="610"/>
      <c r="K3" s="611"/>
      <c r="L3" s="610"/>
    </row>
    <row r="4" spans="1:12" x14ac:dyDescent="0.25">
      <c r="A4" s="612" t="s">
        <v>402</v>
      </c>
      <c r="B4" s="613"/>
      <c r="C4" s="613"/>
      <c r="D4" s="613"/>
      <c r="E4" s="613"/>
      <c r="F4" s="613"/>
      <c r="G4" s="613"/>
      <c r="H4" s="613"/>
      <c r="I4" s="610"/>
      <c r="J4" s="610"/>
      <c r="K4" s="611"/>
      <c r="L4" s="610"/>
    </row>
    <row r="5" spans="1:12" ht="15" customHeight="1" x14ac:dyDescent="0.25">
      <c r="A5" s="1775" t="s">
        <v>403</v>
      </c>
      <c r="B5" s="614" t="s">
        <v>404</v>
      </c>
      <c r="C5" s="614"/>
      <c r="D5" s="615"/>
      <c r="E5" s="616"/>
      <c r="F5" s="259"/>
      <c r="G5" s="616"/>
      <c r="H5" s="617"/>
      <c r="I5" s="610"/>
      <c r="J5" s="610"/>
      <c r="K5" s="611"/>
      <c r="L5" s="610"/>
    </row>
    <row r="6" spans="1:12" ht="51" x14ac:dyDescent="0.25">
      <c r="A6" s="1776"/>
      <c r="B6" s="618" t="s">
        <v>405</v>
      </c>
      <c r="C6" s="618" t="s">
        <v>34</v>
      </c>
      <c r="D6" s="619" t="s">
        <v>406</v>
      </c>
      <c r="E6" s="620">
        <v>6</v>
      </c>
      <c r="F6" s="621">
        <v>40</v>
      </c>
      <c r="G6" s="620">
        <v>12</v>
      </c>
      <c r="H6" s="622">
        <f>E6*F6*G6</f>
        <v>2880</v>
      </c>
      <c r="I6" s="610"/>
      <c r="J6" s="610"/>
      <c r="K6" s="611"/>
      <c r="L6" s="610"/>
    </row>
    <row r="7" spans="1:12" ht="51" customHeight="1" x14ac:dyDescent="0.25">
      <c r="A7" s="1776"/>
      <c r="B7" s="618" t="s">
        <v>407</v>
      </c>
      <c r="C7" s="618" t="s">
        <v>34</v>
      </c>
      <c r="D7" s="619" t="s">
        <v>406</v>
      </c>
      <c r="E7" s="620">
        <v>4</v>
      </c>
      <c r="F7" s="620">
        <v>100</v>
      </c>
      <c r="G7" s="620">
        <v>12</v>
      </c>
      <c r="H7" s="622">
        <f t="shared" ref="H7:H16" si="0">E7*F7*G7</f>
        <v>4800</v>
      </c>
      <c r="I7" s="610"/>
      <c r="J7" s="610"/>
      <c r="K7" s="611"/>
      <c r="L7" s="610"/>
    </row>
    <row r="8" spans="1:12" ht="25.5" x14ac:dyDescent="0.25">
      <c r="A8" s="1776"/>
      <c r="B8" s="618" t="s">
        <v>408</v>
      </c>
      <c r="C8" s="618" t="s">
        <v>34</v>
      </c>
      <c r="D8" s="623" t="s">
        <v>406</v>
      </c>
      <c r="E8" s="624">
        <v>4</v>
      </c>
      <c r="F8" s="624">
        <v>40</v>
      </c>
      <c r="G8" s="624">
        <v>12</v>
      </c>
      <c r="H8" s="622">
        <f t="shared" si="0"/>
        <v>1920</v>
      </c>
      <c r="I8" s="610"/>
      <c r="J8" s="610"/>
      <c r="K8" s="611"/>
      <c r="L8" s="610"/>
    </row>
    <row r="9" spans="1:12" ht="51" customHeight="1" x14ac:dyDescent="0.25">
      <c r="A9" s="1776"/>
      <c r="B9" s="618" t="s">
        <v>409</v>
      </c>
      <c r="C9" s="618" t="s">
        <v>34</v>
      </c>
      <c r="D9" s="623" t="s">
        <v>406</v>
      </c>
      <c r="E9" s="624">
        <v>2</v>
      </c>
      <c r="F9" s="624">
        <v>40</v>
      </c>
      <c r="G9" s="624">
        <v>12</v>
      </c>
      <c r="H9" s="622">
        <f t="shared" si="0"/>
        <v>960</v>
      </c>
      <c r="I9" s="610"/>
      <c r="J9" s="610"/>
      <c r="K9" s="611"/>
      <c r="L9" s="610"/>
    </row>
    <row r="10" spans="1:12" ht="38.25" customHeight="1" x14ac:dyDescent="0.25">
      <c r="A10" s="1776"/>
      <c r="B10" s="618" t="s">
        <v>410</v>
      </c>
      <c r="C10" s="618" t="s">
        <v>34</v>
      </c>
      <c r="D10" s="623" t="s">
        <v>406</v>
      </c>
      <c r="E10" s="624">
        <v>1</v>
      </c>
      <c r="F10" s="624">
        <v>9960</v>
      </c>
      <c r="G10" s="624">
        <v>1</v>
      </c>
      <c r="H10" s="622">
        <f t="shared" si="0"/>
        <v>9960</v>
      </c>
      <c r="I10" s="610"/>
      <c r="J10" s="610"/>
      <c r="K10" s="611"/>
      <c r="L10" s="610"/>
    </row>
    <row r="11" spans="1:12" x14ac:dyDescent="0.25">
      <c r="A11" s="1776"/>
      <c r="B11" s="618" t="s">
        <v>411</v>
      </c>
      <c r="C11" s="618" t="s">
        <v>34</v>
      </c>
      <c r="D11" s="623" t="s">
        <v>406</v>
      </c>
      <c r="E11" s="624">
        <v>1</v>
      </c>
      <c r="F11" s="624">
        <v>35</v>
      </c>
      <c r="G11" s="624">
        <v>12</v>
      </c>
      <c r="H11" s="622">
        <f t="shared" si="0"/>
        <v>420</v>
      </c>
      <c r="I11" s="610"/>
      <c r="J11" s="610"/>
      <c r="K11" s="611"/>
      <c r="L11" s="610"/>
    </row>
    <row r="12" spans="1:12" x14ac:dyDescent="0.25">
      <c r="A12" s="1776"/>
      <c r="B12" s="618" t="s">
        <v>412</v>
      </c>
      <c r="C12" s="618" t="s">
        <v>34</v>
      </c>
      <c r="D12" s="623" t="s">
        <v>406</v>
      </c>
      <c r="E12" s="624">
        <v>1</v>
      </c>
      <c r="F12" s="624">
        <v>100</v>
      </c>
      <c r="G12" s="624">
        <v>2</v>
      </c>
      <c r="H12" s="622">
        <f t="shared" si="0"/>
        <v>200</v>
      </c>
      <c r="I12" s="610"/>
      <c r="J12" s="610"/>
      <c r="K12" s="611"/>
      <c r="L12" s="610"/>
    </row>
    <row r="13" spans="1:12" x14ac:dyDescent="0.25">
      <c r="A13" s="1776"/>
      <c r="B13" s="618" t="s">
        <v>413</v>
      </c>
      <c r="C13" s="618" t="s">
        <v>34</v>
      </c>
      <c r="D13" s="623" t="s">
        <v>406</v>
      </c>
      <c r="E13" s="624">
        <v>1</v>
      </c>
      <c r="F13" s="624">
        <v>30</v>
      </c>
      <c r="G13" s="624">
        <v>12</v>
      </c>
      <c r="H13" s="622">
        <f t="shared" si="0"/>
        <v>360</v>
      </c>
      <c r="I13" s="610"/>
      <c r="J13" s="610"/>
      <c r="K13" s="611"/>
      <c r="L13" s="610"/>
    </row>
    <row r="14" spans="1:12" x14ac:dyDescent="0.25">
      <c r="A14" s="1776"/>
      <c r="B14" s="618" t="s">
        <v>414</v>
      </c>
      <c r="C14" s="618" t="s">
        <v>34</v>
      </c>
      <c r="D14" s="623" t="s">
        <v>406</v>
      </c>
      <c r="E14" s="624">
        <v>1</v>
      </c>
      <c r="F14" s="624">
        <v>100</v>
      </c>
      <c r="G14" s="624">
        <v>12</v>
      </c>
      <c r="H14" s="622">
        <f t="shared" si="0"/>
        <v>1200</v>
      </c>
      <c r="I14" s="610"/>
      <c r="J14" s="610"/>
      <c r="K14" s="611"/>
      <c r="L14" s="610"/>
    </row>
    <row r="15" spans="1:12" ht="25.5" customHeight="1" x14ac:dyDescent="0.25">
      <c r="A15" s="1776"/>
      <c r="B15" s="618" t="s">
        <v>415</v>
      </c>
      <c r="C15" s="618" t="s">
        <v>34</v>
      </c>
      <c r="D15" s="623" t="s">
        <v>406</v>
      </c>
      <c r="E15" s="624">
        <v>1</v>
      </c>
      <c r="F15" s="624">
        <v>200</v>
      </c>
      <c r="G15" s="624">
        <v>12</v>
      </c>
      <c r="H15" s="622">
        <f t="shared" si="0"/>
        <v>2400</v>
      </c>
      <c r="I15" s="610"/>
      <c r="J15" s="610"/>
      <c r="K15" s="611"/>
      <c r="L15" s="610"/>
    </row>
    <row r="16" spans="1:12" x14ac:dyDescent="0.25">
      <c r="A16" s="1776"/>
      <c r="B16" s="618" t="s">
        <v>416</v>
      </c>
      <c r="C16" s="618" t="s">
        <v>34</v>
      </c>
      <c r="D16" s="623" t="s">
        <v>406</v>
      </c>
      <c r="E16" s="624">
        <v>30</v>
      </c>
      <c r="F16" s="624">
        <v>5</v>
      </c>
      <c r="G16" s="624">
        <v>10</v>
      </c>
      <c r="H16" s="622">
        <f t="shared" si="0"/>
        <v>1500</v>
      </c>
      <c r="I16" s="610"/>
      <c r="J16" s="610"/>
      <c r="K16" s="611"/>
      <c r="L16" s="610"/>
    </row>
    <row r="17" spans="1:12" x14ac:dyDescent="0.25">
      <c r="A17" s="1776"/>
      <c r="B17" s="625"/>
      <c r="C17" s="625"/>
      <c r="D17" s="626" t="s">
        <v>417</v>
      </c>
      <c r="E17" s="627"/>
      <c r="F17" s="627"/>
      <c r="G17" s="627"/>
      <c r="H17" s="628">
        <f>SUM(H6:H16)</f>
        <v>26600</v>
      </c>
      <c r="I17" s="629">
        <v>29817</v>
      </c>
      <c r="J17" s="630">
        <v>29720</v>
      </c>
      <c r="K17" s="631">
        <f>(J17/I17)*100</f>
        <v>99.674682228259044</v>
      </c>
      <c r="L17" s="632"/>
    </row>
    <row r="18" spans="1:12" ht="38.25" customHeight="1" x14ac:dyDescent="0.25">
      <c r="A18" s="1776"/>
      <c r="B18" s="614" t="s">
        <v>418</v>
      </c>
      <c r="C18" s="614"/>
      <c r="D18" s="615"/>
      <c r="E18" s="616"/>
      <c r="F18" s="633"/>
      <c r="G18" s="616"/>
      <c r="H18" s="617"/>
      <c r="I18" s="634"/>
      <c r="J18" s="635"/>
      <c r="K18" s="636"/>
      <c r="L18" s="635"/>
    </row>
    <row r="19" spans="1:12" ht="25.5" customHeight="1" x14ac:dyDescent="0.25">
      <c r="A19" s="1776"/>
      <c r="B19" s="637" t="s">
        <v>419</v>
      </c>
      <c r="C19" s="637" t="s">
        <v>12</v>
      </c>
      <c r="D19" s="638" t="s">
        <v>406</v>
      </c>
      <c r="E19" s="621">
        <v>1</v>
      </c>
      <c r="F19" s="639">
        <v>50</v>
      </c>
      <c r="G19" s="621">
        <v>12</v>
      </c>
      <c r="H19" s="622">
        <f t="shared" ref="H19:H27" si="1">E19*F19*G19</f>
        <v>600</v>
      </c>
      <c r="I19" s="640"/>
      <c r="J19" s="610"/>
      <c r="K19" s="641"/>
      <c r="L19" s="610"/>
    </row>
    <row r="20" spans="1:12" ht="38.25" customHeight="1" x14ac:dyDescent="0.25">
      <c r="A20" s="1776"/>
      <c r="B20" s="637" t="s">
        <v>420</v>
      </c>
      <c r="C20" s="637" t="s">
        <v>34</v>
      </c>
      <c r="D20" s="638" t="s">
        <v>406</v>
      </c>
      <c r="E20" s="621">
        <v>70</v>
      </c>
      <c r="F20" s="639">
        <v>30</v>
      </c>
      <c r="G20" s="621">
        <v>3</v>
      </c>
      <c r="H20" s="622">
        <f t="shared" si="1"/>
        <v>6300</v>
      </c>
      <c r="I20" s="640"/>
      <c r="J20" s="610"/>
      <c r="K20" s="641"/>
      <c r="L20" s="610"/>
    </row>
    <row r="21" spans="1:12" ht="25.5" customHeight="1" x14ac:dyDescent="0.25">
      <c r="A21" s="1776"/>
      <c r="B21" s="637" t="s">
        <v>421</v>
      </c>
      <c r="C21" s="637" t="s">
        <v>34</v>
      </c>
      <c r="D21" s="638" t="s">
        <v>406</v>
      </c>
      <c r="E21" s="621">
        <v>70</v>
      </c>
      <c r="F21" s="639">
        <v>50</v>
      </c>
      <c r="G21" s="621">
        <v>1</v>
      </c>
      <c r="H21" s="622">
        <f t="shared" si="1"/>
        <v>3500</v>
      </c>
      <c r="I21" s="640"/>
      <c r="J21" s="610"/>
      <c r="K21" s="641"/>
      <c r="L21" s="610"/>
    </row>
    <row r="22" spans="1:12" ht="25.5" customHeight="1" x14ac:dyDescent="0.25">
      <c r="A22" s="1776"/>
      <c r="B22" s="637" t="s">
        <v>422</v>
      </c>
      <c r="C22" s="637" t="s">
        <v>34</v>
      </c>
      <c r="D22" s="638" t="s">
        <v>406</v>
      </c>
      <c r="E22" s="621">
        <v>70</v>
      </c>
      <c r="F22" s="639">
        <v>30</v>
      </c>
      <c r="G22" s="621">
        <v>1</v>
      </c>
      <c r="H22" s="622">
        <f t="shared" si="1"/>
        <v>2100</v>
      </c>
      <c r="I22" s="640"/>
      <c r="J22" s="610"/>
      <c r="K22" s="641"/>
      <c r="L22" s="610"/>
    </row>
    <row r="23" spans="1:12" ht="25.5" customHeight="1" x14ac:dyDescent="0.25">
      <c r="A23" s="1776"/>
      <c r="B23" s="637" t="s">
        <v>423</v>
      </c>
      <c r="C23" s="637" t="s">
        <v>34</v>
      </c>
      <c r="D23" s="638" t="s">
        <v>406</v>
      </c>
      <c r="E23" s="621">
        <v>70</v>
      </c>
      <c r="F23" s="639">
        <v>40</v>
      </c>
      <c r="G23" s="621">
        <v>1</v>
      </c>
      <c r="H23" s="622">
        <f t="shared" si="1"/>
        <v>2800</v>
      </c>
      <c r="I23" s="640"/>
      <c r="J23" s="610"/>
      <c r="K23" s="641"/>
      <c r="L23" s="610"/>
    </row>
    <row r="24" spans="1:12" ht="25.5" customHeight="1" x14ac:dyDescent="0.25">
      <c r="A24" s="1776"/>
      <c r="B24" s="618" t="s">
        <v>424</v>
      </c>
      <c r="C24" s="618" t="s">
        <v>34</v>
      </c>
      <c r="D24" s="619" t="s">
        <v>406</v>
      </c>
      <c r="E24" s="619">
        <v>1</v>
      </c>
      <c r="F24" s="619">
        <v>50</v>
      </c>
      <c r="G24" s="619">
        <v>12</v>
      </c>
      <c r="H24" s="261">
        <f t="shared" si="1"/>
        <v>600</v>
      </c>
      <c r="I24" s="640"/>
      <c r="J24" s="610"/>
      <c r="K24" s="641"/>
      <c r="L24" s="610"/>
    </row>
    <row r="25" spans="1:12" x14ac:dyDescent="0.25">
      <c r="A25" s="1776"/>
      <c r="B25" s="618" t="s">
        <v>425</v>
      </c>
      <c r="C25" s="618" t="s">
        <v>34</v>
      </c>
      <c r="D25" s="619" t="s">
        <v>406</v>
      </c>
      <c r="E25" s="619">
        <v>2</v>
      </c>
      <c r="F25" s="619">
        <v>7</v>
      </c>
      <c r="G25" s="619">
        <v>24</v>
      </c>
      <c r="H25" s="261">
        <f t="shared" si="1"/>
        <v>336</v>
      </c>
      <c r="I25" s="640"/>
      <c r="J25" s="610"/>
      <c r="K25" s="641"/>
      <c r="L25" s="610"/>
    </row>
    <row r="26" spans="1:12" x14ac:dyDescent="0.25">
      <c r="A26" s="1776"/>
      <c r="B26" s="618" t="s">
        <v>426</v>
      </c>
      <c r="C26" s="618" t="s">
        <v>34</v>
      </c>
      <c r="D26" s="619" t="s">
        <v>406</v>
      </c>
      <c r="E26" s="619">
        <v>2</v>
      </c>
      <c r="F26" s="619">
        <v>84.6</v>
      </c>
      <c r="G26" s="619">
        <v>12</v>
      </c>
      <c r="H26" s="261">
        <f t="shared" si="1"/>
        <v>2030.3999999999999</v>
      </c>
      <c r="I26" s="640"/>
      <c r="J26" s="610"/>
      <c r="K26" s="641"/>
      <c r="L26" s="610"/>
    </row>
    <row r="27" spans="1:12" x14ac:dyDescent="0.25">
      <c r="A27" s="1776"/>
      <c r="B27" s="618" t="s">
        <v>427</v>
      </c>
      <c r="C27" s="618" t="s">
        <v>34</v>
      </c>
      <c r="D27" s="619" t="s">
        <v>406</v>
      </c>
      <c r="E27" s="619">
        <v>1</v>
      </c>
      <c r="F27" s="619">
        <v>250</v>
      </c>
      <c r="G27" s="619">
        <v>3</v>
      </c>
      <c r="H27" s="261">
        <f t="shared" si="1"/>
        <v>750</v>
      </c>
      <c r="I27" s="640"/>
      <c r="J27" s="610"/>
      <c r="K27" s="641"/>
      <c r="L27" s="610"/>
    </row>
    <row r="28" spans="1:12" x14ac:dyDescent="0.25">
      <c r="A28" s="1776"/>
      <c r="B28" s="625"/>
      <c r="C28" s="625"/>
      <c r="D28" s="626" t="s">
        <v>428</v>
      </c>
      <c r="E28" s="627"/>
      <c r="F28" s="627"/>
      <c r="G28" s="627"/>
      <c r="H28" s="628">
        <f>SUM(H19:H27)</f>
        <v>19016.400000000001</v>
      </c>
      <c r="I28" s="629">
        <v>27141</v>
      </c>
      <c r="J28" s="642">
        <v>27137</v>
      </c>
      <c r="K28" s="631">
        <f t="shared" ref="K28:K86" si="2">(J28/I28)*100</f>
        <v>99.985262149515492</v>
      </c>
      <c r="L28" s="632"/>
    </row>
    <row r="29" spans="1:12" ht="25.5" customHeight="1" x14ac:dyDescent="0.25">
      <c r="A29" s="1776"/>
      <c r="B29" s="643" t="s">
        <v>429</v>
      </c>
      <c r="C29" s="614"/>
      <c r="D29" s="644"/>
      <c r="E29" s="644"/>
      <c r="F29" s="644"/>
      <c r="G29" s="644"/>
      <c r="H29" s="260"/>
      <c r="I29" s="634"/>
      <c r="J29" s="645"/>
      <c r="K29" s="636"/>
      <c r="L29" s="635"/>
    </row>
    <row r="30" spans="1:12" ht="25.5" customHeight="1" x14ac:dyDescent="0.25">
      <c r="A30" s="1776"/>
      <c r="B30" s="618" t="s">
        <v>430</v>
      </c>
      <c r="C30" s="618" t="s">
        <v>13</v>
      </c>
      <c r="D30" s="623" t="s">
        <v>406</v>
      </c>
      <c r="E30" s="624">
        <v>3</v>
      </c>
      <c r="F30" s="624">
        <v>84.6</v>
      </c>
      <c r="G30" s="624">
        <v>8</v>
      </c>
      <c r="H30" s="622">
        <f t="shared" ref="H30:H51" si="3">E30*F30*G30</f>
        <v>2030.3999999999999</v>
      </c>
      <c r="I30" s="640"/>
      <c r="J30" s="610"/>
      <c r="K30" s="641"/>
      <c r="L30" s="610"/>
    </row>
    <row r="31" spans="1:12" x14ac:dyDescent="0.25">
      <c r="A31" s="1776"/>
      <c r="B31" s="618" t="s">
        <v>431</v>
      </c>
      <c r="C31" s="618" t="s">
        <v>13</v>
      </c>
      <c r="D31" s="623" t="s">
        <v>406</v>
      </c>
      <c r="E31" s="624">
        <v>2</v>
      </c>
      <c r="F31" s="624">
        <v>84.6</v>
      </c>
      <c r="G31" s="624">
        <v>8</v>
      </c>
      <c r="H31" s="622">
        <f t="shared" si="3"/>
        <v>1353.6</v>
      </c>
      <c r="I31" s="640"/>
      <c r="J31" s="610"/>
      <c r="K31" s="641"/>
      <c r="L31" s="610"/>
    </row>
    <row r="32" spans="1:12" x14ac:dyDescent="0.25">
      <c r="A32" s="1776"/>
      <c r="B32" s="618" t="s">
        <v>432</v>
      </c>
      <c r="C32" s="618" t="s">
        <v>13</v>
      </c>
      <c r="D32" s="623" t="s">
        <v>406</v>
      </c>
      <c r="E32" s="624">
        <v>2</v>
      </c>
      <c r="F32" s="624">
        <v>84.6</v>
      </c>
      <c r="G32" s="624">
        <v>8</v>
      </c>
      <c r="H32" s="622">
        <f t="shared" si="3"/>
        <v>1353.6</v>
      </c>
      <c r="I32" s="640"/>
      <c r="J32" s="610"/>
      <c r="K32" s="641"/>
      <c r="L32" s="610"/>
    </row>
    <row r="33" spans="1:12" x14ac:dyDescent="0.25">
      <c r="A33" s="1776"/>
      <c r="B33" s="618" t="s">
        <v>433</v>
      </c>
      <c r="C33" s="618" t="s">
        <v>13</v>
      </c>
      <c r="D33" s="623" t="s">
        <v>406</v>
      </c>
      <c r="E33" s="624">
        <v>1</v>
      </c>
      <c r="F33" s="624">
        <v>84.6</v>
      </c>
      <c r="G33" s="624">
        <v>10</v>
      </c>
      <c r="H33" s="622">
        <f t="shared" si="3"/>
        <v>846</v>
      </c>
      <c r="I33" s="640"/>
      <c r="J33" s="610"/>
      <c r="K33" s="641"/>
      <c r="L33" s="610"/>
    </row>
    <row r="34" spans="1:12" ht="38.25" customHeight="1" x14ac:dyDescent="0.25">
      <c r="A34" s="1776"/>
      <c r="B34" s="618" t="s">
        <v>434</v>
      </c>
      <c r="C34" s="618" t="s">
        <v>14</v>
      </c>
      <c r="D34" s="623" t="s">
        <v>406</v>
      </c>
      <c r="E34" s="624">
        <v>1</v>
      </c>
      <c r="F34" s="624">
        <v>84.6</v>
      </c>
      <c r="G34" s="624">
        <v>8</v>
      </c>
      <c r="H34" s="622">
        <f t="shared" si="3"/>
        <v>676.8</v>
      </c>
      <c r="I34" s="640"/>
      <c r="J34" s="610"/>
      <c r="K34" s="641"/>
      <c r="L34" s="610"/>
    </row>
    <row r="35" spans="1:12" ht="38.25" customHeight="1" x14ac:dyDescent="0.25">
      <c r="A35" s="1776"/>
      <c r="B35" s="618" t="s">
        <v>435</v>
      </c>
      <c r="C35" s="618" t="s">
        <v>14</v>
      </c>
      <c r="D35" s="623" t="s">
        <v>406</v>
      </c>
      <c r="E35" s="624">
        <v>1</v>
      </c>
      <c r="F35" s="624">
        <v>84.6</v>
      </c>
      <c r="G35" s="624">
        <v>8</v>
      </c>
      <c r="H35" s="622">
        <f t="shared" si="3"/>
        <v>676.8</v>
      </c>
      <c r="I35" s="640"/>
      <c r="J35" s="610"/>
      <c r="K35" s="641"/>
      <c r="L35" s="610"/>
    </row>
    <row r="36" spans="1:12" ht="38.25" customHeight="1" x14ac:dyDescent="0.25">
      <c r="A36" s="1776"/>
      <c r="B36" s="618" t="s">
        <v>436</v>
      </c>
      <c r="C36" s="618" t="s">
        <v>14</v>
      </c>
      <c r="D36" s="623" t="s">
        <v>406</v>
      </c>
      <c r="E36" s="624">
        <v>1</v>
      </c>
      <c r="F36" s="624">
        <v>84.6</v>
      </c>
      <c r="G36" s="624">
        <v>8</v>
      </c>
      <c r="H36" s="622">
        <f t="shared" si="3"/>
        <v>676.8</v>
      </c>
      <c r="I36" s="640"/>
      <c r="J36" s="610"/>
      <c r="K36" s="641"/>
      <c r="L36" s="610"/>
    </row>
    <row r="37" spans="1:12" x14ac:dyDescent="0.25">
      <c r="A37" s="1776"/>
      <c r="B37" s="618" t="s">
        <v>437</v>
      </c>
      <c r="C37" s="618" t="s">
        <v>13</v>
      </c>
      <c r="D37" s="623" t="s">
        <v>406</v>
      </c>
      <c r="E37" s="624">
        <v>8</v>
      </c>
      <c r="F37" s="624">
        <v>21</v>
      </c>
      <c r="G37" s="624">
        <v>8</v>
      </c>
      <c r="H37" s="622">
        <f t="shared" si="3"/>
        <v>1344</v>
      </c>
      <c r="I37" s="640"/>
      <c r="J37" s="610"/>
      <c r="K37" s="641"/>
      <c r="L37" s="610"/>
    </row>
    <row r="38" spans="1:12" ht="38.25" customHeight="1" x14ac:dyDescent="0.25">
      <c r="A38" s="1776"/>
      <c r="B38" s="618" t="s">
        <v>438</v>
      </c>
      <c r="C38" s="618" t="s">
        <v>14</v>
      </c>
      <c r="D38" s="623" t="s">
        <v>406</v>
      </c>
      <c r="E38" s="624">
        <v>50</v>
      </c>
      <c r="F38" s="624">
        <v>10</v>
      </c>
      <c r="G38" s="624">
        <v>1</v>
      </c>
      <c r="H38" s="622">
        <f t="shared" si="3"/>
        <v>500</v>
      </c>
      <c r="I38" s="640"/>
      <c r="J38" s="610"/>
      <c r="K38" s="641"/>
      <c r="L38" s="610"/>
    </row>
    <row r="39" spans="1:12" ht="25.5" x14ac:dyDescent="0.25">
      <c r="A39" s="1776"/>
      <c r="B39" s="637" t="s">
        <v>439</v>
      </c>
      <c r="C39" s="637" t="s">
        <v>13</v>
      </c>
      <c r="D39" s="646" t="s">
        <v>406</v>
      </c>
      <c r="E39" s="647">
        <v>50</v>
      </c>
      <c r="F39" s="647">
        <v>40</v>
      </c>
      <c r="G39" s="647">
        <v>4</v>
      </c>
      <c r="H39" s="648">
        <f t="shared" si="3"/>
        <v>8000</v>
      </c>
      <c r="I39" s="640"/>
      <c r="J39" s="610"/>
      <c r="K39" s="641"/>
      <c r="L39" s="610"/>
    </row>
    <row r="40" spans="1:12" ht="38.25" customHeight="1" x14ac:dyDescent="0.25">
      <c r="A40" s="1776"/>
      <c r="B40" s="637" t="s">
        <v>440</v>
      </c>
      <c r="C40" s="637" t="s">
        <v>13</v>
      </c>
      <c r="D40" s="646" t="s">
        <v>406</v>
      </c>
      <c r="E40" s="647">
        <v>50</v>
      </c>
      <c r="F40" s="647">
        <v>20</v>
      </c>
      <c r="G40" s="647">
        <v>8</v>
      </c>
      <c r="H40" s="648">
        <f t="shared" si="3"/>
        <v>8000</v>
      </c>
      <c r="I40" s="640"/>
      <c r="J40" s="610"/>
      <c r="K40" s="641"/>
      <c r="L40" s="610"/>
    </row>
    <row r="41" spans="1:12" x14ac:dyDescent="0.25">
      <c r="A41" s="1776"/>
      <c r="B41" s="618" t="s">
        <v>441</v>
      </c>
      <c r="C41" s="618" t="s">
        <v>13</v>
      </c>
      <c r="D41" s="623" t="s">
        <v>406</v>
      </c>
      <c r="E41" s="624">
        <v>1</v>
      </c>
      <c r="F41" s="624">
        <v>2</v>
      </c>
      <c r="G41" s="624">
        <v>200</v>
      </c>
      <c r="H41" s="622">
        <f t="shared" si="3"/>
        <v>400</v>
      </c>
      <c r="I41" s="640"/>
      <c r="J41" s="610"/>
      <c r="K41" s="641"/>
      <c r="L41" s="610"/>
    </row>
    <row r="42" spans="1:12" ht="25.5" customHeight="1" x14ac:dyDescent="0.25">
      <c r="A42" s="1776"/>
      <c r="B42" s="618" t="s">
        <v>442</v>
      </c>
      <c r="C42" s="618" t="s">
        <v>13</v>
      </c>
      <c r="D42" s="623" t="s">
        <v>406</v>
      </c>
      <c r="E42" s="624">
        <v>1</v>
      </c>
      <c r="F42" s="624">
        <v>400</v>
      </c>
      <c r="G42" s="624">
        <v>6</v>
      </c>
      <c r="H42" s="622">
        <f t="shared" si="3"/>
        <v>2400</v>
      </c>
      <c r="I42" s="640"/>
      <c r="J42" s="610"/>
      <c r="K42" s="641"/>
      <c r="L42" s="610"/>
    </row>
    <row r="43" spans="1:12" x14ac:dyDescent="0.25">
      <c r="A43" s="1776"/>
      <c r="B43" s="618" t="s">
        <v>443</v>
      </c>
      <c r="C43" s="618" t="s">
        <v>13</v>
      </c>
      <c r="D43" s="623" t="s">
        <v>406</v>
      </c>
      <c r="E43" s="624">
        <v>20</v>
      </c>
      <c r="F43" s="624">
        <v>9</v>
      </c>
      <c r="G43" s="624">
        <v>10</v>
      </c>
      <c r="H43" s="622">
        <f t="shared" si="3"/>
        <v>1800</v>
      </c>
      <c r="I43" s="640"/>
      <c r="J43" s="610"/>
      <c r="K43" s="641"/>
      <c r="L43" s="610"/>
    </row>
    <row r="44" spans="1:12" ht="25.5" x14ac:dyDescent="0.25">
      <c r="A44" s="1776"/>
      <c r="B44" s="618" t="s">
        <v>444</v>
      </c>
      <c r="C44" s="618" t="s">
        <v>13</v>
      </c>
      <c r="D44" s="623" t="s">
        <v>406</v>
      </c>
      <c r="E44" s="624">
        <v>8</v>
      </c>
      <c r="F44" s="624">
        <v>9</v>
      </c>
      <c r="G44" s="624">
        <v>10</v>
      </c>
      <c r="H44" s="622">
        <f t="shared" si="3"/>
        <v>720</v>
      </c>
      <c r="I44" s="640"/>
      <c r="J44" s="610"/>
      <c r="K44" s="641"/>
      <c r="L44" s="610"/>
    </row>
    <row r="45" spans="1:12" ht="38.25" customHeight="1" x14ac:dyDescent="0.25">
      <c r="A45" s="1776"/>
      <c r="B45" s="618" t="s">
        <v>445</v>
      </c>
      <c r="C45" s="618" t="s">
        <v>14</v>
      </c>
      <c r="D45" s="623" t="s">
        <v>406</v>
      </c>
      <c r="E45" s="624">
        <v>1</v>
      </c>
      <c r="F45" s="624">
        <v>60</v>
      </c>
      <c r="G45" s="624">
        <v>2</v>
      </c>
      <c r="H45" s="622">
        <f t="shared" si="3"/>
        <v>120</v>
      </c>
      <c r="I45" s="640"/>
      <c r="J45" s="610"/>
      <c r="K45" s="641"/>
      <c r="L45" s="610"/>
    </row>
    <row r="46" spans="1:12" ht="38.25" customHeight="1" x14ac:dyDescent="0.25">
      <c r="A46" s="1776"/>
      <c r="B46" s="618" t="s">
        <v>446</v>
      </c>
      <c r="C46" s="618" t="s">
        <v>14</v>
      </c>
      <c r="D46" s="623" t="s">
        <v>406</v>
      </c>
      <c r="E46" s="624">
        <v>2</v>
      </c>
      <c r="F46" s="624">
        <v>30</v>
      </c>
      <c r="G46" s="624">
        <v>1</v>
      </c>
      <c r="H46" s="622">
        <f t="shared" si="3"/>
        <v>60</v>
      </c>
      <c r="I46" s="640"/>
      <c r="J46" s="610"/>
      <c r="K46" s="641"/>
      <c r="L46" s="610"/>
    </row>
    <row r="47" spans="1:12" ht="38.25" customHeight="1" x14ac:dyDescent="0.25">
      <c r="A47" s="1776"/>
      <c r="B47" s="618" t="s">
        <v>447</v>
      </c>
      <c r="C47" s="618" t="s">
        <v>14</v>
      </c>
      <c r="D47" s="623" t="s">
        <v>406</v>
      </c>
      <c r="E47" s="624">
        <v>1</v>
      </c>
      <c r="F47" s="624">
        <v>30</v>
      </c>
      <c r="G47" s="624">
        <v>2</v>
      </c>
      <c r="H47" s="622">
        <f t="shared" si="3"/>
        <v>60</v>
      </c>
      <c r="I47" s="640"/>
      <c r="J47" s="610"/>
      <c r="K47" s="641"/>
      <c r="L47" s="610"/>
    </row>
    <row r="48" spans="1:12" ht="38.25" customHeight="1" x14ac:dyDescent="0.25">
      <c r="A48" s="1776"/>
      <c r="B48" s="618" t="s">
        <v>448</v>
      </c>
      <c r="C48" s="618" t="s">
        <v>14</v>
      </c>
      <c r="D48" s="623" t="s">
        <v>406</v>
      </c>
      <c r="E48" s="624">
        <v>1</v>
      </c>
      <c r="F48" s="624">
        <v>50</v>
      </c>
      <c r="G48" s="624">
        <v>10</v>
      </c>
      <c r="H48" s="622">
        <f t="shared" si="3"/>
        <v>500</v>
      </c>
      <c r="I48" s="640"/>
      <c r="J48" s="610"/>
      <c r="K48" s="641"/>
      <c r="L48" s="610"/>
    </row>
    <row r="49" spans="1:12" ht="38.25" customHeight="1" x14ac:dyDescent="0.25">
      <c r="A49" s="1776"/>
      <c r="B49" s="618" t="s">
        <v>449</v>
      </c>
      <c r="C49" s="618" t="s">
        <v>14</v>
      </c>
      <c r="D49" s="623" t="s">
        <v>406</v>
      </c>
      <c r="E49" s="624">
        <v>3</v>
      </c>
      <c r="F49" s="624">
        <v>30</v>
      </c>
      <c r="G49" s="624">
        <v>1</v>
      </c>
      <c r="H49" s="622">
        <f t="shared" si="3"/>
        <v>90</v>
      </c>
      <c r="I49" s="640"/>
      <c r="J49" s="610"/>
      <c r="K49" s="641"/>
      <c r="L49" s="610"/>
    </row>
    <row r="50" spans="1:12" ht="25.5" customHeight="1" x14ac:dyDescent="0.25">
      <c r="A50" s="1776"/>
      <c r="B50" s="618" t="s">
        <v>450</v>
      </c>
      <c r="C50" s="618" t="s">
        <v>13</v>
      </c>
      <c r="D50" s="623" t="s">
        <v>406</v>
      </c>
      <c r="E50" s="624">
        <v>2</v>
      </c>
      <c r="F50" s="624">
        <v>141</v>
      </c>
      <c r="G50" s="624">
        <v>10</v>
      </c>
      <c r="H50" s="622">
        <f t="shared" si="3"/>
        <v>2820</v>
      </c>
      <c r="I50" s="640"/>
      <c r="J50" s="610"/>
      <c r="K50" s="641"/>
      <c r="L50" s="610"/>
    </row>
    <row r="51" spans="1:12" x14ac:dyDescent="0.25">
      <c r="A51" s="1776"/>
      <c r="B51" s="618" t="s">
        <v>451</v>
      </c>
      <c r="C51" s="618" t="s">
        <v>13</v>
      </c>
      <c r="D51" s="623" t="s">
        <v>406</v>
      </c>
      <c r="E51" s="624">
        <v>1</v>
      </c>
      <c r="F51" s="624">
        <v>1.2</v>
      </c>
      <c r="G51" s="624">
        <v>400</v>
      </c>
      <c r="H51" s="622">
        <f t="shared" si="3"/>
        <v>480</v>
      </c>
      <c r="I51" s="640"/>
      <c r="J51" s="610"/>
      <c r="K51" s="641"/>
      <c r="L51" s="610"/>
    </row>
    <row r="52" spans="1:12" x14ac:dyDescent="0.25">
      <c r="A52" s="1777"/>
      <c r="B52" s="649"/>
      <c r="C52" s="649"/>
      <c r="D52" s="1764" t="s">
        <v>452</v>
      </c>
      <c r="E52" s="1765"/>
      <c r="F52" s="1765"/>
      <c r="G52" s="1766"/>
      <c r="H52" s="650">
        <f>SUM(H30:H51)</f>
        <v>34908</v>
      </c>
      <c r="I52" s="629">
        <v>28890</v>
      </c>
      <c r="J52" s="651">
        <v>33194</v>
      </c>
      <c r="K52" s="631">
        <f t="shared" si="2"/>
        <v>114.89788854274836</v>
      </c>
      <c r="L52" s="632"/>
    </row>
    <row r="53" spans="1:12" ht="25.5" customHeight="1" x14ac:dyDescent="0.25">
      <c r="A53" s="1778" t="s">
        <v>453</v>
      </c>
      <c r="B53" s="652" t="s">
        <v>454</v>
      </c>
      <c r="C53" s="618" t="s">
        <v>33</v>
      </c>
      <c r="D53" s="624" t="s">
        <v>406</v>
      </c>
      <c r="E53" s="624">
        <v>1</v>
      </c>
      <c r="F53" s="624">
        <v>18625</v>
      </c>
      <c r="G53" s="624">
        <v>1</v>
      </c>
      <c r="H53" s="622">
        <f>E53*F53*G53</f>
        <v>18625</v>
      </c>
      <c r="I53" s="653"/>
      <c r="J53" s="610"/>
      <c r="K53" s="641"/>
      <c r="L53" s="610"/>
    </row>
    <row r="54" spans="1:12" ht="38.25" customHeight="1" x14ac:dyDescent="0.25">
      <c r="A54" s="1779"/>
      <c r="B54" s="654" t="s">
        <v>455</v>
      </c>
      <c r="C54" s="618" t="s">
        <v>14</v>
      </c>
      <c r="D54" s="655" t="s">
        <v>406</v>
      </c>
      <c r="E54" s="624">
        <v>2</v>
      </c>
      <c r="F54" s="624">
        <v>423</v>
      </c>
      <c r="G54" s="624">
        <v>4</v>
      </c>
      <c r="H54" s="622">
        <f>E54*F54*G54</f>
        <v>3384</v>
      </c>
      <c r="I54" s="653"/>
      <c r="J54" s="610"/>
      <c r="K54" s="641"/>
      <c r="L54" s="610"/>
    </row>
    <row r="55" spans="1:12" ht="15" customHeight="1" x14ac:dyDescent="0.25">
      <c r="A55" s="656"/>
      <c r="B55" s="649"/>
      <c r="C55" s="649"/>
      <c r="D55" s="1764" t="s">
        <v>456</v>
      </c>
      <c r="E55" s="1765"/>
      <c r="F55" s="1765"/>
      <c r="G55" s="1766"/>
      <c r="H55" s="262">
        <f>SUM(H53:H54)</f>
        <v>22009</v>
      </c>
      <c r="I55" s="629">
        <v>66350</v>
      </c>
      <c r="J55" s="657">
        <v>53498</v>
      </c>
      <c r="K55" s="631">
        <f t="shared" si="2"/>
        <v>80.629992464204975</v>
      </c>
      <c r="L55" s="632"/>
    </row>
    <row r="56" spans="1:12" ht="38.25" x14ac:dyDescent="0.25">
      <c r="A56" s="658"/>
      <c r="B56" s="652" t="s">
        <v>457</v>
      </c>
      <c r="C56" s="618" t="s">
        <v>14</v>
      </c>
      <c r="D56" s="618" t="s">
        <v>406</v>
      </c>
      <c r="E56" s="624">
        <v>3</v>
      </c>
      <c r="F56" s="624">
        <v>1500</v>
      </c>
      <c r="G56" s="659">
        <v>2</v>
      </c>
      <c r="H56" s="648">
        <f>E56*F56*G56</f>
        <v>9000</v>
      </c>
      <c r="I56" s="660"/>
      <c r="J56" s="610"/>
      <c r="K56" s="661"/>
      <c r="L56" s="610"/>
    </row>
    <row r="57" spans="1:12" x14ac:dyDescent="0.25">
      <c r="A57" s="662"/>
      <c r="B57" s="663"/>
      <c r="C57" s="649"/>
      <c r="D57" s="1764" t="s">
        <v>458</v>
      </c>
      <c r="E57" s="1765"/>
      <c r="F57" s="1765"/>
      <c r="G57" s="1766"/>
      <c r="H57" s="262">
        <f>SUM(H56)</f>
        <v>9000</v>
      </c>
      <c r="I57" s="629">
        <v>38079</v>
      </c>
      <c r="J57" s="657">
        <v>31079</v>
      </c>
      <c r="K57" s="631">
        <f t="shared" si="2"/>
        <v>81.617164316289816</v>
      </c>
      <c r="L57" s="632"/>
    </row>
    <row r="58" spans="1:12" ht="15" customHeight="1" x14ac:dyDescent="0.25">
      <c r="A58" s="1767" t="s">
        <v>459</v>
      </c>
      <c r="B58" s="664" t="s">
        <v>460</v>
      </c>
      <c r="C58" s="665"/>
      <c r="D58" s="665"/>
      <c r="E58" s="665"/>
      <c r="F58" s="665"/>
      <c r="G58" s="665"/>
      <c r="H58" s="665"/>
      <c r="I58" s="640"/>
      <c r="J58" s="610"/>
      <c r="K58" s="641"/>
      <c r="L58" s="610"/>
    </row>
    <row r="59" spans="1:12" ht="38.25" customHeight="1" x14ac:dyDescent="0.25">
      <c r="A59" s="1768"/>
      <c r="B59" s="618" t="s">
        <v>461</v>
      </c>
      <c r="C59" s="618" t="s">
        <v>12</v>
      </c>
      <c r="D59" s="619" t="s">
        <v>406</v>
      </c>
      <c r="E59" s="621">
        <v>1</v>
      </c>
      <c r="F59" s="666">
        <v>1</v>
      </c>
      <c r="G59" s="667">
        <v>8000</v>
      </c>
      <c r="H59" s="622">
        <f>E59*F59*G59</f>
        <v>8000</v>
      </c>
      <c r="I59" s="640"/>
      <c r="J59" s="610"/>
      <c r="K59" s="641"/>
      <c r="L59" s="610"/>
    </row>
    <row r="60" spans="1:12" ht="25.5" customHeight="1" x14ac:dyDescent="0.25">
      <c r="A60" s="1768"/>
      <c r="B60" s="618" t="s">
        <v>462</v>
      </c>
      <c r="C60" s="618" t="s">
        <v>12</v>
      </c>
      <c r="D60" s="619" t="s">
        <v>406</v>
      </c>
      <c r="E60" s="621">
        <v>100</v>
      </c>
      <c r="F60" s="666">
        <v>50</v>
      </c>
      <c r="G60" s="667">
        <v>1</v>
      </c>
      <c r="H60" s="622">
        <f t="shared" ref="H60:H80" si="4">E60*F60*G60</f>
        <v>5000</v>
      </c>
      <c r="I60" s="640"/>
      <c r="J60" s="610"/>
      <c r="K60" s="641"/>
      <c r="L60" s="610"/>
    </row>
    <row r="61" spans="1:12" x14ac:dyDescent="0.25">
      <c r="A61" s="1768"/>
      <c r="B61" s="618" t="s">
        <v>463</v>
      </c>
      <c r="C61" s="618" t="s">
        <v>33</v>
      </c>
      <c r="D61" s="619" t="s">
        <v>406</v>
      </c>
      <c r="E61" s="621">
        <v>1</v>
      </c>
      <c r="F61" s="666">
        <v>4500</v>
      </c>
      <c r="G61" s="667">
        <v>1</v>
      </c>
      <c r="H61" s="622">
        <f t="shared" si="4"/>
        <v>4500</v>
      </c>
      <c r="I61" s="640"/>
      <c r="J61" s="610"/>
      <c r="K61" s="641"/>
      <c r="L61" s="610"/>
    </row>
    <row r="62" spans="1:12" x14ac:dyDescent="0.25">
      <c r="A62" s="1768"/>
      <c r="B62" s="668" t="s">
        <v>464</v>
      </c>
      <c r="C62" s="665"/>
      <c r="D62" s="665"/>
      <c r="E62" s="665"/>
      <c r="F62" s="665"/>
      <c r="G62" s="669"/>
      <c r="H62" s="622">
        <f t="shared" si="4"/>
        <v>0</v>
      </c>
      <c r="I62" s="640"/>
      <c r="J62" s="610"/>
      <c r="K62" s="641"/>
      <c r="L62" s="610"/>
    </row>
    <row r="63" spans="1:12" ht="25.5" customHeight="1" x14ac:dyDescent="0.25">
      <c r="A63" s="1768"/>
      <c r="B63" s="618" t="s">
        <v>465</v>
      </c>
      <c r="C63" s="618" t="s">
        <v>13</v>
      </c>
      <c r="D63" s="619" t="s">
        <v>406</v>
      </c>
      <c r="E63" s="670">
        <v>30</v>
      </c>
      <c r="F63" s="670">
        <v>6</v>
      </c>
      <c r="G63" s="619">
        <v>9</v>
      </c>
      <c r="H63" s="622">
        <f t="shared" si="4"/>
        <v>1620</v>
      </c>
      <c r="I63" s="640"/>
      <c r="J63" s="610"/>
      <c r="K63" s="641"/>
      <c r="L63" s="610"/>
    </row>
    <row r="64" spans="1:12" x14ac:dyDescent="0.25">
      <c r="A64" s="1768"/>
      <c r="B64" s="618" t="s">
        <v>466</v>
      </c>
      <c r="C64" s="618" t="s">
        <v>13</v>
      </c>
      <c r="D64" s="623" t="s">
        <v>406</v>
      </c>
      <c r="E64" s="671">
        <v>30</v>
      </c>
      <c r="F64" s="671">
        <v>14</v>
      </c>
      <c r="G64" s="623">
        <v>9</v>
      </c>
      <c r="H64" s="622">
        <f t="shared" si="4"/>
        <v>3780</v>
      </c>
      <c r="I64" s="640"/>
      <c r="J64" s="610"/>
      <c r="K64" s="641"/>
      <c r="L64" s="610"/>
    </row>
    <row r="65" spans="1:12" ht="38.25" customHeight="1" x14ac:dyDescent="0.25">
      <c r="A65" s="1768"/>
      <c r="B65" s="618" t="s">
        <v>61</v>
      </c>
      <c r="C65" s="618" t="s">
        <v>14</v>
      </c>
      <c r="D65" s="623" t="s">
        <v>406</v>
      </c>
      <c r="E65" s="671">
        <v>1</v>
      </c>
      <c r="F65" s="671">
        <v>100</v>
      </c>
      <c r="G65" s="623">
        <v>3</v>
      </c>
      <c r="H65" s="622">
        <f t="shared" si="4"/>
        <v>300</v>
      </c>
      <c r="I65" s="640"/>
      <c r="J65" s="610"/>
      <c r="K65" s="641"/>
      <c r="L65" s="610"/>
    </row>
    <row r="66" spans="1:12" ht="25.5" customHeight="1" x14ac:dyDescent="0.25">
      <c r="A66" s="1768"/>
      <c r="B66" s="618" t="s">
        <v>467</v>
      </c>
      <c r="C66" s="618" t="s">
        <v>13</v>
      </c>
      <c r="D66" s="623" t="s">
        <v>406</v>
      </c>
      <c r="E66" s="671">
        <v>3</v>
      </c>
      <c r="F66" s="671">
        <v>100</v>
      </c>
      <c r="G66" s="623">
        <v>3</v>
      </c>
      <c r="H66" s="622">
        <f t="shared" si="4"/>
        <v>900</v>
      </c>
      <c r="I66" s="640"/>
      <c r="J66" s="610"/>
      <c r="K66" s="641"/>
      <c r="L66" s="610"/>
    </row>
    <row r="67" spans="1:12" x14ac:dyDescent="0.25">
      <c r="A67" s="1768"/>
      <c r="B67" s="618" t="s">
        <v>468</v>
      </c>
      <c r="C67" s="618" t="s">
        <v>13</v>
      </c>
      <c r="D67" s="623" t="s">
        <v>406</v>
      </c>
      <c r="E67" s="671">
        <v>2</v>
      </c>
      <c r="F67" s="671">
        <v>170</v>
      </c>
      <c r="G67" s="623">
        <v>6</v>
      </c>
      <c r="H67" s="622">
        <f t="shared" si="4"/>
        <v>2040</v>
      </c>
      <c r="I67" s="640"/>
      <c r="J67" s="610"/>
      <c r="K67" s="641"/>
      <c r="L67" s="610"/>
    </row>
    <row r="68" spans="1:12" x14ac:dyDescent="0.25">
      <c r="A68" s="1768"/>
      <c r="B68" s="618" t="s">
        <v>469</v>
      </c>
      <c r="C68" s="618" t="s">
        <v>13</v>
      </c>
      <c r="D68" s="623" t="s">
        <v>406</v>
      </c>
      <c r="E68" s="671">
        <v>4</v>
      </c>
      <c r="F68" s="671">
        <v>1.2</v>
      </c>
      <c r="G68" s="623">
        <v>100</v>
      </c>
      <c r="H68" s="622">
        <f t="shared" si="4"/>
        <v>480</v>
      </c>
      <c r="I68" s="640"/>
      <c r="J68" s="610"/>
      <c r="K68" s="641"/>
      <c r="L68" s="610"/>
    </row>
    <row r="69" spans="1:12" ht="38.25" customHeight="1" x14ac:dyDescent="0.25">
      <c r="A69" s="1768"/>
      <c r="B69" s="618" t="s">
        <v>470</v>
      </c>
      <c r="C69" s="618" t="s">
        <v>14</v>
      </c>
      <c r="D69" s="623" t="s">
        <v>406</v>
      </c>
      <c r="E69" s="671">
        <v>100</v>
      </c>
      <c r="F69" s="671">
        <v>3</v>
      </c>
      <c r="G69" s="623">
        <v>1</v>
      </c>
      <c r="H69" s="622">
        <f t="shared" si="4"/>
        <v>300</v>
      </c>
      <c r="I69" s="640"/>
      <c r="J69" s="610"/>
      <c r="K69" s="641"/>
      <c r="L69" s="610"/>
    </row>
    <row r="70" spans="1:12" ht="38.25" customHeight="1" x14ac:dyDescent="0.25">
      <c r="A70" s="1768"/>
      <c r="B70" s="618" t="s">
        <v>471</v>
      </c>
      <c r="C70" s="618" t="s">
        <v>14</v>
      </c>
      <c r="D70" s="623" t="s">
        <v>406</v>
      </c>
      <c r="E70" s="671">
        <v>1</v>
      </c>
      <c r="F70" s="671">
        <v>6</v>
      </c>
      <c r="G70" s="623">
        <v>3</v>
      </c>
      <c r="H70" s="622">
        <f t="shared" si="4"/>
        <v>18</v>
      </c>
      <c r="I70" s="640"/>
      <c r="J70" s="610"/>
      <c r="K70" s="641"/>
      <c r="L70" s="610"/>
    </row>
    <row r="71" spans="1:12" ht="38.25" customHeight="1" x14ac:dyDescent="0.25">
      <c r="A71" s="1768"/>
      <c r="B71" s="618" t="s">
        <v>472</v>
      </c>
      <c r="C71" s="618" t="s">
        <v>14</v>
      </c>
      <c r="D71" s="623" t="s">
        <v>406</v>
      </c>
      <c r="E71" s="671">
        <v>30</v>
      </c>
      <c r="F71" s="671">
        <v>2</v>
      </c>
      <c r="G71" s="623">
        <v>9</v>
      </c>
      <c r="H71" s="622">
        <f t="shared" si="4"/>
        <v>540</v>
      </c>
      <c r="I71" s="640"/>
      <c r="J71" s="610"/>
      <c r="K71" s="641"/>
      <c r="L71" s="610"/>
    </row>
    <row r="72" spans="1:12" ht="25.5" customHeight="1" x14ac:dyDescent="0.25">
      <c r="A72" s="1768"/>
      <c r="B72" s="618" t="s">
        <v>98</v>
      </c>
      <c r="C72" s="618" t="s">
        <v>12</v>
      </c>
      <c r="D72" s="623" t="s">
        <v>406</v>
      </c>
      <c r="E72" s="671">
        <v>3</v>
      </c>
      <c r="F72" s="671">
        <v>60</v>
      </c>
      <c r="G72" s="623">
        <v>3</v>
      </c>
      <c r="H72" s="622">
        <f t="shared" si="4"/>
        <v>540</v>
      </c>
      <c r="I72" s="640"/>
      <c r="J72" s="610"/>
      <c r="K72" s="641"/>
      <c r="L72" s="610"/>
    </row>
    <row r="73" spans="1:12" ht="38.25" customHeight="1" x14ac:dyDescent="0.25">
      <c r="A73" s="1768"/>
      <c r="B73" s="618" t="s">
        <v>473</v>
      </c>
      <c r="C73" s="618" t="s">
        <v>14</v>
      </c>
      <c r="D73" s="623" t="s">
        <v>406</v>
      </c>
      <c r="E73" s="671">
        <v>3</v>
      </c>
      <c r="F73" s="671">
        <v>60</v>
      </c>
      <c r="G73" s="623">
        <v>3</v>
      </c>
      <c r="H73" s="622">
        <f t="shared" si="4"/>
        <v>540</v>
      </c>
      <c r="I73" s="640"/>
      <c r="J73" s="610"/>
      <c r="K73" s="641"/>
      <c r="L73" s="610"/>
    </row>
    <row r="74" spans="1:12" ht="38.25" customHeight="1" x14ac:dyDescent="0.25">
      <c r="A74" s="1768"/>
      <c r="B74" s="672" t="s">
        <v>474</v>
      </c>
      <c r="C74" s="665"/>
      <c r="D74" s="665"/>
      <c r="E74" s="665"/>
      <c r="F74" s="665"/>
      <c r="G74" s="665"/>
      <c r="H74" s="622"/>
      <c r="I74" s="640"/>
      <c r="J74" s="610"/>
      <c r="K74" s="641"/>
      <c r="L74" s="610"/>
    </row>
    <row r="75" spans="1:12" ht="38.25" customHeight="1" x14ac:dyDescent="0.25">
      <c r="A75" s="1768"/>
      <c r="B75" s="618" t="s">
        <v>475</v>
      </c>
      <c r="C75" s="618" t="s">
        <v>14</v>
      </c>
      <c r="D75" s="623" t="s">
        <v>406</v>
      </c>
      <c r="E75" s="671">
        <v>120</v>
      </c>
      <c r="F75" s="671">
        <v>1</v>
      </c>
      <c r="G75" s="623">
        <v>9</v>
      </c>
      <c r="H75" s="622">
        <f t="shared" si="4"/>
        <v>1080</v>
      </c>
      <c r="I75" s="640"/>
      <c r="J75" s="610"/>
      <c r="K75" s="641"/>
      <c r="L75" s="610"/>
    </row>
    <row r="76" spans="1:12" ht="38.25" customHeight="1" x14ac:dyDescent="0.25">
      <c r="A76" s="1768"/>
      <c r="B76" s="618" t="s">
        <v>476</v>
      </c>
      <c r="C76" s="618" t="s">
        <v>14</v>
      </c>
      <c r="D76" s="623" t="s">
        <v>406</v>
      </c>
      <c r="E76" s="671">
        <v>3</v>
      </c>
      <c r="F76" s="671">
        <v>100</v>
      </c>
      <c r="G76" s="623">
        <v>9</v>
      </c>
      <c r="H76" s="622">
        <f t="shared" si="4"/>
        <v>2700</v>
      </c>
      <c r="I76" s="640"/>
      <c r="J76" s="610"/>
      <c r="K76" s="641"/>
      <c r="L76" s="610"/>
    </row>
    <row r="77" spans="1:12" ht="38.25" customHeight="1" x14ac:dyDescent="0.25">
      <c r="A77" s="1768"/>
      <c r="B77" s="618" t="s">
        <v>477</v>
      </c>
      <c r="C77" s="618" t="s">
        <v>14</v>
      </c>
      <c r="D77" s="623" t="s">
        <v>406</v>
      </c>
      <c r="E77" s="671">
        <v>4</v>
      </c>
      <c r="F77" s="671">
        <v>100</v>
      </c>
      <c r="G77" s="623">
        <v>1</v>
      </c>
      <c r="H77" s="622">
        <f t="shared" si="4"/>
        <v>400</v>
      </c>
      <c r="I77" s="640"/>
      <c r="J77" s="610"/>
      <c r="K77" s="641"/>
      <c r="L77" s="610"/>
    </row>
    <row r="78" spans="1:12" x14ac:dyDescent="0.25">
      <c r="A78" s="1768"/>
      <c r="B78" s="618" t="s">
        <v>478</v>
      </c>
      <c r="C78" s="618" t="s">
        <v>13</v>
      </c>
      <c r="D78" s="623" t="s">
        <v>406</v>
      </c>
      <c r="E78" s="671">
        <v>1</v>
      </c>
      <c r="F78" s="671">
        <v>85</v>
      </c>
      <c r="G78" s="623">
        <v>6</v>
      </c>
      <c r="H78" s="622">
        <f t="shared" si="4"/>
        <v>510</v>
      </c>
      <c r="I78" s="640"/>
      <c r="J78" s="610"/>
      <c r="K78" s="641"/>
      <c r="L78" s="610"/>
    </row>
    <row r="79" spans="1:12" ht="25.5" x14ac:dyDescent="0.25">
      <c r="A79" s="1768"/>
      <c r="B79" s="618" t="s">
        <v>98</v>
      </c>
      <c r="C79" s="618" t="s">
        <v>12</v>
      </c>
      <c r="D79" s="623" t="s">
        <v>406</v>
      </c>
      <c r="E79" s="671">
        <v>1</v>
      </c>
      <c r="F79" s="671">
        <v>60</v>
      </c>
      <c r="G79" s="623">
        <v>3</v>
      </c>
      <c r="H79" s="622">
        <f t="shared" si="4"/>
        <v>180</v>
      </c>
      <c r="I79" s="640"/>
      <c r="J79" s="610"/>
      <c r="K79" s="641"/>
      <c r="L79" s="610"/>
    </row>
    <row r="80" spans="1:12" ht="38.25" customHeight="1" x14ac:dyDescent="0.25">
      <c r="A80" s="1768"/>
      <c r="B80" s="618" t="s">
        <v>473</v>
      </c>
      <c r="C80" s="618" t="s">
        <v>14</v>
      </c>
      <c r="D80" s="623" t="s">
        <v>406</v>
      </c>
      <c r="E80" s="671">
        <v>3</v>
      </c>
      <c r="F80" s="671">
        <v>50</v>
      </c>
      <c r="G80" s="623">
        <v>3</v>
      </c>
      <c r="H80" s="622">
        <f t="shared" si="4"/>
        <v>450</v>
      </c>
      <c r="I80" s="640"/>
      <c r="J80" s="673"/>
      <c r="K80" s="641"/>
      <c r="L80" s="610"/>
    </row>
    <row r="81" spans="1:15" x14ac:dyDescent="0.25">
      <c r="A81" s="1769"/>
      <c r="B81" s="649"/>
      <c r="C81" s="649"/>
      <c r="D81" s="1764" t="s">
        <v>479</v>
      </c>
      <c r="E81" s="1765"/>
      <c r="F81" s="1765"/>
      <c r="G81" s="1766"/>
      <c r="H81" s="262">
        <f>SUM(H59:H80)</f>
        <v>33878</v>
      </c>
      <c r="I81" s="674">
        <v>19367</v>
      </c>
      <c r="J81" s="675">
        <v>21380</v>
      </c>
      <c r="K81" s="631">
        <f t="shared" si="2"/>
        <v>110.39396912273456</v>
      </c>
      <c r="L81" s="632"/>
    </row>
    <row r="82" spans="1:15" x14ac:dyDescent="0.25">
      <c r="A82" s="676" t="s">
        <v>480</v>
      </c>
      <c r="B82" s="677"/>
      <c r="C82" s="677"/>
      <c r="D82" s="677"/>
      <c r="E82" s="677"/>
      <c r="F82" s="677"/>
      <c r="G82" s="678"/>
      <c r="H82" s="679">
        <f>H17+H28+H52+H55+H57+H81</f>
        <v>145411.4</v>
      </c>
      <c r="I82" s="680">
        <f>I17+I28+I52+I55+I57+I81</f>
        <v>209644</v>
      </c>
      <c r="J82" s="681"/>
      <c r="K82" s="641">
        <f t="shared" si="2"/>
        <v>0</v>
      </c>
      <c r="L82" s="610"/>
    </row>
    <row r="83" spans="1:15" x14ac:dyDescent="0.25">
      <c r="A83" s="682" t="s">
        <v>481</v>
      </c>
      <c r="B83" s="683"/>
      <c r="C83" s="683"/>
      <c r="D83" s="683"/>
      <c r="E83" s="683"/>
      <c r="F83" s="683"/>
      <c r="G83" s="683"/>
      <c r="H83" s="683"/>
      <c r="I83" s="640"/>
      <c r="J83" s="610"/>
      <c r="K83" s="641"/>
      <c r="L83" s="610"/>
    </row>
    <row r="84" spans="1:15" ht="25.5" x14ac:dyDescent="0.25">
      <c r="A84" s="1767" t="s">
        <v>482</v>
      </c>
      <c r="B84" s="618" t="s">
        <v>483</v>
      </c>
      <c r="C84" s="618" t="s">
        <v>33</v>
      </c>
      <c r="D84" s="684" t="s">
        <v>406</v>
      </c>
      <c r="E84" s="621">
        <v>1</v>
      </c>
      <c r="F84" s="639">
        <v>20000</v>
      </c>
      <c r="G84" s="621">
        <v>3</v>
      </c>
      <c r="H84" s="622">
        <f>E84*F84*G84</f>
        <v>60000</v>
      </c>
      <c r="I84" s="685"/>
      <c r="J84" s="610"/>
      <c r="K84" s="641"/>
      <c r="L84" s="610"/>
    </row>
    <row r="85" spans="1:15" ht="38.25" customHeight="1" x14ac:dyDescent="0.25">
      <c r="A85" s="1768"/>
      <c r="B85" s="618" t="s">
        <v>484</v>
      </c>
      <c r="C85" s="618" t="s">
        <v>33</v>
      </c>
      <c r="D85" s="684" t="s">
        <v>406</v>
      </c>
      <c r="E85" s="621">
        <v>1</v>
      </c>
      <c r="F85" s="639">
        <v>10000</v>
      </c>
      <c r="G85" s="621">
        <v>1</v>
      </c>
      <c r="H85" s="622">
        <f>E85*F85*G85</f>
        <v>10000</v>
      </c>
      <c r="I85" s="685"/>
      <c r="J85" s="610"/>
      <c r="K85" s="641"/>
      <c r="L85" s="610"/>
    </row>
    <row r="86" spans="1:15" x14ac:dyDescent="0.25">
      <c r="A86" s="1769"/>
      <c r="B86" s="618"/>
      <c r="C86" s="618"/>
      <c r="D86" s="1770" t="s">
        <v>485</v>
      </c>
      <c r="E86" s="1771"/>
      <c r="F86" s="1771"/>
      <c r="G86" s="1772"/>
      <c r="H86" s="686">
        <f>SUM(H84:H85)</f>
        <v>70000</v>
      </c>
      <c r="I86" s="674">
        <v>59051</v>
      </c>
      <c r="J86" s="657">
        <v>70603</v>
      </c>
      <c r="K86" s="631">
        <f t="shared" si="2"/>
        <v>119.56275084249208</v>
      </c>
      <c r="L86" s="632"/>
    </row>
    <row r="87" spans="1:15" x14ac:dyDescent="0.25">
      <c r="A87" s="1773" t="s">
        <v>388</v>
      </c>
      <c r="B87" s="1774"/>
      <c r="C87" s="676"/>
      <c r="D87" s="678"/>
      <c r="E87" s="1773"/>
      <c r="F87" s="1774"/>
      <c r="G87" s="687"/>
      <c r="H87" s="688">
        <v>70000</v>
      </c>
      <c r="I87" s="689">
        <f>SUM(I86)</f>
        <v>59051</v>
      </c>
      <c r="J87" s="673"/>
      <c r="K87" s="641"/>
      <c r="L87" s="610"/>
    </row>
    <row r="88" spans="1:15" x14ac:dyDescent="0.25">
      <c r="A88" s="690" t="s">
        <v>40</v>
      </c>
      <c r="B88" s="691"/>
      <c r="C88" s="692"/>
      <c r="D88" s="693"/>
      <c r="E88" s="693"/>
      <c r="F88" s="693"/>
      <c r="G88" s="693"/>
      <c r="H88" s="694">
        <v>215411.4</v>
      </c>
      <c r="I88" s="695">
        <f>I82+I87</f>
        <v>268695</v>
      </c>
      <c r="J88" s="657">
        <f>J82+J87</f>
        <v>0</v>
      </c>
      <c r="K88" s="696"/>
      <c r="L88" s="697"/>
    </row>
    <row r="89" spans="1:15" x14ac:dyDescent="0.25">
      <c r="A89" s="1753" t="s">
        <v>48</v>
      </c>
      <c r="B89" s="1754"/>
      <c r="C89" s="698"/>
      <c r="D89" s="698"/>
      <c r="E89" s="698"/>
      <c r="F89" s="698"/>
      <c r="G89" s="698"/>
      <c r="H89" s="698"/>
      <c r="I89" s="699"/>
      <c r="J89" s="700"/>
      <c r="K89" s="701"/>
      <c r="L89" s="700"/>
    </row>
    <row r="90" spans="1:15" x14ac:dyDescent="0.25">
      <c r="A90" s="702" t="s">
        <v>41</v>
      </c>
      <c r="B90" s="703"/>
      <c r="C90" s="703"/>
      <c r="D90" s="704"/>
      <c r="E90" s="704"/>
      <c r="F90" s="704"/>
      <c r="G90" s="704"/>
      <c r="H90" s="704"/>
      <c r="I90" s="674"/>
      <c r="J90" s="705"/>
      <c r="K90" s="706"/>
      <c r="L90" s="705"/>
    </row>
    <row r="91" spans="1:15" x14ac:dyDescent="0.25">
      <c r="A91" s="707" t="s">
        <v>486</v>
      </c>
      <c r="B91" s="708" t="s">
        <v>59</v>
      </c>
      <c r="C91" s="709" t="s">
        <v>11</v>
      </c>
      <c r="D91" s="710" t="s">
        <v>406</v>
      </c>
      <c r="E91" s="711">
        <v>1</v>
      </c>
      <c r="F91" s="711">
        <v>4285</v>
      </c>
      <c r="G91" s="711">
        <v>11</v>
      </c>
      <c r="H91" s="712">
        <f>E91*F91*G91</f>
        <v>47135</v>
      </c>
      <c r="I91" s="640"/>
      <c r="J91" s="610"/>
      <c r="K91" s="641"/>
      <c r="L91" s="610"/>
      <c r="O91" s="713"/>
    </row>
    <row r="92" spans="1:15" x14ac:dyDescent="0.25">
      <c r="A92" s="714"/>
      <c r="B92" s="715"/>
      <c r="C92" s="716"/>
      <c r="D92" s="710"/>
      <c r="E92" s="711"/>
      <c r="F92" s="711"/>
      <c r="G92" s="711"/>
      <c r="H92" s="717"/>
      <c r="I92" s="640"/>
      <c r="J92" s="610"/>
      <c r="K92" s="641"/>
      <c r="L92" s="610"/>
    </row>
    <row r="93" spans="1:15" x14ac:dyDescent="0.25">
      <c r="A93" s="718"/>
      <c r="B93" s="715"/>
      <c r="C93" s="719"/>
      <c r="D93" s="720" t="s">
        <v>0</v>
      </c>
      <c r="E93" s="720"/>
      <c r="F93" s="720"/>
      <c r="G93" s="720"/>
      <c r="H93" s="262">
        <f>SUM(H91:H92)</f>
        <v>47135</v>
      </c>
      <c r="I93" s="721"/>
      <c r="J93" s="657">
        <v>0</v>
      </c>
      <c r="K93" s="696"/>
      <c r="L93" s="697"/>
    </row>
    <row r="94" spans="1:15" x14ac:dyDescent="0.25">
      <c r="A94" s="702" t="s">
        <v>42</v>
      </c>
      <c r="B94" s="703"/>
      <c r="C94" s="703"/>
      <c r="D94" s="703"/>
      <c r="E94" s="703"/>
      <c r="F94" s="703"/>
      <c r="G94" s="703"/>
      <c r="H94" s="703"/>
      <c r="I94" s="674"/>
      <c r="J94" s="705"/>
      <c r="K94" s="706"/>
      <c r="L94" s="705"/>
    </row>
    <row r="95" spans="1:15" x14ac:dyDescent="0.25">
      <c r="A95" s="718"/>
      <c r="B95" s="715"/>
      <c r="C95" s="709" t="s">
        <v>12</v>
      </c>
      <c r="D95" s="710" t="s">
        <v>406</v>
      </c>
      <c r="E95" s="618">
        <v>1</v>
      </c>
      <c r="F95" s="618">
        <v>4000</v>
      </c>
      <c r="G95" s="722">
        <v>1</v>
      </c>
      <c r="H95" s="261">
        <f>E95*F95*G95</f>
        <v>4000</v>
      </c>
      <c r="I95" s="640"/>
      <c r="J95" s="610"/>
      <c r="K95" s="641"/>
      <c r="L95" s="610"/>
    </row>
    <row r="96" spans="1:15" x14ac:dyDescent="0.25">
      <c r="A96" s="718"/>
      <c r="B96" s="715"/>
      <c r="C96" s="719"/>
      <c r="D96" s="723"/>
      <c r="E96" s="724"/>
      <c r="F96" s="724"/>
      <c r="G96" s="724"/>
      <c r="H96" s="263"/>
      <c r="I96" s="640"/>
      <c r="J96" s="610"/>
      <c r="K96" s="641"/>
      <c r="L96" s="610"/>
    </row>
    <row r="97" spans="1:14" x14ac:dyDescent="0.25">
      <c r="A97" s="718"/>
      <c r="B97" s="715"/>
      <c r="C97" s="719"/>
      <c r="D97" s="720" t="s">
        <v>0</v>
      </c>
      <c r="E97" s="720"/>
      <c r="F97" s="720"/>
      <c r="G97" s="720"/>
      <c r="H97" s="262">
        <f>SUM(H95:H96)</f>
        <v>4000</v>
      </c>
      <c r="I97" s="721"/>
      <c r="J97" s="657"/>
      <c r="K97" s="631"/>
      <c r="L97" s="632"/>
    </row>
    <row r="98" spans="1:14" x14ac:dyDescent="0.25">
      <c r="A98" s="702" t="s">
        <v>43</v>
      </c>
      <c r="B98" s="703"/>
      <c r="C98" s="703"/>
      <c r="D98" s="703"/>
      <c r="E98" s="703"/>
      <c r="F98" s="703"/>
      <c r="G98" s="703"/>
      <c r="H98" s="703"/>
      <c r="I98" s="674"/>
      <c r="J98" s="705"/>
      <c r="K98" s="706"/>
      <c r="L98" s="705"/>
    </row>
    <row r="99" spans="1:14" x14ac:dyDescent="0.25">
      <c r="A99" s="725" t="s">
        <v>487</v>
      </c>
      <c r="B99" s="726"/>
      <c r="C99" s="709" t="s">
        <v>27</v>
      </c>
      <c r="D99" s="710" t="s">
        <v>406</v>
      </c>
      <c r="E99" s="727">
        <v>1</v>
      </c>
      <c r="F99" s="727">
        <v>1500</v>
      </c>
      <c r="G99" s="728">
        <v>1</v>
      </c>
      <c r="H99" s="729">
        <f>E99*F99*G99</f>
        <v>1500</v>
      </c>
      <c r="I99" s="640"/>
      <c r="J99" s="610"/>
      <c r="K99" s="641"/>
      <c r="L99" s="610"/>
    </row>
    <row r="100" spans="1:14" x14ac:dyDescent="0.25">
      <c r="A100" s="730" t="s">
        <v>488</v>
      </c>
      <c r="B100" s="715"/>
      <c r="C100" s="719"/>
      <c r="D100" s="723"/>
      <c r="E100" s="727">
        <v>1</v>
      </c>
      <c r="F100" s="727">
        <v>3000</v>
      </c>
      <c r="G100" s="727">
        <v>1</v>
      </c>
      <c r="H100" s="729">
        <f t="shared" ref="H100:H103" si="5">E100*F100*G100</f>
        <v>3000</v>
      </c>
      <c r="I100" s="640"/>
      <c r="J100" s="610"/>
      <c r="K100" s="641"/>
      <c r="L100" s="610"/>
    </row>
    <row r="101" spans="1:14" x14ac:dyDescent="0.25">
      <c r="A101" s="730" t="s">
        <v>489</v>
      </c>
      <c r="B101" s="715"/>
      <c r="C101" s="719"/>
      <c r="D101" s="723"/>
      <c r="E101" s="727">
        <v>2</v>
      </c>
      <c r="F101" s="727">
        <v>300</v>
      </c>
      <c r="G101" s="727">
        <v>1</v>
      </c>
      <c r="H101" s="729">
        <f t="shared" si="5"/>
        <v>600</v>
      </c>
      <c r="I101" s="640"/>
      <c r="J101" s="610"/>
      <c r="K101" s="641"/>
      <c r="L101" s="610"/>
    </row>
    <row r="102" spans="1:14" x14ac:dyDescent="0.25">
      <c r="A102" s="730" t="s">
        <v>490</v>
      </c>
      <c r="B102" s="715"/>
      <c r="C102" s="719"/>
      <c r="D102" s="723"/>
      <c r="E102" s="727">
        <v>2</v>
      </c>
      <c r="F102" s="727">
        <v>600</v>
      </c>
      <c r="G102" s="727">
        <v>1</v>
      </c>
      <c r="H102" s="729">
        <f t="shared" si="5"/>
        <v>1200</v>
      </c>
      <c r="I102" s="640"/>
      <c r="J102" s="610"/>
      <c r="K102" s="641"/>
      <c r="L102" s="610"/>
    </row>
    <row r="103" spans="1:14" x14ac:dyDescent="0.25">
      <c r="A103" s="730" t="s">
        <v>491</v>
      </c>
      <c r="B103" s="715"/>
      <c r="C103" s="719"/>
      <c r="D103" s="723"/>
      <c r="E103" s="727">
        <v>1</v>
      </c>
      <c r="F103" s="727">
        <v>210</v>
      </c>
      <c r="G103" s="727">
        <v>1</v>
      </c>
      <c r="H103" s="729">
        <f t="shared" si="5"/>
        <v>210</v>
      </c>
      <c r="I103" s="640"/>
      <c r="J103" s="610"/>
      <c r="K103" s="641"/>
      <c r="L103" s="610"/>
    </row>
    <row r="104" spans="1:14" x14ac:dyDescent="0.25">
      <c r="A104" s="718"/>
      <c r="B104" s="731"/>
      <c r="C104" s="718"/>
      <c r="D104" s="720" t="s">
        <v>0</v>
      </c>
      <c r="E104" s="720"/>
      <c r="F104" s="720"/>
      <c r="G104" s="720"/>
      <c r="H104" s="732">
        <f>SUM(H99:H103)</f>
        <v>6510</v>
      </c>
      <c r="I104" s="721"/>
      <c r="J104" s="733"/>
      <c r="K104" s="696"/>
      <c r="L104" s="697"/>
    </row>
    <row r="105" spans="1:14" x14ac:dyDescent="0.25">
      <c r="A105" s="702" t="s">
        <v>44</v>
      </c>
      <c r="B105" s="703"/>
      <c r="C105" s="703"/>
      <c r="D105" s="703"/>
      <c r="E105" s="703"/>
      <c r="F105" s="703"/>
      <c r="G105" s="703"/>
      <c r="H105" s="703"/>
      <c r="I105" s="674"/>
      <c r="J105" s="705"/>
      <c r="K105" s="706"/>
      <c r="L105" s="705"/>
    </row>
    <row r="106" spans="1:14" x14ac:dyDescent="0.25">
      <c r="A106" s="734" t="s">
        <v>571</v>
      </c>
      <c r="B106" s="735"/>
      <c r="C106" s="736"/>
      <c r="D106" s="737"/>
      <c r="E106" s="738">
        <v>1</v>
      </c>
      <c r="F106" s="738">
        <v>16000</v>
      </c>
      <c r="G106" s="738">
        <v>1</v>
      </c>
      <c r="H106" s="739">
        <f>E106*F106*G106</f>
        <v>16000</v>
      </c>
      <c r="I106" s="640"/>
      <c r="J106" s="610"/>
      <c r="K106" s="641"/>
      <c r="L106" s="610"/>
    </row>
    <row r="107" spans="1:14" x14ac:dyDescent="0.25">
      <c r="A107" s="718"/>
      <c r="B107" s="715"/>
      <c r="C107" s="719"/>
      <c r="D107" s="723"/>
      <c r="E107" s="724"/>
      <c r="F107" s="724"/>
      <c r="G107" s="724"/>
      <c r="H107" s="263"/>
      <c r="I107" s="640"/>
      <c r="J107" s="610"/>
      <c r="K107" s="641"/>
      <c r="L107" s="610"/>
    </row>
    <row r="108" spans="1:14" x14ac:dyDescent="0.25">
      <c r="A108" s="718"/>
      <c r="B108" s="731"/>
      <c r="C108" s="718"/>
      <c r="D108" s="720" t="s">
        <v>0</v>
      </c>
      <c r="E108" s="720"/>
      <c r="F108" s="720"/>
      <c r="G108" s="720"/>
      <c r="H108" s="740">
        <f>SUM(H106:H107)</f>
        <v>16000</v>
      </c>
      <c r="I108" s="721">
        <v>17120</v>
      </c>
      <c r="J108" s="675">
        <v>17120</v>
      </c>
      <c r="K108" s="696"/>
      <c r="L108" s="697"/>
    </row>
    <row r="109" spans="1:14" x14ac:dyDescent="0.25">
      <c r="A109" s="702" t="s">
        <v>46</v>
      </c>
      <c r="B109" s="703"/>
      <c r="C109" s="703"/>
      <c r="D109" s="703"/>
      <c r="E109" s="703"/>
      <c r="F109" s="703"/>
      <c r="G109" s="703"/>
      <c r="H109" s="703"/>
      <c r="I109" s="674"/>
      <c r="J109" s="705"/>
      <c r="K109" s="706"/>
      <c r="L109" s="705"/>
    </row>
    <row r="110" spans="1:14" x14ac:dyDescent="0.25">
      <c r="A110" s="730" t="s">
        <v>492</v>
      </c>
      <c r="B110" s="708" t="s">
        <v>493</v>
      </c>
      <c r="C110" s="741" t="s">
        <v>13</v>
      </c>
      <c r="D110" s="723"/>
      <c r="E110" s="727">
        <v>33</v>
      </c>
      <c r="F110" s="727">
        <v>141</v>
      </c>
      <c r="G110" s="727">
        <v>2</v>
      </c>
      <c r="H110" s="742">
        <f>E110*F110*G110</f>
        <v>9306</v>
      </c>
      <c r="I110" s="640"/>
      <c r="J110" s="727"/>
      <c r="K110" s="641"/>
      <c r="L110" s="610"/>
    </row>
    <row r="111" spans="1:14" x14ac:dyDescent="0.25">
      <c r="A111" s="718"/>
      <c r="B111" s="715"/>
      <c r="C111" s="719"/>
      <c r="D111" s="723"/>
      <c r="E111" s="724"/>
      <c r="F111" s="724"/>
      <c r="G111" s="724"/>
      <c r="H111" s="743"/>
      <c r="I111" s="640"/>
      <c r="J111" s="610"/>
      <c r="K111" s="641"/>
      <c r="L111" s="610"/>
    </row>
    <row r="112" spans="1:14" x14ac:dyDescent="0.25">
      <c r="A112" s="718"/>
      <c r="B112" s="731"/>
      <c r="C112" s="718"/>
      <c r="D112" s="720" t="s">
        <v>0</v>
      </c>
      <c r="E112" s="720"/>
      <c r="F112" s="720"/>
      <c r="G112" s="720"/>
      <c r="H112" s="650">
        <f>SUM(H110:H111)</f>
        <v>9306</v>
      </c>
      <c r="I112" s="721">
        <v>9052</v>
      </c>
      <c r="J112" s="657">
        <v>8600</v>
      </c>
      <c r="K112" s="631">
        <f>J112/I112*100</f>
        <v>95.006628369421122</v>
      </c>
      <c r="L112" s="632"/>
      <c r="M112" s="744"/>
      <c r="N112" s="744"/>
    </row>
    <row r="113" spans="1:12" x14ac:dyDescent="0.25">
      <c r="A113" s="702" t="s">
        <v>47</v>
      </c>
      <c r="B113" s="703"/>
      <c r="C113" s="703"/>
      <c r="D113" s="703"/>
      <c r="E113" s="703"/>
      <c r="F113" s="703"/>
      <c r="G113" s="703"/>
      <c r="H113" s="703"/>
      <c r="I113" s="674"/>
      <c r="J113" s="705"/>
      <c r="K113" s="706"/>
      <c r="L113" s="705"/>
    </row>
    <row r="114" spans="1:12" x14ac:dyDescent="0.25">
      <c r="A114" s="718"/>
      <c r="B114" s="715"/>
      <c r="C114" s="719"/>
      <c r="D114" s="723"/>
      <c r="E114" s="724"/>
      <c r="F114" s="724"/>
      <c r="G114" s="724"/>
      <c r="H114" s="263">
        <v>0</v>
      </c>
      <c r="I114" s="640"/>
      <c r="J114" s="610"/>
      <c r="K114" s="661"/>
      <c r="L114" s="610"/>
    </row>
    <row r="115" spans="1:12" x14ac:dyDescent="0.25">
      <c r="A115" s="718"/>
      <c r="B115" s="715"/>
      <c r="C115" s="719"/>
      <c r="D115" s="723"/>
      <c r="E115" s="724"/>
      <c r="F115" s="724"/>
      <c r="G115" s="724"/>
      <c r="H115" s="263"/>
      <c r="I115" s="640"/>
      <c r="J115" s="610"/>
      <c r="K115" s="661"/>
      <c r="L115" s="673"/>
    </row>
    <row r="116" spans="1:12" x14ac:dyDescent="0.25">
      <c r="A116" s="718"/>
      <c r="B116" s="731"/>
      <c r="C116" s="718"/>
      <c r="D116" s="720" t="s">
        <v>0</v>
      </c>
      <c r="E116" s="720"/>
      <c r="F116" s="720"/>
      <c r="G116" s="720"/>
      <c r="H116" s="262">
        <v>0</v>
      </c>
      <c r="I116" s="721"/>
      <c r="J116" s="745"/>
      <c r="K116" s="696"/>
      <c r="L116" s="746"/>
    </row>
    <row r="117" spans="1:12" x14ac:dyDescent="0.25">
      <c r="A117" s="702" t="s">
        <v>45</v>
      </c>
      <c r="B117" s="703"/>
      <c r="C117" s="703"/>
      <c r="D117" s="703"/>
      <c r="E117" s="703"/>
      <c r="F117" s="703"/>
      <c r="G117" s="703"/>
      <c r="H117" s="703"/>
      <c r="I117" s="674"/>
      <c r="J117" s="705"/>
      <c r="K117" s="706"/>
      <c r="L117" s="705"/>
    </row>
    <row r="118" spans="1:12" ht="38.25" x14ac:dyDescent="0.25">
      <c r="A118" s="747" t="s">
        <v>494</v>
      </c>
      <c r="B118" s="748"/>
      <c r="C118" s="741" t="s">
        <v>14</v>
      </c>
      <c r="D118" s="710" t="s">
        <v>406</v>
      </c>
      <c r="E118" s="724"/>
      <c r="F118" s="724"/>
      <c r="G118" s="724"/>
      <c r="H118" s="749">
        <v>9610</v>
      </c>
      <c r="I118" s="660"/>
      <c r="J118" s="610"/>
      <c r="K118" s="661"/>
      <c r="L118" s="673"/>
    </row>
    <row r="119" spans="1:12" x14ac:dyDescent="0.25">
      <c r="A119" s="718"/>
      <c r="B119" s="715"/>
      <c r="C119" s="719"/>
      <c r="D119" s="723"/>
      <c r="E119" s="724"/>
      <c r="F119" s="724"/>
      <c r="G119" s="724"/>
      <c r="H119" s="263"/>
      <c r="I119" s="640"/>
      <c r="J119" s="610"/>
      <c r="K119" s="661"/>
      <c r="L119" s="610"/>
    </row>
    <row r="120" spans="1:12" x14ac:dyDescent="0.25">
      <c r="A120" s="718"/>
      <c r="B120" s="715"/>
      <c r="C120" s="719"/>
      <c r="D120" s="720" t="s">
        <v>0</v>
      </c>
      <c r="E120" s="720"/>
      <c r="F120" s="720"/>
      <c r="G120" s="720"/>
      <c r="H120" s="262">
        <f>SUM(H118:H119)</f>
        <v>9610</v>
      </c>
      <c r="I120" s="721">
        <v>45704</v>
      </c>
      <c r="J120" s="657">
        <v>45748</v>
      </c>
      <c r="K120" s="631">
        <f t="shared" ref="K120" si="6">J120/I120*100</f>
        <v>100.09627166112377</v>
      </c>
      <c r="L120" s="632"/>
    </row>
    <row r="121" spans="1:12" x14ac:dyDescent="0.25">
      <c r="A121" s="690" t="s">
        <v>38</v>
      </c>
      <c r="B121" s="691"/>
      <c r="C121" s="692"/>
      <c r="D121" s="750"/>
      <c r="E121" s="750"/>
      <c r="F121" s="750"/>
      <c r="G121" s="751"/>
      <c r="H121" s="752">
        <f>H93+H97+H104+H108+H112+H116+H120</f>
        <v>92561</v>
      </c>
      <c r="I121" s="751">
        <f>I93+I97+I104+I108+I112+I116+I120</f>
        <v>71876</v>
      </c>
      <c r="J121" s="753"/>
      <c r="K121" s="611"/>
      <c r="L121" s="610"/>
    </row>
    <row r="122" spans="1:12" x14ac:dyDescent="0.25">
      <c r="A122" s="754"/>
      <c r="B122" s="755"/>
      <c r="C122" s="756"/>
      <c r="D122" s="1755" t="s">
        <v>37</v>
      </c>
      <c r="E122" s="757"/>
      <c r="F122" s="757"/>
      <c r="G122" s="758"/>
      <c r="H122" s="759">
        <f>H88+H121</f>
        <v>307972.40000000002</v>
      </c>
      <c r="I122" s="760">
        <f>I88+I121</f>
        <v>340571</v>
      </c>
      <c r="J122" s="642">
        <f>SUM(J3:J121)</f>
        <v>338079</v>
      </c>
      <c r="K122" s="761">
        <f>J122/I122*100</f>
        <v>99.268287669825085</v>
      </c>
      <c r="L122" s="632"/>
    </row>
    <row r="123" spans="1:12" x14ac:dyDescent="0.25">
      <c r="A123" s="762"/>
      <c r="B123" s="763"/>
      <c r="C123" s="764"/>
      <c r="D123" s="1756"/>
      <c r="E123" s="757"/>
      <c r="F123" s="757"/>
      <c r="G123" s="757"/>
      <c r="H123" s="765"/>
      <c r="I123" s="766"/>
      <c r="J123" s="767"/>
      <c r="K123" s="768"/>
      <c r="L123" s="769"/>
    </row>
    <row r="124" spans="1:12" x14ac:dyDescent="0.25">
      <c r="A124" s="770"/>
      <c r="B124" s="771"/>
      <c r="C124" s="772"/>
      <c r="D124" s="773" t="s">
        <v>49</v>
      </c>
      <c r="E124" s="773"/>
      <c r="F124" s="773"/>
      <c r="G124" s="774"/>
      <c r="H124" s="775">
        <f>H122*0.07</f>
        <v>21558.068000000003</v>
      </c>
      <c r="I124" s="776"/>
      <c r="J124" s="777"/>
      <c r="K124" s="778"/>
      <c r="L124" s="779"/>
    </row>
    <row r="125" spans="1:12" x14ac:dyDescent="0.25">
      <c r="A125" s="780"/>
      <c r="B125" s="781"/>
      <c r="C125" s="781"/>
      <c r="D125" s="782" t="s">
        <v>22</v>
      </c>
      <c r="E125" s="783"/>
      <c r="F125" s="783"/>
      <c r="G125" s="784"/>
      <c r="H125" s="785">
        <f>H122+H124</f>
        <v>329530.46800000005</v>
      </c>
      <c r="I125" s="786"/>
      <c r="J125" s="761"/>
      <c r="K125" s="787"/>
      <c r="L125" s="788"/>
    </row>
    <row r="126" spans="1:12" x14ac:dyDescent="0.25">
      <c r="A126" s="789"/>
      <c r="B126" s="790"/>
      <c r="C126" s="790"/>
      <c r="D126" s="790"/>
      <c r="E126" s="790"/>
      <c r="F126" s="790"/>
      <c r="G126" s="790"/>
      <c r="H126" s="791"/>
      <c r="I126" s="792"/>
      <c r="J126" s="792"/>
      <c r="L126" s="793"/>
    </row>
    <row r="127" spans="1:12" x14ac:dyDescent="0.25">
      <c r="A127" s="794" t="s">
        <v>2</v>
      </c>
      <c r="B127" s="795"/>
      <c r="C127" s="795"/>
      <c r="D127" s="795"/>
      <c r="E127" s="796"/>
      <c r="F127" s="789"/>
      <c r="G127" s="797"/>
      <c r="H127" s="798"/>
      <c r="I127" s="792"/>
      <c r="L127" s="799"/>
    </row>
    <row r="128" spans="1:12" x14ac:dyDescent="0.25">
      <c r="A128" s="800" t="s">
        <v>23</v>
      </c>
      <c r="B128" s="790"/>
      <c r="C128" s="790"/>
      <c r="D128" s="790"/>
      <c r="E128" s="801"/>
      <c r="F128" s="789"/>
      <c r="G128" s="802"/>
      <c r="H128" s="803"/>
      <c r="I128" s="792"/>
    </row>
    <row r="129" spans="1:11" ht="12.75" customHeight="1" x14ac:dyDescent="0.2">
      <c r="A129" s="1757" t="s">
        <v>32</v>
      </c>
      <c r="B129" s="1758"/>
      <c r="C129" s="1758"/>
      <c r="D129" s="1758"/>
      <c r="E129" s="1759"/>
      <c r="F129" s="804"/>
      <c r="G129" s="804"/>
      <c r="H129" s="805"/>
      <c r="K129"/>
    </row>
    <row r="130" spans="1:11" ht="12.75" x14ac:dyDescent="0.2">
      <c r="A130" s="800" t="s">
        <v>50</v>
      </c>
      <c r="B130" s="790"/>
      <c r="C130" s="790"/>
      <c r="D130" s="789"/>
      <c r="E130" s="801"/>
      <c r="F130" s="790"/>
      <c r="G130" s="790"/>
      <c r="H130" s="790"/>
      <c r="K130"/>
    </row>
    <row r="131" spans="1:11" ht="12.75" x14ac:dyDescent="0.2">
      <c r="A131" s="800"/>
      <c r="B131" s="790" t="s">
        <v>24</v>
      </c>
      <c r="C131" s="790"/>
      <c r="D131" s="790"/>
      <c r="E131" s="801"/>
      <c r="F131" s="790"/>
      <c r="G131" s="790"/>
      <c r="H131" s="790"/>
      <c r="K131"/>
    </row>
    <row r="132" spans="1:11" ht="12.75" x14ac:dyDescent="0.2">
      <c r="A132" s="800"/>
      <c r="B132" s="790" t="s">
        <v>25</v>
      </c>
      <c r="C132" s="790"/>
      <c r="D132" s="790"/>
      <c r="E132" s="801"/>
      <c r="F132" s="790"/>
      <c r="G132" s="790"/>
      <c r="H132" s="790"/>
      <c r="K132"/>
    </row>
    <row r="133" spans="1:11" ht="12.75" customHeight="1" x14ac:dyDescent="0.2">
      <c r="A133" s="1760" t="s">
        <v>51</v>
      </c>
      <c r="B133" s="1761"/>
      <c r="C133" s="1761"/>
      <c r="D133" s="1761"/>
      <c r="E133" s="1762"/>
      <c r="F133" s="790"/>
      <c r="G133" s="790"/>
      <c r="H133" s="790"/>
      <c r="K133"/>
    </row>
    <row r="134" spans="1:11" ht="12.75" x14ac:dyDescent="0.2">
      <c r="A134" s="790"/>
      <c r="B134" s="790"/>
      <c r="C134" s="790"/>
      <c r="D134" s="790"/>
      <c r="E134" s="790"/>
      <c r="F134" s="790"/>
      <c r="G134" s="790"/>
      <c r="H134" s="790"/>
      <c r="K134"/>
    </row>
    <row r="135" spans="1:11" ht="12.75" x14ac:dyDescent="0.2">
      <c r="A135" s="795" t="s">
        <v>35</v>
      </c>
      <c r="B135" s="806"/>
      <c r="C135" s="806"/>
      <c r="D135" s="806"/>
      <c r="E135" s="807"/>
      <c r="F135" s="790"/>
      <c r="G135" s="790"/>
      <c r="H135" s="790"/>
      <c r="K135"/>
    </row>
    <row r="136" spans="1:11" ht="12.75" x14ac:dyDescent="0.2">
      <c r="A136" s="790" t="s">
        <v>11</v>
      </c>
      <c r="B136" s="790"/>
      <c r="C136" s="790"/>
      <c r="D136" s="790"/>
      <c r="E136" s="801"/>
      <c r="F136" s="790"/>
      <c r="G136" s="790"/>
      <c r="H136" s="790"/>
      <c r="K136"/>
    </row>
    <row r="137" spans="1:11" ht="12.75" x14ac:dyDescent="0.2">
      <c r="A137" s="790" t="s">
        <v>12</v>
      </c>
      <c r="B137" s="790"/>
      <c r="C137" s="790"/>
      <c r="D137" s="790"/>
      <c r="E137" s="801"/>
      <c r="F137" s="790"/>
      <c r="G137" s="790"/>
      <c r="H137" s="790"/>
      <c r="K137"/>
    </row>
    <row r="138" spans="1:11" ht="12.75" x14ac:dyDescent="0.2">
      <c r="A138" s="790" t="s">
        <v>27</v>
      </c>
      <c r="B138" s="790"/>
      <c r="C138" s="790"/>
      <c r="D138" s="790"/>
      <c r="E138" s="801"/>
      <c r="F138" s="790"/>
      <c r="G138" s="790"/>
      <c r="H138" s="790"/>
      <c r="K138"/>
    </row>
    <row r="139" spans="1:11" ht="12.75" x14ac:dyDescent="0.2">
      <c r="A139" s="790" t="s">
        <v>33</v>
      </c>
      <c r="B139" s="790"/>
      <c r="C139" s="790"/>
      <c r="D139" s="790"/>
      <c r="E139" s="801"/>
      <c r="F139" s="790"/>
      <c r="G139" s="790"/>
      <c r="H139" s="790"/>
      <c r="K139"/>
    </row>
    <row r="140" spans="1:11" ht="12.75" x14ac:dyDescent="0.2">
      <c r="A140" s="790" t="s">
        <v>13</v>
      </c>
      <c r="B140" s="790"/>
      <c r="C140" s="790"/>
      <c r="D140" s="790"/>
      <c r="E140" s="801"/>
      <c r="F140" s="790"/>
      <c r="G140" s="790"/>
      <c r="H140" s="790"/>
      <c r="K140"/>
    </row>
    <row r="141" spans="1:11" ht="12.75" x14ac:dyDescent="0.2">
      <c r="A141" s="790" t="s">
        <v>34</v>
      </c>
      <c r="B141" s="790"/>
      <c r="C141" s="790"/>
      <c r="D141" s="790"/>
      <c r="E141" s="801"/>
      <c r="F141" s="790"/>
      <c r="G141" s="790"/>
      <c r="H141" s="790"/>
      <c r="K141"/>
    </row>
    <row r="142" spans="1:11" ht="12.75" x14ac:dyDescent="0.2">
      <c r="A142" s="808" t="s">
        <v>14</v>
      </c>
      <c r="B142" s="808"/>
      <c r="C142" s="808"/>
      <c r="D142" s="808"/>
      <c r="E142" s="809"/>
      <c r="F142" s="790"/>
      <c r="G142" s="790"/>
      <c r="H142" s="790"/>
      <c r="K142"/>
    </row>
    <row r="143" spans="1:11" ht="12.75" x14ac:dyDescent="0.2">
      <c r="A143" s="790"/>
      <c r="B143" s="790"/>
      <c r="C143" s="790"/>
      <c r="D143" s="790"/>
      <c r="E143" s="790"/>
      <c r="F143" s="790"/>
      <c r="G143" s="790"/>
      <c r="H143" s="790"/>
      <c r="K143"/>
    </row>
    <row r="144" spans="1:11" ht="12.75" x14ac:dyDescent="0.2">
      <c r="A144" s="790"/>
      <c r="B144" s="790"/>
      <c r="C144" s="790"/>
      <c r="D144" s="790"/>
      <c r="E144" s="790"/>
      <c r="F144" s="790"/>
      <c r="G144" s="790"/>
      <c r="H144" s="790"/>
      <c r="K144"/>
    </row>
    <row r="145" spans="1:11" ht="12.75" x14ac:dyDescent="0.2">
      <c r="A145" s="790"/>
      <c r="B145" s="790"/>
      <c r="C145" s="790"/>
      <c r="D145" s="790"/>
      <c r="E145" s="790"/>
      <c r="F145" s="790"/>
      <c r="G145" s="790"/>
      <c r="H145" s="790"/>
      <c r="K145"/>
    </row>
    <row r="146" spans="1:11" ht="15.75" x14ac:dyDescent="0.25">
      <c r="A146" s="790"/>
      <c r="B146" s="790"/>
      <c r="C146" s="810"/>
      <c r="D146" s="748"/>
      <c r="E146" s="748"/>
      <c r="F146" s="748"/>
      <c r="G146" s="748"/>
      <c r="H146" s="748"/>
      <c r="K146"/>
    </row>
    <row r="147" spans="1:11" ht="15.75" x14ac:dyDescent="0.25">
      <c r="A147" s="790"/>
      <c r="B147" s="790"/>
      <c r="C147" s="810"/>
      <c r="D147" s="748"/>
      <c r="E147" s="748"/>
      <c r="F147" s="748"/>
      <c r="G147" s="748"/>
      <c r="H147" s="748"/>
      <c r="K147"/>
    </row>
    <row r="148" spans="1:11" ht="21.75" thickBot="1" x14ac:dyDescent="0.4">
      <c r="A148" s="790"/>
      <c r="B148" s="790"/>
      <c r="C148" s="810"/>
      <c r="D148" s="1763" t="s">
        <v>495</v>
      </c>
      <c r="E148" s="1763"/>
      <c r="F148" s="748"/>
      <c r="G148" s="575" t="s">
        <v>496</v>
      </c>
      <c r="H148" s="575"/>
      <c r="K148"/>
    </row>
    <row r="149" spans="1:11" ht="16.5" thickTop="1" x14ac:dyDescent="0.25">
      <c r="A149" s="790"/>
      <c r="B149" s="790"/>
      <c r="C149" s="810"/>
      <c r="D149" s="810"/>
      <c r="E149" s="810"/>
      <c r="F149" s="810"/>
      <c r="G149" s="810"/>
      <c r="H149" s="810"/>
      <c r="K149"/>
    </row>
    <row r="150" spans="1:11" ht="20.25" thickBot="1" x14ac:dyDescent="0.35">
      <c r="A150" s="790"/>
      <c r="B150" s="790"/>
      <c r="C150" s="810"/>
      <c r="D150" s="811" t="s">
        <v>497</v>
      </c>
      <c r="E150" s="268" t="s">
        <v>498</v>
      </c>
      <c r="F150" s="810"/>
      <c r="G150" s="1752" t="s">
        <v>499</v>
      </c>
      <c r="H150" s="1752"/>
      <c r="K150"/>
    </row>
    <row r="151" spans="1:11" ht="19.5" thickTop="1" x14ac:dyDescent="0.3">
      <c r="A151" s="790"/>
      <c r="B151" s="790"/>
      <c r="C151" s="810"/>
      <c r="D151" s="812"/>
      <c r="E151" s="813"/>
      <c r="F151" s="810"/>
      <c r="G151" s="810"/>
      <c r="H151" s="810"/>
      <c r="K151"/>
    </row>
    <row r="152" spans="1:11" ht="17.25" x14ac:dyDescent="0.3">
      <c r="A152" s="790"/>
      <c r="B152" s="790"/>
      <c r="C152" s="810"/>
      <c r="D152" s="811" t="s">
        <v>500</v>
      </c>
      <c r="E152" s="814">
        <v>320000.13084112148</v>
      </c>
      <c r="F152" s="810"/>
      <c r="G152" s="810"/>
      <c r="H152" s="810"/>
      <c r="K152"/>
    </row>
    <row r="153" spans="1:11" ht="18.75" x14ac:dyDescent="0.3">
      <c r="A153" s="790"/>
      <c r="B153" s="790"/>
      <c r="C153" s="810"/>
      <c r="D153" s="812"/>
      <c r="E153" s="813"/>
      <c r="F153" s="810"/>
      <c r="G153" s="810"/>
      <c r="H153" s="810"/>
      <c r="K153"/>
    </row>
    <row r="154" spans="1:11" ht="20.25" thickBot="1" x14ac:dyDescent="0.35">
      <c r="A154" s="790"/>
      <c r="B154" s="790"/>
      <c r="C154" s="810"/>
      <c r="D154" s="811" t="s">
        <v>501</v>
      </c>
      <c r="E154" s="269">
        <v>7.0000000000000007E-2</v>
      </c>
      <c r="F154" s="810"/>
      <c r="G154" s="1752" t="s">
        <v>502</v>
      </c>
      <c r="H154" s="1752"/>
      <c r="K154"/>
    </row>
    <row r="155" spans="1:11" ht="18" thickTop="1" x14ac:dyDescent="0.3">
      <c r="A155" s="790"/>
      <c r="B155" s="790"/>
      <c r="C155" s="810"/>
      <c r="D155" s="815"/>
      <c r="E155" s="748"/>
      <c r="F155" s="748"/>
      <c r="G155" s="748"/>
      <c r="H155" s="748"/>
      <c r="K155"/>
    </row>
    <row r="156" spans="1:11" ht="12.75" x14ac:dyDescent="0.2">
      <c r="A156" s="790"/>
      <c r="B156" s="790"/>
      <c r="C156" s="790"/>
      <c r="D156" s="790"/>
      <c r="E156" s="790"/>
      <c r="F156" s="790"/>
      <c r="G156" s="790"/>
      <c r="H156" s="790"/>
      <c r="K156"/>
    </row>
    <row r="157" spans="1:11" ht="12.75" x14ac:dyDescent="0.2">
      <c r="A157" s="790"/>
      <c r="B157" s="790"/>
      <c r="C157" s="790"/>
      <c r="D157" s="790"/>
      <c r="E157" s="790"/>
      <c r="F157" s="790"/>
      <c r="G157" s="790"/>
      <c r="H157" s="790"/>
      <c r="K157"/>
    </row>
    <row r="158" spans="1:11" ht="12.75" x14ac:dyDescent="0.2">
      <c r="A158" s="790"/>
      <c r="B158" s="790"/>
      <c r="C158" s="790"/>
      <c r="D158" s="790"/>
      <c r="E158" s="790"/>
      <c r="F158" s="790"/>
      <c r="G158" s="790"/>
      <c r="H158" s="790"/>
      <c r="K158"/>
    </row>
    <row r="159" spans="1:11" ht="12.75" x14ac:dyDescent="0.2">
      <c r="A159" s="790"/>
      <c r="B159" s="790"/>
      <c r="C159" s="790"/>
      <c r="D159" s="790"/>
      <c r="E159" s="790"/>
      <c r="F159" s="790"/>
      <c r="G159" s="790"/>
      <c r="H159" s="790"/>
      <c r="K159"/>
    </row>
    <row r="160" spans="1:11" ht="12.75" x14ac:dyDescent="0.2">
      <c r="A160" s="790"/>
      <c r="B160" s="790"/>
      <c r="C160" s="790"/>
      <c r="D160" s="790"/>
      <c r="E160" s="790"/>
      <c r="F160" s="790"/>
      <c r="G160" s="790"/>
      <c r="H160" s="790"/>
      <c r="K160"/>
    </row>
    <row r="161" spans="1:11" ht="12.75" x14ac:dyDescent="0.2">
      <c r="A161" s="790"/>
      <c r="B161" s="790"/>
      <c r="C161" s="790"/>
      <c r="D161" s="790"/>
      <c r="E161" s="790"/>
      <c r="F161" s="790"/>
      <c r="G161" s="790"/>
      <c r="H161" s="790"/>
      <c r="K161"/>
    </row>
    <row r="162" spans="1:11" ht="12.75" x14ac:dyDescent="0.2">
      <c r="A162" s="790"/>
      <c r="B162" s="790"/>
      <c r="C162" s="790"/>
      <c r="D162" s="790"/>
      <c r="E162" s="790"/>
      <c r="F162" s="790"/>
      <c r="G162" s="790"/>
      <c r="H162" s="790"/>
      <c r="K162"/>
    </row>
    <row r="163" spans="1:11" ht="12.75" x14ac:dyDescent="0.2">
      <c r="A163" s="790"/>
      <c r="B163" s="790"/>
      <c r="C163" s="790"/>
      <c r="D163" s="790"/>
      <c r="E163" s="790"/>
      <c r="F163" s="790"/>
      <c r="G163" s="790"/>
      <c r="H163" s="790"/>
      <c r="K163"/>
    </row>
    <row r="164" spans="1:11" ht="12.75" x14ac:dyDescent="0.2">
      <c r="A164" s="790"/>
      <c r="B164" s="790"/>
      <c r="C164" s="790"/>
      <c r="D164" s="790"/>
      <c r="E164" s="790"/>
      <c r="F164" s="790"/>
      <c r="G164" s="790"/>
      <c r="H164" s="790"/>
      <c r="K164"/>
    </row>
    <row r="165" spans="1:11" ht="12.75" x14ac:dyDescent="0.2">
      <c r="A165" s="790"/>
      <c r="B165" s="790"/>
      <c r="C165" s="790"/>
      <c r="D165" s="790"/>
      <c r="E165" s="790"/>
      <c r="F165" s="790"/>
      <c r="G165" s="790"/>
      <c r="H165" s="790"/>
      <c r="K165"/>
    </row>
    <row r="166" spans="1:11" ht="12.75" x14ac:dyDescent="0.2">
      <c r="A166" s="790"/>
      <c r="B166" s="790"/>
      <c r="C166" s="790"/>
      <c r="D166" s="790"/>
      <c r="E166" s="790"/>
      <c r="F166" s="790"/>
      <c r="G166" s="790"/>
      <c r="H166" s="790"/>
      <c r="K166"/>
    </row>
    <row r="167" spans="1:11" ht="12.75" x14ac:dyDescent="0.2">
      <c r="A167" s="790"/>
      <c r="B167" s="790"/>
      <c r="C167" s="790"/>
      <c r="D167" s="790"/>
      <c r="E167" s="790"/>
      <c r="F167" s="790"/>
      <c r="G167" s="790"/>
      <c r="H167" s="790"/>
      <c r="K167"/>
    </row>
    <row r="168" spans="1:11" ht="12.75" x14ac:dyDescent="0.2">
      <c r="A168" s="790"/>
      <c r="B168" s="790"/>
      <c r="C168" s="790"/>
      <c r="D168" s="790"/>
      <c r="E168" s="790"/>
      <c r="F168" s="790"/>
      <c r="G168" s="790"/>
      <c r="H168" s="790"/>
      <c r="K168"/>
    </row>
    <row r="169" spans="1:11" ht="12.75" x14ac:dyDescent="0.2">
      <c r="A169" s="790"/>
      <c r="B169" s="790"/>
      <c r="C169" s="790"/>
      <c r="D169" s="790"/>
      <c r="E169" s="790"/>
      <c r="F169" s="790"/>
      <c r="G169" s="790"/>
      <c r="H169" s="790"/>
      <c r="K169"/>
    </row>
    <row r="170" spans="1:11" ht="12.75" x14ac:dyDescent="0.2">
      <c r="A170" s="790"/>
      <c r="B170" s="790"/>
      <c r="C170" s="790"/>
      <c r="D170" s="790"/>
      <c r="E170" s="790"/>
      <c r="F170" s="790"/>
      <c r="G170" s="790"/>
      <c r="H170" s="790"/>
      <c r="K170"/>
    </row>
    <row r="171" spans="1:11" ht="12.75" x14ac:dyDescent="0.2">
      <c r="A171" s="790"/>
      <c r="B171" s="790"/>
      <c r="C171" s="790"/>
      <c r="D171" s="790"/>
      <c r="E171" s="790"/>
      <c r="F171" s="790"/>
      <c r="G171" s="790"/>
      <c r="H171" s="790"/>
      <c r="K171"/>
    </row>
    <row r="172" spans="1:11" ht="12.75" x14ac:dyDescent="0.2">
      <c r="A172" s="790"/>
      <c r="B172" s="790"/>
      <c r="C172" s="790"/>
      <c r="D172" s="790"/>
      <c r="E172" s="790"/>
      <c r="F172" s="790"/>
      <c r="G172" s="790"/>
      <c r="H172" s="790"/>
      <c r="K172"/>
    </row>
    <row r="173" spans="1:11" ht="12.75" x14ac:dyDescent="0.2">
      <c r="A173" s="790"/>
      <c r="B173" s="790"/>
      <c r="C173" s="790"/>
      <c r="D173" s="790"/>
      <c r="E173" s="790"/>
      <c r="F173" s="790"/>
      <c r="G173" s="790"/>
      <c r="H173" s="790"/>
      <c r="K173"/>
    </row>
    <row r="174" spans="1:11" ht="12.75" x14ac:dyDescent="0.2">
      <c r="A174" s="790"/>
      <c r="B174" s="790"/>
      <c r="C174" s="790"/>
      <c r="D174" s="790"/>
      <c r="E174" s="790"/>
      <c r="F174" s="790"/>
      <c r="G174" s="790"/>
      <c r="H174" s="790"/>
      <c r="K174"/>
    </row>
    <row r="175" spans="1:11" ht="12.75" x14ac:dyDescent="0.2">
      <c r="A175" s="790"/>
      <c r="B175" s="790"/>
      <c r="C175" s="790"/>
      <c r="D175" s="790"/>
      <c r="E175" s="790"/>
      <c r="F175" s="790"/>
      <c r="G175" s="790"/>
      <c r="H175" s="790"/>
      <c r="K175"/>
    </row>
    <row r="176" spans="1:11" ht="12.75" x14ac:dyDescent="0.2">
      <c r="A176" s="790"/>
      <c r="B176" s="790"/>
      <c r="C176" s="790"/>
      <c r="D176" s="790"/>
      <c r="E176" s="790"/>
      <c r="F176" s="790"/>
      <c r="G176" s="790"/>
      <c r="H176" s="790"/>
      <c r="K176"/>
    </row>
    <row r="177" spans="1:11" ht="12.75" x14ac:dyDescent="0.2">
      <c r="A177" s="790"/>
      <c r="B177" s="790"/>
      <c r="C177" s="790"/>
      <c r="D177" s="790"/>
      <c r="E177" s="790"/>
      <c r="F177" s="790"/>
      <c r="G177" s="790"/>
      <c r="H177" s="790"/>
      <c r="K177"/>
    </row>
    <row r="178" spans="1:11" ht="12.75" x14ac:dyDescent="0.2">
      <c r="A178" s="790"/>
      <c r="B178" s="790"/>
      <c r="C178" s="790"/>
      <c r="D178" s="790"/>
      <c r="E178" s="790"/>
      <c r="F178" s="790"/>
      <c r="G178" s="790"/>
      <c r="H178" s="790"/>
      <c r="K178"/>
    </row>
    <row r="179" spans="1:11" ht="12.75" x14ac:dyDescent="0.2">
      <c r="A179" s="790"/>
      <c r="B179" s="790"/>
      <c r="C179" s="790"/>
      <c r="D179" s="790"/>
      <c r="E179" s="790"/>
      <c r="F179" s="790"/>
      <c r="G179" s="790"/>
      <c r="H179" s="790"/>
      <c r="K179"/>
    </row>
    <row r="180" spans="1:11" ht="12.75" x14ac:dyDescent="0.2">
      <c r="A180" s="790"/>
      <c r="B180" s="790"/>
      <c r="C180" s="790"/>
      <c r="D180" s="790"/>
      <c r="E180" s="790"/>
      <c r="F180" s="790"/>
      <c r="G180" s="790"/>
      <c r="H180" s="790"/>
      <c r="K180"/>
    </row>
    <row r="181" spans="1:11" ht="12.75" x14ac:dyDescent="0.2">
      <c r="A181" s="790"/>
      <c r="B181" s="790"/>
      <c r="C181" s="790"/>
      <c r="D181" s="790"/>
      <c r="E181" s="790"/>
      <c r="F181" s="790"/>
      <c r="G181" s="790"/>
      <c r="H181" s="790"/>
      <c r="K181"/>
    </row>
    <row r="182" spans="1:11" ht="12.75" x14ac:dyDescent="0.2">
      <c r="A182" s="790"/>
      <c r="B182" s="790"/>
      <c r="C182" s="790"/>
      <c r="D182" s="790"/>
      <c r="E182" s="790"/>
      <c r="F182" s="790"/>
      <c r="G182" s="790"/>
      <c r="H182" s="790"/>
      <c r="K182"/>
    </row>
    <row r="183" spans="1:11" ht="12.75" x14ac:dyDescent="0.2">
      <c r="A183" s="790"/>
      <c r="B183" s="790"/>
      <c r="C183" s="790"/>
      <c r="D183" s="790"/>
      <c r="E183" s="790"/>
      <c r="F183" s="790"/>
      <c r="G183" s="790"/>
      <c r="H183" s="790"/>
      <c r="K183"/>
    </row>
    <row r="184" spans="1:11" ht="12.75" x14ac:dyDescent="0.2">
      <c r="A184" s="790"/>
      <c r="B184" s="790"/>
      <c r="C184" s="790"/>
      <c r="D184" s="790"/>
      <c r="E184" s="790"/>
      <c r="F184" s="790"/>
      <c r="G184" s="790"/>
      <c r="H184" s="790"/>
      <c r="K184"/>
    </row>
    <row r="185" spans="1:11" ht="12.75" x14ac:dyDescent="0.2">
      <c r="A185" s="790"/>
      <c r="B185" s="790"/>
      <c r="C185" s="790"/>
      <c r="D185" s="790"/>
      <c r="E185" s="790"/>
      <c r="F185" s="790"/>
      <c r="G185" s="790"/>
      <c r="H185" s="790"/>
      <c r="K185"/>
    </row>
    <row r="186" spans="1:11" ht="12.75" x14ac:dyDescent="0.2">
      <c r="A186" s="790"/>
      <c r="B186" s="790"/>
      <c r="C186" s="790"/>
      <c r="D186" s="790"/>
      <c r="E186" s="790"/>
      <c r="F186" s="790"/>
      <c r="G186" s="790"/>
      <c r="H186" s="790"/>
      <c r="K186"/>
    </row>
    <row r="187" spans="1:11" ht="12.75" x14ac:dyDescent="0.2">
      <c r="A187" s="790"/>
      <c r="B187" s="790"/>
      <c r="C187" s="790"/>
      <c r="D187" s="790"/>
      <c r="E187" s="790"/>
      <c r="F187" s="790"/>
      <c r="G187" s="790"/>
      <c r="H187" s="790"/>
      <c r="K187"/>
    </row>
    <row r="188" spans="1:11" ht="12.75" x14ac:dyDescent="0.2">
      <c r="A188" s="790"/>
      <c r="B188" s="790"/>
      <c r="C188" s="790"/>
      <c r="D188" s="790"/>
      <c r="E188" s="790"/>
      <c r="F188" s="790"/>
      <c r="G188" s="790"/>
      <c r="H188" s="790"/>
      <c r="K188"/>
    </row>
    <row r="189" spans="1:11" ht="12.75" x14ac:dyDescent="0.2">
      <c r="A189" s="790"/>
      <c r="B189" s="790"/>
      <c r="C189" s="790"/>
      <c r="D189" s="790"/>
      <c r="E189" s="790"/>
      <c r="F189" s="790"/>
      <c r="G189" s="790"/>
      <c r="H189" s="790"/>
      <c r="K189"/>
    </row>
    <row r="190" spans="1:11" ht="12.75" x14ac:dyDescent="0.2">
      <c r="A190" s="790"/>
      <c r="B190" s="790"/>
      <c r="C190" s="790"/>
      <c r="D190" s="790"/>
      <c r="E190" s="790"/>
      <c r="F190" s="790"/>
      <c r="G190" s="790"/>
      <c r="H190" s="790"/>
      <c r="K190"/>
    </row>
    <row r="191" spans="1:11" ht="12.75" x14ac:dyDescent="0.2">
      <c r="A191" s="790"/>
      <c r="B191" s="790"/>
      <c r="C191" s="790"/>
      <c r="D191" s="790"/>
      <c r="E191" s="790"/>
      <c r="F191" s="790"/>
      <c r="G191" s="790"/>
      <c r="H191" s="790"/>
      <c r="K191"/>
    </row>
    <row r="192" spans="1:11" ht="12.75" x14ac:dyDescent="0.2">
      <c r="A192" s="790"/>
      <c r="B192" s="790"/>
      <c r="C192" s="790"/>
      <c r="D192" s="790"/>
      <c r="E192" s="790"/>
      <c r="F192" s="790"/>
      <c r="G192" s="790"/>
      <c r="H192" s="790"/>
      <c r="K192"/>
    </row>
    <row r="193" spans="1:11" ht="12.75" x14ac:dyDescent="0.2">
      <c r="A193" s="790"/>
      <c r="B193" s="790"/>
      <c r="C193" s="790"/>
      <c r="D193" s="790"/>
      <c r="E193" s="790"/>
      <c r="F193" s="790"/>
      <c r="G193" s="790"/>
      <c r="H193" s="790"/>
      <c r="K193"/>
    </row>
    <row r="194" spans="1:11" ht="12.75" x14ac:dyDescent="0.2">
      <c r="A194" s="790"/>
      <c r="B194" s="790"/>
      <c r="C194" s="790"/>
      <c r="D194" s="790"/>
      <c r="E194" s="790"/>
      <c r="F194" s="790"/>
      <c r="G194" s="790"/>
      <c r="H194" s="790"/>
      <c r="K194"/>
    </row>
    <row r="195" spans="1:11" ht="12.75" x14ac:dyDescent="0.2">
      <c r="A195" s="790"/>
      <c r="B195" s="790"/>
      <c r="C195" s="790"/>
      <c r="D195" s="790"/>
      <c r="E195" s="790"/>
      <c r="F195" s="790"/>
      <c r="G195" s="790"/>
      <c r="H195" s="790"/>
      <c r="K195"/>
    </row>
    <row r="196" spans="1:11" ht="12.75" x14ac:dyDescent="0.2">
      <c r="A196" s="790"/>
      <c r="B196" s="790"/>
      <c r="C196" s="790"/>
      <c r="D196" s="790"/>
      <c r="E196" s="790"/>
      <c r="F196" s="790"/>
      <c r="G196" s="790"/>
      <c r="H196" s="790"/>
      <c r="K196"/>
    </row>
    <row r="197" spans="1:11" ht="12.75" x14ac:dyDescent="0.2">
      <c r="A197" s="790"/>
      <c r="B197" s="790"/>
      <c r="C197" s="790"/>
      <c r="D197" s="790"/>
      <c r="E197" s="790"/>
      <c r="F197" s="790"/>
      <c r="G197" s="790"/>
      <c r="H197" s="790"/>
      <c r="K197"/>
    </row>
    <row r="198" spans="1:11" ht="12.75" x14ac:dyDescent="0.2">
      <c r="A198" s="790"/>
      <c r="B198" s="790"/>
      <c r="C198" s="790"/>
      <c r="D198" s="790"/>
      <c r="E198" s="790"/>
      <c r="F198" s="790"/>
      <c r="G198" s="790"/>
      <c r="H198" s="790"/>
      <c r="K198"/>
    </row>
    <row r="199" spans="1:11" ht="12.75" x14ac:dyDescent="0.2">
      <c r="A199" s="790"/>
      <c r="B199" s="790"/>
      <c r="C199" s="790"/>
      <c r="D199" s="790"/>
      <c r="E199" s="790"/>
      <c r="F199" s="790"/>
      <c r="G199" s="790"/>
      <c r="H199" s="790"/>
      <c r="K199"/>
    </row>
    <row r="200" spans="1:11" ht="12.75" x14ac:dyDescent="0.2">
      <c r="A200" s="790"/>
      <c r="B200" s="790"/>
      <c r="C200" s="790"/>
      <c r="D200" s="790"/>
      <c r="E200" s="790"/>
      <c r="F200" s="790"/>
      <c r="G200" s="790"/>
      <c r="H200" s="790"/>
      <c r="K200"/>
    </row>
  </sheetData>
  <autoFilter ref="A1:S90" xr:uid="{00000000-0009-0000-0000-000003000000}"/>
  <mergeCells count="18">
    <mergeCell ref="A5:A52"/>
    <mergeCell ref="D52:G52"/>
    <mergeCell ref="A53:A54"/>
    <mergeCell ref="D55:G55"/>
    <mergeCell ref="D57:G57"/>
    <mergeCell ref="D81:G81"/>
    <mergeCell ref="A84:A86"/>
    <mergeCell ref="D86:G86"/>
    <mergeCell ref="A87:B87"/>
    <mergeCell ref="E87:F87"/>
    <mergeCell ref="A58:A81"/>
    <mergeCell ref="G154:H154"/>
    <mergeCell ref="A89:B89"/>
    <mergeCell ref="D122:D123"/>
    <mergeCell ref="A129:E129"/>
    <mergeCell ref="A133:E133"/>
    <mergeCell ref="D148:E148"/>
    <mergeCell ref="G150:H150"/>
  </mergeCells>
  <dataValidations count="3">
    <dataValidation type="list" allowBlank="1" showInputMessage="1" showErrorMessage="1" sqref="C4" xr:uid="{00000000-0002-0000-0300-000000000000}">
      <formula1>categories</formula1>
    </dataValidation>
    <dataValidation type="list" allowBlank="1" showInputMessage="1" showErrorMessage="1" prompt="Please choose only from dropdown list" sqref="E149" xr:uid="{00000000-0002-0000-0300-000001000000}">
      <formula1>dataModality</formula1>
    </dataValidation>
    <dataValidation type="list" allowBlank="1" showInputMessage="1" showErrorMessage="1" sqref="C5:C119" xr:uid="{00000000-0002-0000-0300-000002000000}">
      <formula1>$A$135:$A$141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FFCCFF"/>
  </sheetPr>
  <dimension ref="A1:BN91"/>
  <sheetViews>
    <sheetView tabSelected="1" topLeftCell="A61" workbookViewId="0">
      <selection activeCell="L74" sqref="L74"/>
    </sheetView>
  </sheetViews>
  <sheetFormatPr defaultColWidth="11.42578125" defaultRowHeight="12.75" x14ac:dyDescent="0.2"/>
  <cols>
    <col min="1" max="1" width="20.5703125" style="1" customWidth="1"/>
    <col min="2" max="2" width="28" style="2" customWidth="1"/>
    <col min="3" max="3" width="27.5703125" style="2" customWidth="1"/>
    <col min="4" max="4" width="10.7109375" style="1" customWidth="1"/>
    <col min="5" max="5" width="8.7109375" style="1" bestFit="1" customWidth="1"/>
    <col min="6" max="6" width="9.7109375" style="1" bestFit="1" customWidth="1"/>
    <col min="7" max="7" width="12" style="1" bestFit="1" customWidth="1"/>
    <col min="8" max="8" width="10.85546875" style="2" bestFit="1" customWidth="1"/>
    <col min="9" max="9" width="11.42578125" style="2" bestFit="1" customWidth="1"/>
    <col min="10" max="10" width="11.42578125" style="2" customWidth="1"/>
    <col min="11" max="11" width="11.7109375" style="2" customWidth="1"/>
    <col min="12" max="12" width="16.7109375" style="2" customWidth="1"/>
    <col min="13" max="13" width="15.7109375" style="1" customWidth="1"/>
    <col min="14" max="16384" width="11.42578125" style="1"/>
  </cols>
  <sheetData>
    <row r="1" spans="1:65" ht="18.75" x14ac:dyDescent="0.3">
      <c r="A1" s="236"/>
      <c r="B1" s="235"/>
      <c r="C1" s="235"/>
      <c r="D1" s="298" t="s">
        <v>525</v>
      </c>
      <c r="E1" s="298"/>
      <c r="F1" s="298"/>
      <c r="G1" s="298"/>
      <c r="H1" s="235"/>
      <c r="I1" s="235"/>
      <c r="J1" s="235"/>
      <c r="K1" s="235"/>
      <c r="L1" s="235"/>
    </row>
    <row r="2" spans="1:65" x14ac:dyDescent="0.2">
      <c r="A2" s="5" t="s">
        <v>526</v>
      </c>
      <c r="B2" s="237"/>
      <c r="C2" s="237"/>
      <c r="D2" s="600"/>
      <c r="E2" s="600"/>
      <c r="F2" s="600"/>
      <c r="G2" s="600"/>
      <c r="H2" s="601"/>
      <c r="I2" s="601"/>
      <c r="J2" s="601"/>
      <c r="K2" s="601"/>
      <c r="L2" s="235"/>
    </row>
    <row r="3" spans="1:65" x14ac:dyDescent="0.2">
      <c r="A3" s="5" t="s">
        <v>527</v>
      </c>
      <c r="B3" s="237"/>
      <c r="D3" s="600"/>
      <c r="E3" s="600"/>
      <c r="F3" s="600"/>
      <c r="G3" s="600"/>
      <c r="H3" s="299">
        <f>H74</f>
        <v>97999.514018691581</v>
      </c>
      <c r="I3" s="299">
        <f>100000-H3</f>
        <v>2000.4859813084186</v>
      </c>
      <c r="J3" s="299"/>
      <c r="K3" s="299"/>
      <c r="L3" s="299"/>
    </row>
    <row r="4" spans="1:65" x14ac:dyDescent="0.2">
      <c r="A4" s="5" t="s">
        <v>528</v>
      </c>
      <c r="B4" s="4"/>
      <c r="D4" s="300"/>
      <c r="E4" s="300"/>
      <c r="F4" s="300"/>
      <c r="G4" s="300"/>
      <c r="H4" s="300"/>
      <c r="I4" s="300">
        <f>I3*7%</f>
        <v>140.03401869158932</v>
      </c>
      <c r="J4" s="300"/>
      <c r="K4" s="300"/>
      <c r="L4" s="300"/>
    </row>
    <row r="5" spans="1:65" x14ac:dyDescent="0.2">
      <c r="A5" s="5" t="s">
        <v>529</v>
      </c>
      <c r="B5" s="4"/>
      <c r="D5" s="300"/>
      <c r="E5" s="300"/>
      <c r="F5" s="300"/>
      <c r="G5" s="300"/>
      <c r="H5" s="300"/>
      <c r="I5" s="301">
        <f>I3-I4</f>
        <v>1860.4519626168292</v>
      </c>
      <c r="J5" s="301"/>
      <c r="K5" s="301"/>
      <c r="L5" s="301"/>
    </row>
    <row r="6" spans="1:65" x14ac:dyDescent="0.2">
      <c r="A6" s="6" t="s">
        <v>28</v>
      </c>
      <c r="B6" s="4"/>
      <c r="C6" s="4"/>
      <c r="D6" s="300"/>
      <c r="E6" s="300"/>
      <c r="F6" s="300"/>
      <c r="G6" s="300"/>
      <c r="H6" s="300"/>
      <c r="I6" s="300"/>
      <c r="J6" s="300"/>
      <c r="K6" s="300"/>
      <c r="L6" s="238"/>
    </row>
    <row r="7" spans="1:65" x14ac:dyDescent="0.2">
      <c r="A7" s="6" t="s">
        <v>530</v>
      </c>
      <c r="B7" s="4"/>
      <c r="C7" s="4"/>
      <c r="D7" s="300"/>
      <c r="E7" s="300"/>
      <c r="F7" s="300"/>
      <c r="G7" s="300"/>
      <c r="H7" s="300"/>
      <c r="I7" s="300"/>
      <c r="J7" s="300"/>
      <c r="K7" s="300"/>
      <c r="L7" s="238"/>
    </row>
    <row r="8" spans="1:65" x14ac:dyDescent="0.2">
      <c r="A8" s="236"/>
      <c r="B8" s="235"/>
      <c r="C8" s="235"/>
      <c r="D8" s="236"/>
      <c r="E8" s="236"/>
      <c r="F8" s="236"/>
      <c r="G8" s="236"/>
      <c r="H8" s="235"/>
      <c r="I8" s="235"/>
      <c r="J8" s="235"/>
      <c r="K8" s="235"/>
      <c r="L8" s="235"/>
    </row>
    <row r="9" spans="1:65" s="303" customFormat="1" ht="38.25" x14ac:dyDescent="0.2">
      <c r="A9" s="7" t="s">
        <v>6</v>
      </c>
      <c r="B9" s="7" t="s">
        <v>531</v>
      </c>
      <c r="C9" s="7" t="s">
        <v>532</v>
      </c>
      <c r="D9" s="7" t="s">
        <v>26</v>
      </c>
      <c r="E9" s="7" t="s">
        <v>533</v>
      </c>
      <c r="F9" s="7" t="s">
        <v>4</v>
      </c>
      <c r="G9" s="7" t="s">
        <v>534</v>
      </c>
      <c r="H9" s="7" t="s">
        <v>8</v>
      </c>
      <c r="I9" s="302" t="s">
        <v>19</v>
      </c>
      <c r="J9" s="302" t="s">
        <v>535</v>
      </c>
      <c r="K9" s="302" t="s">
        <v>645</v>
      </c>
      <c r="L9" s="302" t="s">
        <v>646</v>
      </c>
      <c r="M9" s="302" t="s">
        <v>30</v>
      </c>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c r="BI9" s="582"/>
      <c r="BJ9" s="582"/>
      <c r="BK9" s="582"/>
      <c r="BL9" s="582"/>
      <c r="BM9" s="582"/>
    </row>
    <row r="10" spans="1:65" s="239" customFormat="1" x14ac:dyDescent="0.2">
      <c r="A10" s="371" t="s">
        <v>536</v>
      </c>
      <c r="B10" s="372"/>
      <c r="C10" s="372"/>
      <c r="D10" s="372"/>
      <c r="E10" s="372"/>
      <c r="F10" s="372"/>
      <c r="G10" s="372"/>
      <c r="H10" s="372"/>
      <c r="I10" s="372"/>
      <c r="J10" s="372"/>
      <c r="K10" s="372"/>
      <c r="L10" s="372"/>
      <c r="M10" s="373"/>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row>
    <row r="11" spans="1:65" x14ac:dyDescent="0.2">
      <c r="A11" s="374" t="s">
        <v>537</v>
      </c>
      <c r="B11" s="375"/>
      <c r="C11" s="375"/>
      <c r="D11" s="375"/>
      <c r="E11" s="375"/>
      <c r="F11" s="375"/>
      <c r="G11" s="375"/>
      <c r="H11" s="375"/>
      <c r="I11" s="375"/>
      <c r="J11" s="375"/>
      <c r="K11" s="375"/>
      <c r="L11" s="375"/>
      <c r="M11" s="376"/>
    </row>
    <row r="12" spans="1:65" ht="38.25" x14ac:dyDescent="0.2">
      <c r="A12" s="1780" t="s">
        <v>647</v>
      </c>
      <c r="B12" s="282" t="s">
        <v>503</v>
      </c>
      <c r="C12" s="271" t="s">
        <v>504</v>
      </c>
      <c r="D12" s="44" t="s">
        <v>505</v>
      </c>
      <c r="E12" s="272">
        <v>1</v>
      </c>
      <c r="F12" s="288">
        <v>149</v>
      </c>
      <c r="G12" s="273">
        <v>3</v>
      </c>
      <c r="H12" s="274">
        <f>E12*F12*G12</f>
        <v>447</v>
      </c>
      <c r="I12" s="275">
        <v>0.25</v>
      </c>
      <c r="J12" s="274">
        <f>+H12*I12</f>
        <v>111.75</v>
      </c>
      <c r="K12" s="274"/>
      <c r="L12" s="274"/>
      <c r="M12" s="276"/>
    </row>
    <row r="13" spans="1:65" ht="38.25" x14ac:dyDescent="0.2">
      <c r="A13" s="1781"/>
      <c r="B13" s="271" t="s">
        <v>506</v>
      </c>
      <c r="C13" s="271"/>
      <c r="D13" s="44" t="s">
        <v>505</v>
      </c>
      <c r="E13" s="272">
        <v>3</v>
      </c>
      <c r="F13" s="272">
        <v>0</v>
      </c>
      <c r="G13" s="273">
        <v>3</v>
      </c>
      <c r="H13" s="274">
        <f>E13*F13*G13</f>
        <v>0</v>
      </c>
      <c r="I13" s="243"/>
      <c r="J13" s="243"/>
      <c r="K13" s="243"/>
      <c r="L13" s="243"/>
      <c r="M13" s="276"/>
    </row>
    <row r="14" spans="1:65" x14ac:dyDescent="0.2">
      <c r="A14" s="1781"/>
      <c r="B14" s="277"/>
      <c r="C14" s="277"/>
      <c r="D14" s="278" t="s">
        <v>0</v>
      </c>
      <c r="E14" s="278"/>
      <c r="F14" s="278"/>
      <c r="G14" s="278"/>
      <c r="H14" s="279">
        <f>SUM(H12:H13)</f>
        <v>447</v>
      </c>
      <c r="I14" s="279"/>
      <c r="J14" s="279">
        <f>SUM(J12:J13)</f>
        <v>111.75</v>
      </c>
      <c r="K14" s="583">
        <v>0</v>
      </c>
      <c r="L14" s="584">
        <f>K14*100/H14</f>
        <v>0</v>
      </c>
      <c r="M14" s="279"/>
    </row>
    <row r="15" spans="1:65" ht="25.5" x14ac:dyDescent="0.2">
      <c r="A15" s="1781"/>
      <c r="B15" s="271" t="s">
        <v>507</v>
      </c>
      <c r="C15" s="271" t="s">
        <v>508</v>
      </c>
      <c r="D15" s="44" t="s">
        <v>505</v>
      </c>
      <c r="E15" s="272">
        <v>500</v>
      </c>
      <c r="F15" s="272">
        <v>5</v>
      </c>
      <c r="G15" s="273">
        <v>1</v>
      </c>
      <c r="H15" s="274">
        <f>E15*F15*G15</f>
        <v>2500</v>
      </c>
      <c r="I15" s="275">
        <v>0.25</v>
      </c>
      <c r="J15" s="274">
        <f>+H15*I15</f>
        <v>625</v>
      </c>
      <c r="K15" s="274"/>
      <c r="L15" s="274"/>
      <c r="M15" s="276"/>
    </row>
    <row r="16" spans="1:65" ht="25.5" x14ac:dyDescent="0.2">
      <c r="A16" s="1781"/>
      <c r="B16" s="271" t="s">
        <v>509</v>
      </c>
      <c r="C16" s="271" t="s">
        <v>508</v>
      </c>
      <c r="D16" s="44" t="s">
        <v>505</v>
      </c>
      <c r="E16" s="272">
        <v>500</v>
      </c>
      <c r="F16" s="272">
        <v>1</v>
      </c>
      <c r="G16" s="273">
        <v>1</v>
      </c>
      <c r="H16" s="274">
        <f>E16*F16*G16</f>
        <v>500</v>
      </c>
      <c r="I16" s="275">
        <v>0.25</v>
      </c>
      <c r="J16" s="274">
        <f t="shared" ref="J16:J17" si="0">+H16*I16</f>
        <v>125</v>
      </c>
      <c r="K16" s="274"/>
      <c r="L16" s="274"/>
      <c r="M16" s="276"/>
    </row>
    <row r="17" spans="1:13" ht="25.5" x14ac:dyDescent="0.2">
      <c r="A17" s="1781"/>
      <c r="B17" s="271" t="s">
        <v>510</v>
      </c>
      <c r="C17" s="271" t="s">
        <v>508</v>
      </c>
      <c r="D17" s="44" t="s">
        <v>505</v>
      </c>
      <c r="E17" s="272">
        <v>500</v>
      </c>
      <c r="F17" s="272">
        <v>55</v>
      </c>
      <c r="G17" s="273">
        <v>1</v>
      </c>
      <c r="H17" s="274">
        <f>E17*F17*G17</f>
        <v>27500</v>
      </c>
      <c r="I17" s="275">
        <v>0.25</v>
      </c>
      <c r="J17" s="274">
        <f t="shared" si="0"/>
        <v>6875</v>
      </c>
      <c r="K17" s="274"/>
      <c r="L17" s="274"/>
      <c r="M17" s="276"/>
    </row>
    <row r="18" spans="1:13" x14ac:dyDescent="0.2">
      <c r="A18" s="1781"/>
      <c r="B18" s="277"/>
      <c r="C18" s="277"/>
      <c r="D18" s="278" t="s">
        <v>0</v>
      </c>
      <c r="E18" s="278"/>
      <c r="F18" s="278"/>
      <c r="G18" s="278"/>
      <c r="H18" s="279">
        <f>SUM(H15:H17)</f>
        <v>30500</v>
      </c>
      <c r="I18" s="279"/>
      <c r="J18" s="279">
        <f>SUM(J15:J17)</f>
        <v>7625</v>
      </c>
      <c r="K18" s="583">
        <f>182+20607.89</f>
        <v>20789.89</v>
      </c>
      <c r="L18" s="584">
        <f>K18*100/H18</f>
        <v>68.163573770491809</v>
      </c>
      <c r="M18" s="279"/>
    </row>
    <row r="19" spans="1:13" ht="25.5" x14ac:dyDescent="0.2">
      <c r="A19" s="1781"/>
      <c r="B19" s="270" t="s">
        <v>511</v>
      </c>
      <c r="C19" s="282" t="s">
        <v>34</v>
      </c>
      <c r="D19" s="44" t="s">
        <v>505</v>
      </c>
      <c r="E19" s="272">
        <v>3</v>
      </c>
      <c r="F19" s="273">
        <v>1200</v>
      </c>
      <c r="G19" s="273">
        <v>3</v>
      </c>
      <c r="H19" s="274">
        <f>+E19*F19*G19</f>
        <v>10800</v>
      </c>
      <c r="I19" s="275">
        <v>0.35</v>
      </c>
      <c r="J19" s="274">
        <f>+H19*I19</f>
        <v>3779.9999999999995</v>
      </c>
      <c r="K19" s="585"/>
      <c r="L19" s="585"/>
      <c r="M19" s="586" t="s">
        <v>648</v>
      </c>
    </row>
    <row r="20" spans="1:13" x14ac:dyDescent="0.2">
      <c r="A20" s="1781"/>
      <c r="B20" s="281"/>
      <c r="C20" s="277"/>
      <c r="D20" s="278" t="s">
        <v>0</v>
      </c>
      <c r="E20" s="278"/>
      <c r="F20" s="278"/>
      <c r="G20" s="278"/>
      <c r="H20" s="395">
        <f>SUM(H19)</f>
        <v>10800</v>
      </c>
      <c r="I20" s="395"/>
      <c r="J20" s="395">
        <f>SUM(J19)</f>
        <v>3779.9999999999995</v>
      </c>
      <c r="K20" s="584">
        <v>18800</v>
      </c>
      <c r="L20" s="584">
        <f>K20*100/H20</f>
        <v>174.07407407407408</v>
      </c>
      <c r="M20" s="279"/>
    </row>
    <row r="21" spans="1:13" ht="25.5" x14ac:dyDescent="0.2">
      <c r="A21" s="1781"/>
      <c r="B21" s="282" t="s">
        <v>512</v>
      </c>
      <c r="C21" s="282" t="s">
        <v>34</v>
      </c>
      <c r="D21" s="44" t="s">
        <v>505</v>
      </c>
      <c r="E21" s="283">
        <v>3</v>
      </c>
      <c r="F21" s="283">
        <v>400</v>
      </c>
      <c r="G21" s="283">
        <v>2</v>
      </c>
      <c r="H21" s="396">
        <f>+E21*F21*G21</f>
        <v>2400</v>
      </c>
      <c r="I21" s="275">
        <v>0.4</v>
      </c>
      <c r="J21" s="284">
        <f>+H21*I21</f>
        <v>960</v>
      </c>
      <c r="K21" s="587"/>
      <c r="L21" s="587"/>
      <c r="M21" s="280"/>
    </row>
    <row r="22" spans="1:13" ht="25.5" x14ac:dyDescent="0.2">
      <c r="A22" s="1781"/>
      <c r="B22" s="282" t="s">
        <v>513</v>
      </c>
      <c r="C22" s="282" t="s">
        <v>34</v>
      </c>
      <c r="D22" s="44" t="s">
        <v>505</v>
      </c>
      <c r="E22" s="286">
        <v>3</v>
      </c>
      <c r="F22" s="286">
        <v>180</v>
      </c>
      <c r="G22" s="286">
        <v>10</v>
      </c>
      <c r="H22" s="396">
        <f t="shared" ref="H22" si="1">+E22*F22*G22</f>
        <v>5400</v>
      </c>
      <c r="I22" s="285"/>
      <c r="J22" s="285"/>
      <c r="K22" s="588"/>
      <c r="L22" s="588"/>
      <c r="M22" s="586"/>
    </row>
    <row r="23" spans="1:13" x14ac:dyDescent="0.2">
      <c r="A23" s="1781"/>
      <c r="B23" s="277"/>
      <c r="C23" s="277"/>
      <c r="D23" s="278" t="s">
        <v>0</v>
      </c>
      <c r="E23" s="278"/>
      <c r="F23" s="278"/>
      <c r="G23" s="278"/>
      <c r="H23" s="279">
        <f>SUM(H21:H22)</f>
        <v>7800</v>
      </c>
      <c r="I23" s="279"/>
      <c r="J23" s="279">
        <f>SUM(J21:J22)</f>
        <v>960</v>
      </c>
      <c r="K23" s="589">
        <v>9453</v>
      </c>
      <c r="L23" s="584">
        <f>K23*100/H23</f>
        <v>121.19230769230769</v>
      </c>
      <c r="M23" s="279"/>
    </row>
    <row r="24" spans="1:13" ht="25.5" x14ac:dyDescent="0.2">
      <c r="A24" s="1781"/>
      <c r="B24" s="271" t="s">
        <v>514</v>
      </c>
      <c r="C24" s="282" t="s">
        <v>563</v>
      </c>
      <c r="D24" s="44" t="s">
        <v>505</v>
      </c>
      <c r="E24" s="288">
        <v>3</v>
      </c>
      <c r="F24" s="288">
        <v>4505</v>
      </c>
      <c r="G24" s="288">
        <v>1</v>
      </c>
      <c r="H24" s="287">
        <f>E24*F24*G24</f>
        <v>13515</v>
      </c>
      <c r="I24" s="285"/>
      <c r="J24" s="285"/>
      <c r="K24" s="588"/>
      <c r="L24" s="588"/>
      <c r="M24" s="289"/>
    </row>
    <row r="25" spans="1:13" ht="25.5" x14ac:dyDescent="0.2">
      <c r="A25" s="1781"/>
      <c r="B25" s="271" t="s">
        <v>515</v>
      </c>
      <c r="C25" s="282" t="s">
        <v>508</v>
      </c>
      <c r="D25" s="288" t="s">
        <v>505</v>
      </c>
      <c r="E25" s="288">
        <v>3</v>
      </c>
      <c r="F25" s="288">
        <v>200</v>
      </c>
      <c r="G25" s="288">
        <v>1</v>
      </c>
      <c r="H25" s="287">
        <f t="shared" ref="H25" si="2">E25*F25*G25</f>
        <v>600</v>
      </c>
      <c r="I25" s="285"/>
      <c r="J25" s="285"/>
      <c r="K25" s="588"/>
      <c r="L25" s="588"/>
      <c r="M25" s="271"/>
    </row>
    <row r="26" spans="1:13" x14ac:dyDescent="0.2">
      <c r="A26" s="1782"/>
      <c r="B26" s="277"/>
      <c r="C26" s="277"/>
      <c r="D26" s="242" t="s">
        <v>0</v>
      </c>
      <c r="E26" s="242"/>
      <c r="F26" s="242"/>
      <c r="G26" s="242"/>
      <c r="H26" s="279">
        <f>SUM(H24:H25)</f>
        <v>14115</v>
      </c>
      <c r="I26" s="279"/>
      <c r="J26" s="279"/>
      <c r="K26" s="583">
        <v>15970</v>
      </c>
      <c r="L26" s="584">
        <f>K26*100/H26</f>
        <v>113.14204746723344</v>
      </c>
      <c r="M26" s="279"/>
    </row>
    <row r="27" spans="1:13" x14ac:dyDescent="0.2">
      <c r="A27" s="1783" t="s">
        <v>516</v>
      </c>
      <c r="B27" s="290" t="s">
        <v>517</v>
      </c>
      <c r="C27" s="271"/>
      <c r="D27" s="193"/>
      <c r="E27" s="193"/>
      <c r="F27" s="193"/>
      <c r="G27" s="193"/>
      <c r="H27" s="194"/>
      <c r="I27" s="285"/>
      <c r="J27" s="285"/>
      <c r="K27" s="588"/>
      <c r="L27" s="588"/>
      <c r="M27" s="285"/>
    </row>
    <row r="28" spans="1:13" ht="38.25" x14ac:dyDescent="0.2">
      <c r="A28" s="1784"/>
      <c r="B28" s="271" t="s">
        <v>148</v>
      </c>
      <c r="C28" s="271" t="s">
        <v>504</v>
      </c>
      <c r="D28" s="44" t="s">
        <v>505</v>
      </c>
      <c r="E28" s="288">
        <v>3</v>
      </c>
      <c r="F28" s="288">
        <v>100</v>
      </c>
      <c r="G28" s="288">
        <v>1</v>
      </c>
      <c r="H28" s="287">
        <f>E28*F28*G28</f>
        <v>300</v>
      </c>
      <c r="I28" s="291">
        <v>0.35</v>
      </c>
      <c r="J28" s="292">
        <f>+H28*I28</f>
        <v>105</v>
      </c>
      <c r="K28" s="590"/>
      <c r="L28" s="590"/>
      <c r="M28" s="285"/>
    </row>
    <row r="29" spans="1:13" x14ac:dyDescent="0.2">
      <c r="A29" s="1784"/>
      <c r="B29" s="271" t="s">
        <v>518</v>
      </c>
      <c r="C29" s="271" t="s">
        <v>552</v>
      </c>
      <c r="D29" s="44" t="s">
        <v>505</v>
      </c>
      <c r="E29" s="293">
        <v>40</v>
      </c>
      <c r="F29" s="293">
        <v>7</v>
      </c>
      <c r="G29" s="193">
        <v>1</v>
      </c>
      <c r="H29" s="287">
        <f t="shared" ref="H29:H35" si="3">E29*F29*G29</f>
        <v>280</v>
      </c>
      <c r="I29" s="291">
        <v>0.35</v>
      </c>
      <c r="J29" s="292">
        <f t="shared" ref="J29:J34" si="4">+H29*I29</f>
        <v>98</v>
      </c>
      <c r="K29" s="590"/>
      <c r="L29" s="590"/>
      <c r="M29" s="285"/>
    </row>
    <row r="30" spans="1:13" x14ac:dyDescent="0.2">
      <c r="A30" s="1784"/>
      <c r="B30" s="1" t="s">
        <v>519</v>
      </c>
      <c r="C30" s="271" t="s">
        <v>552</v>
      </c>
      <c r="D30" s="44" t="s">
        <v>505</v>
      </c>
      <c r="E30" s="293">
        <v>40</v>
      </c>
      <c r="F30" s="293">
        <v>4</v>
      </c>
      <c r="G30" s="193">
        <v>1</v>
      </c>
      <c r="H30" s="287">
        <f t="shared" si="3"/>
        <v>160</v>
      </c>
      <c r="I30" s="291">
        <v>0.35</v>
      </c>
      <c r="J30" s="292">
        <f t="shared" si="4"/>
        <v>56</v>
      </c>
      <c r="K30" s="590"/>
      <c r="L30" s="590"/>
      <c r="M30" s="285"/>
    </row>
    <row r="31" spans="1:13" x14ac:dyDescent="0.2">
      <c r="A31" s="1784"/>
      <c r="B31" s="271" t="s">
        <v>520</v>
      </c>
      <c r="C31" s="271" t="s">
        <v>552</v>
      </c>
      <c r="D31" s="44" t="s">
        <v>505</v>
      </c>
      <c r="E31" s="293">
        <v>40</v>
      </c>
      <c r="F31" s="293">
        <v>0.75</v>
      </c>
      <c r="G31" s="193">
        <v>1</v>
      </c>
      <c r="H31" s="287">
        <f t="shared" si="3"/>
        <v>30</v>
      </c>
      <c r="I31" s="291">
        <v>0.35</v>
      </c>
      <c r="J31" s="292">
        <f t="shared" si="4"/>
        <v>10.5</v>
      </c>
      <c r="K31" s="590"/>
      <c r="L31" s="590"/>
      <c r="M31" s="285"/>
    </row>
    <row r="32" spans="1:13" x14ac:dyDescent="0.2">
      <c r="A32" s="1784"/>
      <c r="B32" s="271" t="s">
        <v>521</v>
      </c>
      <c r="C32" s="271" t="s">
        <v>552</v>
      </c>
      <c r="D32" s="44" t="s">
        <v>505</v>
      </c>
      <c r="E32" s="293">
        <v>40</v>
      </c>
      <c r="F32" s="293">
        <v>5</v>
      </c>
      <c r="G32" s="193">
        <v>1</v>
      </c>
      <c r="H32" s="287">
        <f t="shared" si="3"/>
        <v>200</v>
      </c>
      <c r="I32" s="291">
        <v>0.35</v>
      </c>
      <c r="J32" s="292">
        <f t="shared" si="4"/>
        <v>70</v>
      </c>
      <c r="K32" s="590"/>
      <c r="L32" s="590"/>
      <c r="M32" s="285"/>
    </row>
    <row r="33" spans="1:66" x14ac:dyDescent="0.2">
      <c r="A33" s="1784"/>
      <c r="B33" s="282" t="s">
        <v>522</v>
      </c>
      <c r="C33" s="282" t="s">
        <v>552</v>
      </c>
      <c r="D33" s="44" t="s">
        <v>505</v>
      </c>
      <c r="E33" s="273">
        <v>40</v>
      </c>
      <c r="F33" s="273">
        <v>5</v>
      </c>
      <c r="G33" s="288">
        <v>1</v>
      </c>
      <c r="H33" s="287">
        <f t="shared" si="3"/>
        <v>200</v>
      </c>
      <c r="I33" s="291">
        <v>0.35</v>
      </c>
      <c r="J33" s="292">
        <f t="shared" si="4"/>
        <v>70</v>
      </c>
      <c r="K33" s="590"/>
      <c r="L33" s="590"/>
      <c r="M33" s="280"/>
    </row>
    <row r="34" spans="1:66" ht="25.5" x14ac:dyDescent="0.2">
      <c r="A34" s="1784"/>
      <c r="B34" s="282" t="s">
        <v>523</v>
      </c>
      <c r="C34" s="282" t="s">
        <v>34</v>
      </c>
      <c r="D34" s="44" t="s">
        <v>505</v>
      </c>
      <c r="E34" s="294">
        <v>3</v>
      </c>
      <c r="F34" s="294">
        <v>8</v>
      </c>
      <c r="G34" s="294">
        <v>10</v>
      </c>
      <c r="H34" s="287">
        <f t="shared" si="3"/>
        <v>240</v>
      </c>
      <c r="I34" s="291">
        <v>0.35</v>
      </c>
      <c r="J34" s="292">
        <f t="shared" si="4"/>
        <v>84</v>
      </c>
      <c r="K34" s="590"/>
      <c r="L34" s="590"/>
      <c r="M34" s="280"/>
    </row>
    <row r="35" spans="1:66" ht="25.5" x14ac:dyDescent="0.2">
      <c r="A35" s="1784"/>
      <c r="B35" s="271" t="s">
        <v>524</v>
      </c>
      <c r="C35" s="271" t="s">
        <v>34</v>
      </c>
      <c r="D35" s="44" t="s">
        <v>505</v>
      </c>
      <c r="E35" s="294">
        <v>3</v>
      </c>
      <c r="F35" s="294">
        <v>8</v>
      </c>
      <c r="G35" s="294">
        <v>10</v>
      </c>
      <c r="H35" s="287">
        <f t="shared" si="3"/>
        <v>240</v>
      </c>
      <c r="I35" s="243"/>
      <c r="J35" s="295"/>
      <c r="K35" s="591"/>
      <c r="L35" s="591"/>
      <c r="M35" s="276"/>
    </row>
    <row r="36" spans="1:66" x14ac:dyDescent="0.2">
      <c r="A36" s="1785"/>
      <c r="B36" s="277"/>
      <c r="C36" s="281"/>
      <c r="D36" s="242" t="s">
        <v>0</v>
      </c>
      <c r="E36" s="242"/>
      <c r="F36" s="242"/>
      <c r="G36" s="242"/>
      <c r="H36" s="279">
        <f>SUM(H28:H35)</f>
        <v>1650</v>
      </c>
      <c r="I36" s="279"/>
      <c r="J36" s="296">
        <f>SUM(J28:J35)</f>
        <v>493.5</v>
      </c>
      <c r="K36" s="592">
        <v>2076</v>
      </c>
      <c r="L36" s="584">
        <f>K36*100/H36</f>
        <v>125.81818181818181</v>
      </c>
      <c r="M36" s="279"/>
    </row>
    <row r="37" spans="1:66" s="3" customFormat="1" x14ac:dyDescent="0.2">
      <c r="A37" s="1786" t="s">
        <v>538</v>
      </c>
      <c r="B37" s="1787"/>
      <c r="C37" s="576"/>
      <c r="D37" s="305"/>
      <c r="E37" s="305"/>
      <c r="F37" s="305"/>
      <c r="G37" s="397"/>
      <c r="H37" s="349">
        <f>H14+H18+H20+H23+H26+H36</f>
        <v>65312</v>
      </c>
      <c r="I37" s="306"/>
      <c r="J37" s="399">
        <f>+J14+J18+J20+J23+J36</f>
        <v>12970.25</v>
      </c>
      <c r="K37" s="349">
        <f>K14+K18+K20+K23+K26+K36</f>
        <v>67088.89</v>
      </c>
      <c r="L37" s="399"/>
      <c r="M37" s="306"/>
      <c r="S37" s="1"/>
      <c r="T37" s="1"/>
      <c r="U37" s="1"/>
      <c r="V37" s="1"/>
      <c r="W37" s="1"/>
      <c r="X37" s="1"/>
      <c r="Y37" s="1"/>
      <c r="Z37" s="1"/>
      <c r="AA37" s="1"/>
      <c r="AB37" s="1"/>
      <c r="AC37" s="1"/>
      <c r="AD37" s="1"/>
      <c r="AE37" s="1"/>
      <c r="AF37" s="1"/>
      <c r="AG37" s="1"/>
      <c r="AH37" s="1"/>
      <c r="AI37" s="1"/>
      <c r="AJ37" s="1"/>
      <c r="AK37" s="1"/>
      <c r="AL37" s="1"/>
      <c r="AM37" s="1"/>
      <c r="AN37" s="1"/>
      <c r="AO37" s="1"/>
      <c r="AP37" s="1"/>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row>
    <row r="38" spans="1:66" s="195" customFormat="1" x14ac:dyDescent="0.2">
      <c r="A38" s="377" t="s">
        <v>539</v>
      </c>
      <c r="B38" s="378"/>
      <c r="C38" s="379"/>
      <c r="D38" s="297"/>
      <c r="E38" s="297"/>
      <c r="F38" s="307"/>
      <c r="G38" s="308"/>
      <c r="H38" s="400">
        <f>H37</f>
        <v>65312</v>
      </c>
      <c r="I38" s="310">
        <f>H38/H74</f>
        <v>0.66645228452401262</v>
      </c>
      <c r="J38" s="398">
        <f>J37</f>
        <v>12970.25</v>
      </c>
      <c r="K38" s="593">
        <f>K37</f>
        <v>67088.89</v>
      </c>
      <c r="L38" s="584">
        <f>K38*100/H38</f>
        <v>102.72061795688388</v>
      </c>
      <c r="M38" s="309"/>
      <c r="N38" s="196"/>
      <c r="O38" s="196"/>
      <c r="P38" s="196"/>
      <c r="Q38" s="196"/>
      <c r="R38" s="196"/>
      <c r="S38" s="1"/>
      <c r="T38" s="1"/>
      <c r="U38" s="1"/>
      <c r="V38" s="1"/>
      <c r="W38" s="1"/>
      <c r="X38" s="1"/>
      <c r="Y38" s="1"/>
      <c r="Z38" s="1"/>
      <c r="AA38" s="1"/>
      <c r="AB38" s="1"/>
      <c r="AC38" s="1"/>
      <c r="AD38" s="1"/>
      <c r="AE38" s="1"/>
      <c r="AF38" s="1"/>
      <c r="AG38" s="1"/>
      <c r="AH38" s="1"/>
      <c r="AI38" s="1"/>
      <c r="AJ38" s="1"/>
      <c r="AK38" s="1"/>
      <c r="AL38" s="1"/>
      <c r="AM38" s="1"/>
      <c r="AN38" s="1"/>
      <c r="AO38" s="1"/>
      <c r="AP38" s="1"/>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row>
    <row r="39" spans="1:66" s="244" customFormat="1" x14ac:dyDescent="0.2">
      <c r="A39" s="1791" t="s">
        <v>48</v>
      </c>
      <c r="B39" s="1792"/>
      <c r="C39" s="311"/>
      <c r="D39" s="311"/>
      <c r="E39" s="311"/>
      <c r="F39" s="311"/>
      <c r="G39" s="311"/>
      <c r="H39" s="312"/>
      <c r="I39" s="311"/>
      <c r="J39" s="311"/>
      <c r="K39" s="311"/>
      <c r="L39" s="311"/>
      <c r="M39" s="313"/>
      <c r="N39" s="314"/>
      <c r="O39" s="314"/>
      <c r="P39" s="314"/>
      <c r="Q39" s="314"/>
      <c r="R39" s="314"/>
      <c r="S39" s="1"/>
      <c r="T39" s="1"/>
      <c r="U39" s="1"/>
      <c r="V39" s="1"/>
      <c r="W39" s="1"/>
      <c r="X39" s="1"/>
      <c r="Y39" s="1"/>
      <c r="Z39" s="1"/>
      <c r="AA39" s="1"/>
      <c r="AB39" s="1"/>
      <c r="AC39" s="1"/>
      <c r="AD39" s="1"/>
      <c r="AE39" s="1"/>
      <c r="AF39" s="1"/>
      <c r="AG39" s="1"/>
      <c r="AH39" s="1"/>
      <c r="AI39" s="1"/>
      <c r="AJ39" s="1"/>
      <c r="AK39" s="1"/>
      <c r="AL39" s="1"/>
      <c r="AM39" s="1"/>
      <c r="AN39" s="1"/>
      <c r="AO39" s="1"/>
      <c r="AP39" s="1"/>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row>
    <row r="40" spans="1:66" s="245" customFormat="1" x14ac:dyDescent="0.2">
      <c r="A40" s="380" t="s">
        <v>41</v>
      </c>
      <c r="B40" s="381"/>
      <c r="C40" s="381"/>
      <c r="D40" s="315"/>
      <c r="E40" s="315"/>
      <c r="F40" s="315"/>
      <c r="G40" s="315"/>
      <c r="H40" s="315"/>
      <c r="I40" s="315"/>
      <c r="J40" s="315"/>
      <c r="K40" s="315"/>
      <c r="L40" s="315"/>
      <c r="M40" s="316"/>
      <c r="N40" s="317"/>
      <c r="O40" s="317"/>
      <c r="P40" s="317"/>
      <c r="Q40" s="317"/>
      <c r="R40" s="317"/>
      <c r="S40" s="1"/>
      <c r="T40" s="1"/>
      <c r="U40" s="1"/>
      <c r="V40" s="1"/>
      <c r="W40" s="1"/>
      <c r="X40" s="1"/>
      <c r="Y40" s="1"/>
      <c r="Z40" s="1"/>
      <c r="AA40" s="1"/>
      <c r="AB40" s="1"/>
      <c r="AC40" s="1"/>
      <c r="AD40" s="1"/>
      <c r="AE40" s="1"/>
      <c r="AF40" s="1"/>
      <c r="AG40" s="1"/>
      <c r="AH40" s="1"/>
      <c r="AI40" s="1"/>
      <c r="AJ40" s="1"/>
      <c r="AK40" s="1"/>
      <c r="AL40" s="1"/>
      <c r="AM40" s="1"/>
      <c r="AN40" s="1"/>
      <c r="AO40" s="1"/>
      <c r="AP40" s="1"/>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row>
    <row r="41" spans="1:66" s="3" customFormat="1" ht="25.5" x14ac:dyDescent="0.2">
      <c r="A41" s="271" t="s">
        <v>540</v>
      </c>
      <c r="B41" s="318" t="s">
        <v>59</v>
      </c>
      <c r="C41" s="319" t="s">
        <v>11</v>
      </c>
      <c r="D41" s="320" t="s">
        <v>505</v>
      </c>
      <c r="E41" s="282">
        <f>20/100</f>
        <v>0.2</v>
      </c>
      <c r="F41" s="271">
        <v>2600</v>
      </c>
      <c r="G41" s="271">
        <v>12</v>
      </c>
      <c r="H41" s="243">
        <f>E41*F41*G41</f>
        <v>6240</v>
      </c>
      <c r="I41" s="240"/>
      <c r="J41" s="240"/>
      <c r="K41" s="240"/>
      <c r="L41" s="240"/>
      <c r="M41" s="240"/>
      <c r="S41" s="1"/>
      <c r="T41" s="1"/>
      <c r="U41" s="1"/>
      <c r="V41" s="1"/>
      <c r="W41" s="1"/>
      <c r="X41" s="1"/>
      <c r="Y41" s="1"/>
      <c r="Z41" s="1"/>
      <c r="AA41" s="1"/>
      <c r="AB41" s="1"/>
      <c r="AC41" s="1"/>
      <c r="AD41" s="1"/>
      <c r="AE41" s="1"/>
      <c r="AF41" s="1"/>
      <c r="AG41" s="1"/>
      <c r="AH41" s="1"/>
      <c r="AI41" s="1"/>
      <c r="AJ41" s="1"/>
      <c r="AK41" s="1"/>
      <c r="AL41" s="1"/>
      <c r="AM41" s="1"/>
      <c r="AN41" s="1"/>
      <c r="AO41" s="1"/>
      <c r="AP41" s="1"/>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row>
    <row r="42" spans="1:66" s="3" customFormat="1" x14ac:dyDescent="0.2">
      <c r="A42" s="271" t="s">
        <v>541</v>
      </c>
      <c r="B42" s="318" t="s">
        <v>59</v>
      </c>
      <c r="C42" s="319" t="s">
        <v>11</v>
      </c>
      <c r="D42" s="320" t="s">
        <v>505</v>
      </c>
      <c r="E42" s="282">
        <f>20/100</f>
        <v>0.2</v>
      </c>
      <c r="F42" s="271">
        <v>750</v>
      </c>
      <c r="G42" s="271">
        <v>12</v>
      </c>
      <c r="H42" s="243">
        <f t="shared" ref="H42:H45" si="5">E42*F42*G42</f>
        <v>1800</v>
      </c>
      <c r="I42" s="240"/>
      <c r="J42" s="240"/>
      <c r="K42" s="240"/>
      <c r="L42" s="240"/>
      <c r="M42" s="240"/>
      <c r="S42" s="1"/>
      <c r="T42" s="1"/>
      <c r="U42" s="1"/>
      <c r="V42" s="1"/>
      <c r="W42" s="1"/>
      <c r="X42" s="1"/>
      <c r="Y42" s="1"/>
      <c r="Z42" s="1"/>
      <c r="AA42" s="1"/>
      <c r="AB42" s="1"/>
      <c r="AC42" s="1"/>
      <c r="AD42" s="1"/>
      <c r="AE42" s="1"/>
      <c r="AF42" s="1"/>
      <c r="AG42" s="1"/>
      <c r="AH42" s="1"/>
      <c r="AI42" s="1"/>
      <c r="AJ42" s="1"/>
      <c r="AK42" s="1"/>
      <c r="AL42" s="1"/>
      <c r="AM42" s="1"/>
      <c r="AN42" s="1"/>
      <c r="AO42" s="1"/>
      <c r="AP42" s="1"/>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row>
    <row r="43" spans="1:66" s="3" customFormat="1" ht="25.5" x14ac:dyDescent="0.2">
      <c r="A43" s="271" t="s">
        <v>542</v>
      </c>
      <c r="B43" s="318" t="s">
        <v>59</v>
      </c>
      <c r="C43" s="319" t="s">
        <v>11</v>
      </c>
      <c r="D43" s="44" t="s">
        <v>505</v>
      </c>
      <c r="E43" s="282">
        <v>1</v>
      </c>
      <c r="F43" s="271">
        <v>120</v>
      </c>
      <c r="G43" s="271">
        <v>12</v>
      </c>
      <c r="H43" s="243">
        <f t="shared" si="5"/>
        <v>1440</v>
      </c>
      <c r="I43" s="240"/>
      <c r="J43" s="240"/>
      <c r="K43" s="240"/>
      <c r="L43" s="240"/>
      <c r="M43" s="240"/>
      <c r="N43" s="594"/>
      <c r="S43" s="1"/>
      <c r="T43" s="1"/>
      <c r="U43" s="1"/>
      <c r="V43" s="1"/>
      <c r="W43" s="1"/>
      <c r="X43" s="1"/>
      <c r="Y43" s="1"/>
      <c r="Z43" s="1"/>
      <c r="AA43" s="1"/>
      <c r="AB43" s="1"/>
      <c r="AC43" s="1"/>
      <c r="AD43" s="1"/>
      <c r="AE43" s="1"/>
      <c r="AF43" s="1"/>
      <c r="AG43" s="1"/>
      <c r="AH43" s="1"/>
      <c r="AI43" s="1"/>
      <c r="AJ43" s="1"/>
      <c r="AK43" s="1"/>
      <c r="AL43" s="1"/>
      <c r="AM43" s="1"/>
      <c r="AN43" s="1"/>
      <c r="AO43" s="1"/>
      <c r="AP43" s="1"/>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row>
    <row r="44" spans="1:66" s="3" customFormat="1" x14ac:dyDescent="0.2">
      <c r="A44" s="271" t="s">
        <v>543</v>
      </c>
      <c r="B44" s="318" t="s">
        <v>59</v>
      </c>
      <c r="C44" s="319" t="s">
        <v>11</v>
      </c>
      <c r="D44" s="44" t="s">
        <v>505</v>
      </c>
      <c r="E44" s="282">
        <v>2</v>
      </c>
      <c r="F44" s="271">
        <v>75</v>
      </c>
      <c r="G44" s="271">
        <v>12</v>
      </c>
      <c r="H44" s="243">
        <f t="shared" si="5"/>
        <v>1800</v>
      </c>
      <c r="I44" s="240"/>
      <c r="J44" s="240"/>
      <c r="K44" s="240"/>
      <c r="L44" s="240"/>
      <c r="M44" s="240"/>
      <c r="N44" s="594"/>
      <c r="S44" s="1"/>
      <c r="T44" s="1"/>
      <c r="U44" s="1"/>
      <c r="V44" s="1"/>
      <c r="W44" s="1"/>
      <c r="X44" s="1"/>
      <c r="Y44" s="1"/>
      <c r="Z44" s="1"/>
      <c r="AA44" s="1"/>
      <c r="AB44" s="1"/>
      <c r="AC44" s="1"/>
      <c r="AD44" s="1"/>
      <c r="AE44" s="1"/>
      <c r="AF44" s="1"/>
      <c r="AG44" s="1"/>
      <c r="AH44" s="1"/>
      <c r="AI44" s="1"/>
      <c r="AJ44" s="1"/>
      <c r="AK44" s="1"/>
      <c r="AL44" s="1"/>
      <c r="AM44" s="1"/>
      <c r="AN44" s="1"/>
      <c r="AO44" s="1"/>
      <c r="AP44" s="1"/>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row>
    <row r="45" spans="1:66" s="3" customFormat="1" x14ac:dyDescent="0.2">
      <c r="A45" s="271" t="s">
        <v>544</v>
      </c>
      <c r="B45" s="318" t="s">
        <v>59</v>
      </c>
      <c r="C45" s="319" t="s">
        <v>11</v>
      </c>
      <c r="D45" s="44" t="s">
        <v>505</v>
      </c>
      <c r="E45" s="282">
        <v>5</v>
      </c>
      <c r="F45" s="271">
        <v>50</v>
      </c>
      <c r="G45" s="271">
        <v>12</v>
      </c>
      <c r="H45" s="243">
        <f t="shared" si="5"/>
        <v>3000</v>
      </c>
      <c r="I45" s="240"/>
      <c r="J45" s="240"/>
      <c r="K45" s="240"/>
      <c r="L45" s="240"/>
      <c r="M45" s="240"/>
      <c r="S45" s="1"/>
      <c r="T45" s="1"/>
      <c r="U45" s="1"/>
      <c r="V45" s="1"/>
      <c r="W45" s="1"/>
      <c r="X45" s="1"/>
      <c r="Y45" s="1"/>
      <c r="Z45" s="1"/>
      <c r="AA45" s="1"/>
      <c r="AB45" s="1"/>
      <c r="AC45" s="1"/>
      <c r="AD45" s="1"/>
      <c r="AE45" s="1"/>
      <c r="AF45" s="1"/>
      <c r="AG45" s="1"/>
      <c r="AH45" s="1"/>
      <c r="AI45" s="1"/>
      <c r="AJ45" s="1"/>
      <c r="AK45" s="1"/>
      <c r="AL45" s="1"/>
      <c r="AM45" s="1"/>
      <c r="AN45" s="1"/>
      <c r="AO45" s="1"/>
      <c r="AP45" s="1"/>
    </row>
    <row r="46" spans="1:66" s="3" customFormat="1" x14ac:dyDescent="0.2">
      <c r="A46" s="321"/>
      <c r="B46" s="322"/>
      <c r="C46" s="323"/>
      <c r="D46" s="278" t="s">
        <v>0</v>
      </c>
      <c r="E46" s="278"/>
      <c r="F46" s="278"/>
      <c r="G46" s="278"/>
      <c r="H46" s="279">
        <f>SUM(H41:H45)</f>
        <v>14280</v>
      </c>
      <c r="I46" s="324">
        <f>H46/H74</f>
        <v>0.14571500831398365</v>
      </c>
      <c r="J46" s="325"/>
      <c r="K46" s="595">
        <v>3603.5699999999997</v>
      </c>
      <c r="L46" s="593">
        <f>K46*100/H46</f>
        <v>25.235084033613447</v>
      </c>
      <c r="M46" s="279"/>
      <c r="S46" s="1"/>
      <c r="T46" s="1"/>
      <c r="U46" s="1"/>
      <c r="V46" s="1"/>
      <c r="W46" s="1"/>
      <c r="X46" s="1"/>
      <c r="Y46" s="1"/>
      <c r="Z46" s="1"/>
      <c r="AA46" s="1"/>
      <c r="AB46" s="1"/>
      <c r="AC46" s="1"/>
      <c r="AD46" s="1"/>
      <c r="AE46" s="1"/>
      <c r="AF46" s="1"/>
      <c r="AG46" s="1"/>
      <c r="AH46" s="1"/>
      <c r="AI46" s="1"/>
      <c r="AJ46" s="1"/>
      <c r="AK46" s="1"/>
      <c r="AL46" s="1"/>
      <c r="AM46" s="1"/>
      <c r="AN46" s="1"/>
      <c r="AO46" s="1"/>
      <c r="AP46" s="1"/>
    </row>
    <row r="47" spans="1:66" s="3" customFormat="1" x14ac:dyDescent="0.2">
      <c r="A47" s="380" t="s">
        <v>545</v>
      </c>
      <c r="B47" s="381"/>
      <c r="C47" s="381"/>
      <c r="D47" s="381"/>
      <c r="E47" s="381"/>
      <c r="F47" s="381"/>
      <c r="G47" s="381"/>
      <c r="H47" s="381"/>
      <c r="I47" s="381"/>
      <c r="J47" s="381"/>
      <c r="K47" s="381"/>
      <c r="L47" s="381"/>
      <c r="M47" s="382"/>
    </row>
    <row r="48" spans="1:66" s="3" customFormat="1" x14ac:dyDescent="0.2">
      <c r="A48" s="326" t="s">
        <v>546</v>
      </c>
      <c r="B48" s="318" t="s">
        <v>547</v>
      </c>
      <c r="C48" s="319" t="s">
        <v>508</v>
      </c>
      <c r="D48" s="44" t="s">
        <v>505</v>
      </c>
      <c r="E48" s="271">
        <v>3</v>
      </c>
      <c r="F48" s="193">
        <v>150</v>
      </c>
      <c r="G48" s="271">
        <v>1</v>
      </c>
      <c r="H48" s="243">
        <f>E48*F48*G48</f>
        <v>450</v>
      </c>
      <c r="I48" s="240"/>
      <c r="J48" s="240"/>
      <c r="K48" s="240"/>
      <c r="L48" s="240"/>
      <c r="M48" s="596"/>
    </row>
    <row r="49" spans="1:13" s="3" customFormat="1" x14ac:dyDescent="0.2">
      <c r="A49" s="321"/>
      <c r="B49" s="322"/>
      <c r="C49" s="327"/>
      <c r="D49" s="328"/>
      <c r="E49" s="329"/>
      <c r="F49" s="329"/>
      <c r="G49" s="329"/>
      <c r="H49" s="240"/>
      <c r="I49" s="240"/>
      <c r="J49" s="240"/>
      <c r="K49" s="240"/>
      <c r="L49" s="240"/>
      <c r="M49" s="240"/>
    </row>
    <row r="50" spans="1:13" s="3" customFormat="1" x14ac:dyDescent="0.2">
      <c r="A50" s="321"/>
      <c r="B50" s="322"/>
      <c r="C50" s="327"/>
      <c r="D50" s="278" t="s">
        <v>0</v>
      </c>
      <c r="E50" s="278"/>
      <c r="F50" s="278"/>
      <c r="G50" s="278"/>
      <c r="H50" s="279">
        <f>SUM(H48:H49)</f>
        <v>450</v>
      </c>
      <c r="I50" s="279"/>
      <c r="J50" s="279"/>
      <c r="K50" s="589">
        <v>0</v>
      </c>
      <c r="L50" s="584">
        <f>K50*100/H50</f>
        <v>0</v>
      </c>
      <c r="M50" s="279"/>
    </row>
    <row r="51" spans="1:13" s="3" customFormat="1" x14ac:dyDescent="0.2">
      <c r="A51" s="380" t="s">
        <v>548</v>
      </c>
      <c r="B51" s="381"/>
      <c r="C51" s="381"/>
      <c r="D51" s="381"/>
      <c r="E51" s="381"/>
      <c r="F51" s="381"/>
      <c r="G51" s="381"/>
      <c r="H51" s="381"/>
      <c r="I51" s="381"/>
      <c r="J51" s="381"/>
      <c r="K51" s="381"/>
      <c r="L51" s="381"/>
      <c r="M51" s="382"/>
    </row>
    <row r="52" spans="1:13" s="3" customFormat="1" x14ac:dyDescent="0.2">
      <c r="A52" s="321"/>
      <c r="B52" s="322"/>
      <c r="C52" s="327"/>
      <c r="D52" s="320"/>
      <c r="E52" s="329"/>
      <c r="F52" s="329"/>
      <c r="G52" s="329"/>
      <c r="H52" s="240"/>
      <c r="I52" s="240"/>
      <c r="J52" s="240"/>
      <c r="K52" s="240"/>
      <c r="L52" s="240"/>
      <c r="M52" s="240"/>
    </row>
    <row r="53" spans="1:13" s="3" customFormat="1" x14ac:dyDescent="0.2">
      <c r="A53" s="321"/>
      <c r="B53" s="322"/>
      <c r="C53" s="327"/>
      <c r="D53" s="328"/>
      <c r="E53" s="329"/>
      <c r="F53" s="329"/>
      <c r="G53" s="329"/>
      <c r="H53" s="240"/>
      <c r="I53" s="240"/>
      <c r="J53" s="240"/>
      <c r="K53" s="240"/>
      <c r="L53" s="240"/>
      <c r="M53" s="240"/>
    </row>
    <row r="54" spans="1:13" s="3" customFormat="1" x14ac:dyDescent="0.2">
      <c r="A54" s="321"/>
      <c r="B54" s="330"/>
      <c r="C54" s="331"/>
      <c r="D54" s="278" t="s">
        <v>0</v>
      </c>
      <c r="E54" s="278"/>
      <c r="F54" s="278"/>
      <c r="G54" s="278"/>
      <c r="H54" s="279"/>
      <c r="I54" s="279"/>
      <c r="J54" s="279"/>
      <c r="K54" s="279"/>
      <c r="L54" s="279"/>
      <c r="M54" s="279"/>
    </row>
    <row r="55" spans="1:13" s="3" customFormat="1" x14ac:dyDescent="0.2">
      <c r="A55" s="380" t="s">
        <v>44</v>
      </c>
      <c r="B55" s="381"/>
      <c r="C55" s="381"/>
      <c r="D55" s="381"/>
      <c r="E55" s="381"/>
      <c r="F55" s="381"/>
      <c r="G55" s="381"/>
      <c r="H55" s="381"/>
      <c r="I55" s="381"/>
      <c r="J55" s="381"/>
      <c r="K55" s="381"/>
      <c r="L55" s="381"/>
      <c r="M55" s="382"/>
    </row>
    <row r="56" spans="1:13" s="3" customFormat="1" x14ac:dyDescent="0.2">
      <c r="A56" s="321"/>
      <c r="B56" s="322"/>
      <c r="C56" s="327"/>
      <c r="D56" s="320"/>
      <c r="E56" s="241"/>
      <c r="F56" s="241"/>
      <c r="G56" s="241"/>
      <c r="H56" s="241"/>
      <c r="I56" s="240"/>
      <c r="J56" s="240"/>
      <c r="K56" s="240"/>
      <c r="L56" s="240"/>
      <c r="M56" s="240"/>
    </row>
    <row r="57" spans="1:13" s="3" customFormat="1" x14ac:dyDescent="0.2">
      <c r="A57" s="321"/>
      <c r="B57" s="322"/>
      <c r="C57" s="327"/>
      <c r="D57" s="328"/>
      <c r="E57" s="329"/>
      <c r="F57" s="329"/>
      <c r="G57" s="271"/>
      <c r="H57" s="240"/>
      <c r="I57" s="240"/>
      <c r="J57" s="240"/>
      <c r="K57" s="240"/>
      <c r="L57" s="240"/>
      <c r="M57" s="240"/>
    </row>
    <row r="58" spans="1:13" s="3" customFormat="1" x14ac:dyDescent="0.2">
      <c r="A58" s="321"/>
      <c r="B58" s="330"/>
      <c r="C58" s="331"/>
      <c r="D58" s="278" t="s">
        <v>0</v>
      </c>
      <c r="E58" s="278"/>
      <c r="F58" s="278"/>
      <c r="G58" s="278"/>
      <c r="H58" s="279"/>
      <c r="I58" s="279"/>
      <c r="J58" s="279"/>
      <c r="K58" s="279"/>
      <c r="L58" s="279"/>
      <c r="M58" s="279"/>
    </row>
    <row r="59" spans="1:13" s="3" customFormat="1" x14ac:dyDescent="0.2">
      <c r="A59" s="380" t="s">
        <v>549</v>
      </c>
      <c r="B59" s="381"/>
      <c r="C59" s="381"/>
      <c r="D59" s="381"/>
      <c r="E59" s="381"/>
      <c r="F59" s="381"/>
      <c r="G59" s="381"/>
      <c r="H59" s="381"/>
      <c r="I59" s="381"/>
      <c r="J59" s="381"/>
      <c r="K59" s="381"/>
      <c r="L59" s="381"/>
      <c r="M59" s="382"/>
    </row>
    <row r="60" spans="1:13" s="3" customFormat="1" x14ac:dyDescent="0.2">
      <c r="A60" s="326" t="s">
        <v>550</v>
      </c>
      <c r="B60" s="318" t="s">
        <v>551</v>
      </c>
      <c r="C60" s="319" t="s">
        <v>552</v>
      </c>
      <c r="D60" s="320" t="s">
        <v>505</v>
      </c>
      <c r="E60" s="271">
        <v>2</v>
      </c>
      <c r="F60" s="271">
        <v>141</v>
      </c>
      <c r="G60" s="271">
        <v>20</v>
      </c>
      <c r="H60" s="243">
        <f>E60*F60*G60</f>
        <v>5640</v>
      </c>
      <c r="I60" s="240"/>
      <c r="J60" s="240"/>
      <c r="K60" s="240"/>
      <c r="L60" s="240"/>
      <c r="M60" s="240"/>
    </row>
    <row r="61" spans="1:13" s="3" customFormat="1" x14ac:dyDescent="0.2">
      <c r="A61" s="321"/>
      <c r="B61" s="318"/>
      <c r="C61" s="327"/>
      <c r="D61" s="328"/>
      <c r="E61" s="271"/>
      <c r="F61" s="271"/>
      <c r="G61" s="271"/>
      <c r="H61" s="240"/>
      <c r="I61" s="240"/>
      <c r="J61" s="240"/>
      <c r="K61" s="240"/>
      <c r="L61" s="240"/>
      <c r="M61" s="240"/>
    </row>
    <row r="62" spans="1:13" s="3" customFormat="1" x14ac:dyDescent="0.2">
      <c r="A62" s="321"/>
      <c r="B62" s="318"/>
      <c r="C62" s="331"/>
      <c r="D62" s="278" t="s">
        <v>0</v>
      </c>
      <c r="E62" s="278"/>
      <c r="F62" s="278"/>
      <c r="G62" s="278"/>
      <c r="H62" s="279">
        <f>SUM(H52:H60)</f>
        <v>5640</v>
      </c>
      <c r="I62" s="279"/>
      <c r="J62" s="279"/>
      <c r="K62" s="583">
        <v>7484</v>
      </c>
      <c r="L62" s="584">
        <f>K62*100/H62</f>
        <v>132.6950354609929</v>
      </c>
      <c r="M62" s="279"/>
    </row>
    <row r="63" spans="1:13" s="3" customFormat="1" x14ac:dyDescent="0.2">
      <c r="A63" s="380" t="s">
        <v>47</v>
      </c>
      <c r="B63" s="381"/>
      <c r="C63" s="381"/>
      <c r="D63" s="381"/>
      <c r="E63" s="381"/>
      <c r="F63" s="381"/>
      <c r="G63" s="381"/>
      <c r="H63" s="381"/>
      <c r="I63" s="381"/>
      <c r="J63" s="381"/>
      <c r="K63" s="381"/>
      <c r="L63" s="381"/>
      <c r="M63" s="382"/>
    </row>
    <row r="64" spans="1:13" s="3" customFormat="1" x14ac:dyDescent="0.2">
      <c r="A64" s="332"/>
      <c r="B64" s="333"/>
      <c r="C64" s="334"/>
      <c r="D64" s="335"/>
      <c r="E64" s="336"/>
      <c r="F64" s="336"/>
      <c r="G64" s="336"/>
      <c r="H64" s="337"/>
      <c r="I64" s="240"/>
      <c r="J64" s="240"/>
      <c r="K64" s="240"/>
      <c r="L64" s="240"/>
      <c r="M64" s="240"/>
    </row>
    <row r="65" spans="1:19" s="3" customFormat="1" x14ac:dyDescent="0.2">
      <c r="A65" s="332"/>
      <c r="B65" s="338"/>
      <c r="C65" s="339"/>
      <c r="D65" s="340"/>
      <c r="E65" s="340"/>
      <c r="F65" s="340"/>
      <c r="G65" s="340"/>
      <c r="H65" s="337"/>
      <c r="I65" s="279"/>
      <c r="J65" s="279"/>
      <c r="K65" s="279"/>
      <c r="L65" s="279"/>
      <c r="M65" s="279"/>
    </row>
    <row r="66" spans="1:19" s="3" customFormat="1" x14ac:dyDescent="0.2">
      <c r="A66" s="380" t="s">
        <v>45</v>
      </c>
      <c r="B66" s="381"/>
      <c r="C66" s="381"/>
      <c r="D66" s="381"/>
      <c r="E66" s="381"/>
      <c r="F66" s="381"/>
      <c r="G66" s="381"/>
      <c r="H66" s="381"/>
      <c r="I66" s="381"/>
      <c r="J66" s="381"/>
      <c r="K66" s="381"/>
      <c r="L66" s="381"/>
      <c r="M66" s="382"/>
    </row>
    <row r="67" spans="1:19" s="3" customFormat="1" ht="38.25" x14ac:dyDescent="0.2">
      <c r="A67" s="270" t="s">
        <v>553</v>
      </c>
      <c r="B67" s="318" t="s">
        <v>554</v>
      </c>
      <c r="C67" s="341" t="s">
        <v>504</v>
      </c>
      <c r="D67" s="320" t="s">
        <v>505</v>
      </c>
      <c r="E67" s="282">
        <v>1</v>
      </c>
      <c r="F67" s="342">
        <v>400</v>
      </c>
      <c r="G67" s="282">
        <v>12</v>
      </c>
      <c r="H67" s="342">
        <f>E67*F67*G67</f>
        <v>4800</v>
      </c>
      <c r="I67" s="240"/>
      <c r="J67" s="240"/>
      <c r="K67" s="240"/>
      <c r="L67" s="240"/>
      <c r="M67" s="597" t="s">
        <v>555</v>
      </c>
    </row>
    <row r="68" spans="1:19" s="3" customFormat="1" ht="38.25" x14ac:dyDescent="0.2">
      <c r="A68" s="343" t="s">
        <v>556</v>
      </c>
      <c r="B68" s="344" t="s">
        <v>557</v>
      </c>
      <c r="C68" s="345" t="s">
        <v>504</v>
      </c>
      <c r="D68" s="320" t="s">
        <v>505</v>
      </c>
      <c r="E68" s="346">
        <v>1</v>
      </c>
      <c r="F68" s="347">
        <v>500</v>
      </c>
      <c r="G68" s="346">
        <v>3</v>
      </c>
      <c r="H68" s="347">
        <f>E68*F68*G68</f>
        <v>1500</v>
      </c>
      <c r="I68" s="240"/>
      <c r="J68" s="240"/>
      <c r="K68" s="240"/>
      <c r="L68" s="240"/>
      <c r="M68" s="597" t="s">
        <v>558</v>
      </c>
    </row>
    <row r="69" spans="1:19" s="3" customFormat="1" x14ac:dyDescent="0.2">
      <c r="B69" s="322"/>
      <c r="C69" s="348"/>
      <c r="D69" s="278" t="s">
        <v>0</v>
      </c>
      <c r="E69" s="278"/>
      <c r="F69" s="278"/>
      <c r="G69" s="278"/>
      <c r="H69" s="279">
        <f>SUM(H67:H68)</f>
        <v>6300</v>
      </c>
      <c r="I69" s="279"/>
      <c r="J69" s="279"/>
      <c r="K69" s="583">
        <v>9523.82</v>
      </c>
      <c r="L69" s="584">
        <f>K69*100/H69</f>
        <v>151.17174603174604</v>
      </c>
      <c r="M69" s="279"/>
    </row>
    <row r="70" spans="1:19" s="246" customFormat="1" x14ac:dyDescent="0.2">
      <c r="A70" s="383" t="s">
        <v>38</v>
      </c>
      <c r="B70" s="384"/>
      <c r="C70" s="385"/>
      <c r="D70" s="305"/>
      <c r="E70" s="305"/>
      <c r="F70" s="305"/>
      <c r="G70" s="305"/>
      <c r="H70" s="349">
        <f>+H46+H50+H62+H69</f>
        <v>26670</v>
      </c>
      <c r="I70" s="350">
        <f>H70/H74</f>
        <v>0.2721442067040577</v>
      </c>
      <c r="J70" s="350"/>
      <c r="K70" s="349">
        <f>+K46+K50+K62+K69</f>
        <v>20611.39</v>
      </c>
      <c r="L70" s="350"/>
      <c r="M70" s="306"/>
      <c r="N70" s="351"/>
      <c r="O70" s="351"/>
      <c r="P70" s="351"/>
      <c r="Q70" s="351"/>
      <c r="R70" s="351"/>
      <c r="S70" s="351"/>
    </row>
    <row r="71" spans="1:19" x14ac:dyDescent="0.2">
      <c r="A71" s="386"/>
      <c r="B71" s="387"/>
      <c r="C71" s="388"/>
      <c r="D71" s="1793" t="s">
        <v>37</v>
      </c>
      <c r="E71" s="352"/>
      <c r="F71" s="352"/>
      <c r="G71" s="352"/>
      <c r="H71" s="353" t="s">
        <v>1</v>
      </c>
      <c r="I71" s="354"/>
      <c r="J71" s="354"/>
      <c r="K71" s="354"/>
      <c r="L71" s="354"/>
      <c r="M71" s="353"/>
    </row>
    <row r="72" spans="1:19" x14ac:dyDescent="0.2">
      <c r="A72" s="389"/>
      <c r="B72" s="390"/>
      <c r="C72" s="391"/>
      <c r="D72" s="1794"/>
      <c r="E72" s="352"/>
      <c r="F72" s="352"/>
      <c r="G72" s="352"/>
      <c r="H72" s="355">
        <f>+H38+H70</f>
        <v>91982</v>
      </c>
      <c r="I72" s="354"/>
      <c r="J72" s="354"/>
      <c r="K72" s="354"/>
      <c r="L72" s="354"/>
      <c r="M72" s="353"/>
    </row>
    <row r="73" spans="1:19" ht="38.25" x14ac:dyDescent="0.2">
      <c r="A73" s="392"/>
      <c r="B73" s="393"/>
      <c r="C73" s="394"/>
      <c r="D73" s="356" t="s">
        <v>49</v>
      </c>
      <c r="E73" s="356"/>
      <c r="F73" s="356"/>
      <c r="G73" s="356"/>
      <c r="H73" s="401">
        <f>H72/1.07*0.07</f>
        <v>6017.5140186915887</v>
      </c>
      <c r="I73" s="357"/>
      <c r="J73" s="357"/>
      <c r="K73" s="357"/>
      <c r="L73" s="357"/>
      <c r="M73" s="357"/>
    </row>
    <row r="74" spans="1:19" x14ac:dyDescent="0.2">
      <c r="A74" s="377"/>
      <c r="B74" s="378"/>
      <c r="C74" s="378"/>
      <c r="D74" s="358" t="s">
        <v>22</v>
      </c>
      <c r="E74" s="359"/>
      <c r="F74" s="359"/>
      <c r="G74" s="359"/>
      <c r="H74" s="401">
        <f>+H72+H73</f>
        <v>97999.514018691581</v>
      </c>
      <c r="I74" s="357"/>
      <c r="J74" s="357"/>
      <c r="K74" s="598">
        <f>K69+K62+K50+K46+K36+K26+K23+K20+K18+K14</f>
        <v>87700.28</v>
      </c>
      <c r="L74" s="584">
        <f>K74*100/H74</f>
        <v>89.490525415537064</v>
      </c>
      <c r="M74" s="357"/>
    </row>
    <row r="75" spans="1:19" x14ac:dyDescent="0.2">
      <c r="A75" s="360"/>
      <c r="F75" s="361"/>
      <c r="G75" s="362"/>
      <c r="M75" s="363"/>
    </row>
    <row r="76" spans="1:19" x14ac:dyDescent="0.2">
      <c r="A76" s="364" t="s">
        <v>2</v>
      </c>
      <c r="B76" s="247"/>
      <c r="C76" s="247"/>
      <c r="D76" s="247"/>
      <c r="E76" s="365"/>
      <c r="F76" s="360"/>
      <c r="G76" s="360"/>
      <c r="H76" s="366"/>
      <c r="I76" s="360"/>
      <c r="J76" s="360"/>
      <c r="K76" s="360"/>
      <c r="L76" s="360"/>
    </row>
    <row r="77" spans="1:19" x14ac:dyDescent="0.2">
      <c r="A77" s="367" t="s">
        <v>559</v>
      </c>
      <c r="B77" s="236"/>
      <c r="C77" s="236"/>
      <c r="D77" s="236"/>
      <c r="E77" s="251"/>
      <c r="F77" s="360"/>
      <c r="G77" s="360"/>
      <c r="H77" s="360"/>
      <c r="I77" s="360"/>
      <c r="J77" s="360"/>
      <c r="L77" s="599"/>
    </row>
    <row r="78" spans="1:19" x14ac:dyDescent="0.2">
      <c r="A78" s="1795" t="s">
        <v>560</v>
      </c>
      <c r="B78" s="1796"/>
      <c r="C78" s="1796"/>
      <c r="D78" s="1796"/>
      <c r="E78" s="1797"/>
      <c r="F78" s="368"/>
      <c r="G78" s="368"/>
      <c r="H78" s="369"/>
      <c r="I78" s="370"/>
      <c r="J78" s="370"/>
      <c r="K78" s="370"/>
      <c r="L78" s="370"/>
      <c r="M78" s="368"/>
    </row>
    <row r="79" spans="1:19" x14ac:dyDescent="0.2">
      <c r="A79" s="367" t="s">
        <v>561</v>
      </c>
      <c r="B79" s="235"/>
      <c r="C79" s="235"/>
      <c r="D79" s="6"/>
      <c r="E79" s="251"/>
    </row>
    <row r="80" spans="1:19" x14ac:dyDescent="0.2">
      <c r="A80" s="367"/>
      <c r="B80" s="235" t="s">
        <v>24</v>
      </c>
      <c r="C80" s="235"/>
      <c r="D80" s="236"/>
      <c r="E80" s="251"/>
    </row>
    <row r="81" spans="1:12" x14ac:dyDescent="0.2">
      <c r="A81" s="367"/>
      <c r="B81" s="235" t="s">
        <v>25</v>
      </c>
      <c r="C81" s="235"/>
      <c r="D81" s="236"/>
      <c r="E81" s="251"/>
    </row>
    <row r="82" spans="1:12" x14ac:dyDescent="0.2">
      <c r="A82" s="1788" t="s">
        <v>562</v>
      </c>
      <c r="B82" s="1789"/>
      <c r="C82" s="1789"/>
      <c r="D82" s="1789"/>
      <c r="E82" s="1790"/>
      <c r="H82" s="1"/>
      <c r="I82" s="1"/>
      <c r="J82" s="1"/>
      <c r="K82" s="1"/>
      <c r="L82" s="1"/>
    </row>
    <row r="84" spans="1:12" x14ac:dyDescent="0.2">
      <c r="A84" s="247" t="s">
        <v>35</v>
      </c>
      <c r="B84" s="248"/>
      <c r="C84" s="248"/>
      <c r="D84" s="249"/>
      <c r="E84" s="250"/>
      <c r="H84" s="1"/>
      <c r="I84" s="1"/>
      <c r="J84" s="1"/>
      <c r="K84" s="1"/>
      <c r="L84" s="1"/>
    </row>
    <row r="85" spans="1:12" x14ac:dyDescent="0.2">
      <c r="A85" s="236" t="s">
        <v>11</v>
      </c>
      <c r="B85" s="235"/>
      <c r="C85" s="235"/>
      <c r="D85" s="236"/>
      <c r="E85" s="251"/>
      <c r="H85" s="1"/>
      <c r="I85" s="1"/>
      <c r="J85" s="1"/>
      <c r="K85" s="1"/>
      <c r="L85" s="1"/>
    </row>
    <row r="86" spans="1:12" x14ac:dyDescent="0.2">
      <c r="A86" s="236" t="s">
        <v>508</v>
      </c>
      <c r="B86" s="235"/>
      <c r="C86" s="235"/>
      <c r="D86" s="236"/>
      <c r="E86" s="251"/>
      <c r="H86" s="1"/>
      <c r="I86" s="1"/>
      <c r="J86" s="1"/>
      <c r="K86" s="1"/>
      <c r="L86" s="1"/>
    </row>
    <row r="87" spans="1:12" x14ac:dyDescent="0.2">
      <c r="A87" s="236" t="s">
        <v>563</v>
      </c>
      <c r="B87" s="235"/>
      <c r="C87" s="235"/>
      <c r="D87" s="236"/>
      <c r="E87" s="251"/>
      <c r="H87" s="1"/>
      <c r="I87" s="1"/>
      <c r="J87" s="1"/>
      <c r="K87" s="1"/>
      <c r="L87" s="1"/>
    </row>
    <row r="88" spans="1:12" x14ac:dyDescent="0.2">
      <c r="A88" s="236" t="s">
        <v>33</v>
      </c>
      <c r="B88" s="235"/>
      <c r="C88" s="235"/>
      <c r="D88" s="236"/>
      <c r="E88" s="251"/>
      <c r="H88" s="1"/>
      <c r="I88" s="1"/>
      <c r="J88" s="1"/>
      <c r="K88" s="1"/>
      <c r="L88" s="1"/>
    </row>
    <row r="89" spans="1:12" x14ac:dyDescent="0.2">
      <c r="A89" s="236" t="s">
        <v>552</v>
      </c>
      <c r="B89" s="235"/>
      <c r="C89" s="235"/>
      <c r="D89" s="236"/>
      <c r="E89" s="251"/>
      <c r="H89" s="1"/>
      <c r="I89" s="1"/>
      <c r="J89" s="1"/>
      <c r="K89" s="1"/>
      <c r="L89" s="1"/>
    </row>
    <row r="90" spans="1:12" x14ac:dyDescent="0.2">
      <c r="A90" s="236" t="s">
        <v>34</v>
      </c>
      <c r="B90" s="235"/>
      <c r="C90" s="235"/>
      <c r="D90" s="236"/>
      <c r="E90" s="251"/>
      <c r="H90" s="1"/>
      <c r="I90" s="1"/>
      <c r="J90" s="1"/>
      <c r="K90" s="1"/>
      <c r="L90" s="1"/>
    </row>
    <row r="91" spans="1:12" x14ac:dyDescent="0.2">
      <c r="A91" s="252" t="s">
        <v>504</v>
      </c>
      <c r="B91" s="253"/>
      <c r="C91" s="253"/>
      <c r="D91" s="252"/>
      <c r="E91" s="254"/>
      <c r="H91" s="1"/>
      <c r="I91" s="1"/>
      <c r="J91" s="1"/>
      <c r="K91" s="1"/>
      <c r="L91" s="1"/>
    </row>
  </sheetData>
  <autoFilter ref="A9:S48" xr:uid="{00000000-0009-0000-0000-000004000000}">
    <filterColumn colId="2">
      <filters>
        <filter val="Transferts et subventions"/>
      </filters>
    </filterColumn>
  </autoFilter>
  <mergeCells count="7">
    <mergeCell ref="A12:A26"/>
    <mergeCell ref="A27:A36"/>
    <mergeCell ref="A37:B37"/>
    <mergeCell ref="A82:E82"/>
    <mergeCell ref="A39:B39"/>
    <mergeCell ref="D71:D72"/>
    <mergeCell ref="A78:E78"/>
  </mergeCells>
  <dataValidations count="1">
    <dataValidation type="list" allowBlank="1" showInputMessage="1" showErrorMessage="1" sqref="C12:C69" xr:uid="{00000000-0002-0000-0400-000000000000}">
      <formula1>$A$85:$A$91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Y27"/>
  <sheetViews>
    <sheetView topLeftCell="L4" zoomScale="80" zoomScaleNormal="80" workbookViewId="0">
      <selection activeCell="N42" sqref="N42"/>
    </sheetView>
  </sheetViews>
  <sheetFormatPr defaultColWidth="11.42578125" defaultRowHeight="12.75" x14ac:dyDescent="0.2"/>
  <cols>
    <col min="1" max="1" width="35.28515625" style="49" customWidth="1"/>
    <col min="2" max="2" width="13" style="51" customWidth="1"/>
    <col min="3" max="4" width="12.5703125" style="51" customWidth="1"/>
    <col min="5" max="6" width="11.5703125" style="51" customWidth="1"/>
    <col min="7" max="7" width="18" style="51" customWidth="1"/>
    <col min="8" max="8" width="14.5703125" style="49" customWidth="1"/>
    <col min="9" max="9" width="13.28515625" style="49" customWidth="1"/>
    <col min="10" max="10" width="12" style="49" customWidth="1"/>
    <col min="11" max="11" width="13.85546875" style="49" customWidth="1"/>
    <col min="12" max="12" width="13" style="49" customWidth="1"/>
    <col min="13" max="13" width="12.85546875" style="49" customWidth="1"/>
    <col min="14" max="14" width="13.28515625" style="49" customWidth="1"/>
    <col min="15" max="15" width="14.140625" style="48" customWidth="1"/>
    <col min="16" max="16" width="9" style="48" customWidth="1"/>
    <col min="17" max="17" width="11.42578125" style="50"/>
    <col min="18" max="19" width="11.42578125" style="45"/>
    <col min="20" max="20" width="16" style="45" customWidth="1"/>
    <col min="21" max="21" width="17" style="45" customWidth="1"/>
    <col min="22" max="22" width="14.85546875" style="45" customWidth="1"/>
    <col min="23" max="23" width="14.7109375" style="45" customWidth="1"/>
    <col min="24" max="24" width="13.7109375" style="45" customWidth="1"/>
    <col min="25" max="25" width="15" style="45" customWidth="1"/>
    <col min="26" max="16384" width="11.42578125" style="45"/>
  </cols>
  <sheetData>
    <row r="1" spans="1:25" ht="15.75" x14ac:dyDescent="0.25">
      <c r="A1" s="1"/>
      <c r="B1" s="93" t="s">
        <v>68</v>
      </c>
      <c r="C1" s="93"/>
      <c r="D1" s="93"/>
      <c r="E1" s="93"/>
      <c r="F1" s="93"/>
      <c r="G1" s="93"/>
      <c r="H1" s="1"/>
      <c r="I1" s="1"/>
      <c r="J1" s="1"/>
      <c r="K1" s="1"/>
      <c r="L1" s="1"/>
      <c r="M1" s="1"/>
      <c r="N1" s="1"/>
      <c r="O1" s="1"/>
      <c r="P1" s="1"/>
      <c r="Q1" s="1"/>
      <c r="R1" s="1"/>
    </row>
    <row r="2" spans="1:25" x14ac:dyDescent="0.2">
      <c r="A2" s="5" t="s">
        <v>17</v>
      </c>
      <c r="B2" s="3"/>
      <c r="C2" s="3"/>
      <c r="D2" s="3"/>
      <c r="E2" s="3"/>
      <c r="F2" s="3"/>
      <c r="G2" s="3"/>
      <c r="H2" s="2"/>
      <c r="I2" s="2"/>
      <c r="J2" s="2"/>
      <c r="K2" s="2"/>
      <c r="L2" s="2"/>
      <c r="M2" s="2"/>
      <c r="N2" s="2"/>
      <c r="O2" s="1"/>
      <c r="P2" s="1"/>
      <c r="Q2" s="1"/>
      <c r="R2" s="1"/>
    </row>
    <row r="3" spans="1:25" x14ac:dyDescent="0.2">
      <c r="A3" s="5" t="s">
        <v>18</v>
      </c>
      <c r="B3" s="52" t="s">
        <v>66</v>
      </c>
      <c r="C3" s="52"/>
      <c r="D3" s="52"/>
      <c r="E3" s="52"/>
      <c r="F3" s="52"/>
      <c r="G3" s="52"/>
      <c r="H3" s="33"/>
      <c r="I3" s="33"/>
      <c r="J3" s="33"/>
      <c r="K3" s="33"/>
      <c r="L3" s="33"/>
      <c r="M3" s="33"/>
      <c r="N3" s="33"/>
      <c r="O3" s="1"/>
      <c r="P3" s="1"/>
      <c r="Q3" s="1"/>
      <c r="R3" s="1"/>
    </row>
    <row r="4" spans="1:25" x14ac:dyDescent="0.2">
      <c r="A4" s="5" t="s">
        <v>15</v>
      </c>
      <c r="B4" s="424" t="s">
        <v>593</v>
      </c>
      <c r="C4" s="424"/>
      <c r="D4" s="424"/>
      <c r="E4" s="424"/>
      <c r="F4" s="424"/>
      <c r="G4" s="424"/>
      <c r="H4" s="33"/>
      <c r="I4" s="33"/>
      <c r="J4" s="33"/>
      <c r="K4" s="33"/>
      <c r="L4" s="33"/>
      <c r="M4" s="33"/>
      <c r="N4" s="33"/>
      <c r="O4" s="1"/>
      <c r="P4" s="1"/>
      <c r="Q4" s="1"/>
      <c r="R4" s="1"/>
    </row>
    <row r="5" spans="1:25" x14ac:dyDescent="0.2">
      <c r="A5" s="5" t="s">
        <v>16</v>
      </c>
      <c r="B5" s="1"/>
      <c r="C5" s="1"/>
      <c r="D5" s="1"/>
      <c r="E5" s="1"/>
      <c r="F5" s="1"/>
      <c r="G5" s="276"/>
      <c r="H5" s="437">
        <v>1581894.6661</v>
      </c>
      <c r="I5" s="425"/>
      <c r="J5" s="425"/>
      <c r="K5" s="425"/>
      <c r="L5" s="425"/>
      <c r="M5" s="425"/>
      <c r="N5" s="425"/>
      <c r="O5" s="1"/>
      <c r="P5" s="1"/>
      <c r="Q5" s="1"/>
      <c r="R5" s="1"/>
    </row>
    <row r="6" spans="1:25" x14ac:dyDescent="0.2">
      <c r="A6" s="6" t="s">
        <v>585</v>
      </c>
      <c r="B6" s="426"/>
      <c r="C6" s="426"/>
      <c r="D6" s="426"/>
      <c r="E6" s="426"/>
      <c r="F6" s="426"/>
      <c r="G6" s="438"/>
      <c r="H6" s="439">
        <v>103488.43610000001</v>
      </c>
      <c r="I6" s="427"/>
      <c r="J6" s="427"/>
      <c r="K6" s="427"/>
      <c r="L6" s="427"/>
      <c r="M6" s="427"/>
      <c r="N6" s="427"/>
      <c r="O6" s="1"/>
      <c r="P6" s="1"/>
      <c r="Q6" s="1"/>
      <c r="R6" s="1"/>
    </row>
    <row r="7" spans="1:25" x14ac:dyDescent="0.2">
      <c r="A7" s="6" t="s">
        <v>29</v>
      </c>
      <c r="B7" s="426"/>
      <c r="C7" s="426"/>
      <c r="D7" s="426"/>
      <c r="E7" s="426"/>
      <c r="F7" s="426"/>
      <c r="G7" s="438"/>
      <c r="H7" s="437">
        <v>1581894.6661</v>
      </c>
      <c r="I7" s="425"/>
      <c r="J7" s="425"/>
      <c r="K7" s="425"/>
      <c r="L7" s="425"/>
      <c r="M7" s="425"/>
      <c r="N7" s="425"/>
      <c r="O7" s="1"/>
      <c r="P7" s="1"/>
      <c r="Q7" s="1"/>
      <c r="R7" s="1"/>
    </row>
    <row r="8" spans="1:25" x14ac:dyDescent="0.2">
      <c r="A8" s="1"/>
      <c r="B8" s="1"/>
      <c r="C8" s="1"/>
      <c r="D8" s="1"/>
      <c r="E8" s="1"/>
      <c r="F8" s="1"/>
      <c r="G8" s="1"/>
      <c r="H8" s="1"/>
      <c r="I8" s="1"/>
      <c r="J8" s="1"/>
      <c r="K8" s="1"/>
      <c r="L8" s="1"/>
      <c r="M8" s="1"/>
      <c r="N8" s="1"/>
      <c r="O8" s="1"/>
      <c r="P8" s="1"/>
      <c r="Q8" s="1"/>
      <c r="R8" s="1"/>
    </row>
    <row r="9" spans="1:25" ht="36.75" customHeight="1" x14ac:dyDescent="0.2">
      <c r="A9" s="94" t="s">
        <v>69</v>
      </c>
      <c r="B9" s="445" t="s">
        <v>65</v>
      </c>
      <c r="C9" s="430" t="s">
        <v>586</v>
      </c>
      <c r="D9" s="430" t="s">
        <v>587</v>
      </c>
      <c r="E9" s="445" t="s">
        <v>582</v>
      </c>
      <c r="F9" s="430" t="s">
        <v>586</v>
      </c>
      <c r="G9" s="430" t="s">
        <v>588</v>
      </c>
      <c r="H9" s="445" t="s">
        <v>581</v>
      </c>
      <c r="I9" s="430" t="s">
        <v>586</v>
      </c>
      <c r="J9" s="430" t="s">
        <v>587</v>
      </c>
      <c r="K9" s="445" t="s">
        <v>583</v>
      </c>
      <c r="L9" s="430" t="s">
        <v>586</v>
      </c>
      <c r="M9" s="430" t="s">
        <v>587</v>
      </c>
      <c r="N9" s="445" t="s">
        <v>584</v>
      </c>
      <c r="O9" s="431" t="s">
        <v>70</v>
      </c>
      <c r="P9" s="432" t="s">
        <v>71</v>
      </c>
      <c r="Q9" s="1"/>
      <c r="R9" s="1"/>
      <c r="S9" s="423"/>
      <c r="T9" s="421"/>
      <c r="U9" s="421"/>
      <c r="V9" s="421"/>
      <c r="W9" s="421"/>
      <c r="X9" s="421"/>
      <c r="Y9" s="421"/>
    </row>
    <row r="10" spans="1:25" ht="28.5" customHeight="1" x14ac:dyDescent="0.2">
      <c r="A10" s="44" t="s">
        <v>591</v>
      </c>
      <c r="B10" s="446">
        <f>'Budget _Detaillé UNH_OS 3'!J120</f>
        <v>62220</v>
      </c>
      <c r="C10" s="429">
        <f>B10/2</f>
        <v>31110</v>
      </c>
      <c r="D10" s="429">
        <f>B10-C10</f>
        <v>31110</v>
      </c>
      <c r="E10" s="446">
        <v>66431</v>
      </c>
      <c r="F10" s="429">
        <f>E10/2</f>
        <v>33215.5</v>
      </c>
      <c r="G10" s="429">
        <f>E10-F10</f>
        <v>33215.5</v>
      </c>
      <c r="H10" s="446">
        <v>86435.4</v>
      </c>
      <c r="I10" s="429">
        <f>H10/2</f>
        <v>43217.7</v>
      </c>
      <c r="J10" s="429">
        <f>H10-I10</f>
        <v>43217.7</v>
      </c>
      <c r="K10" s="446">
        <v>47135</v>
      </c>
      <c r="L10" s="429">
        <f>K10/2</f>
        <v>23567.5</v>
      </c>
      <c r="M10" s="429">
        <f>K10-L10</f>
        <v>23567.5</v>
      </c>
      <c r="N10" s="446">
        <f>'Budget FAO_OS 5'!H46</f>
        <v>14280</v>
      </c>
      <c r="O10" s="499">
        <f>B10+E10+H10+K10+N10</f>
        <v>276501.40000000002</v>
      </c>
      <c r="P10" s="503">
        <f>O10/O19</f>
        <v>0.17479128410091047</v>
      </c>
      <c r="Q10" s="1"/>
      <c r="R10" s="1"/>
      <c r="S10" s="423"/>
      <c r="T10" s="420"/>
      <c r="U10" s="420"/>
      <c r="V10" s="420"/>
      <c r="W10" s="420"/>
      <c r="X10" s="420"/>
      <c r="Y10" s="420"/>
    </row>
    <row r="11" spans="1:25" ht="26.25" customHeight="1" x14ac:dyDescent="0.2">
      <c r="A11" s="8" t="s">
        <v>575</v>
      </c>
      <c r="B11" s="446">
        <v>13392</v>
      </c>
      <c r="C11" s="429">
        <f>B11/2</f>
        <v>6696</v>
      </c>
      <c r="D11" s="429">
        <f t="shared" ref="D11:D16" si="0">B11-C11</f>
        <v>6696</v>
      </c>
      <c r="E11" s="446">
        <v>27265.32</v>
      </c>
      <c r="F11" s="429">
        <f t="shared" ref="F11:F16" si="1">E11/2</f>
        <v>13632.66</v>
      </c>
      <c r="G11" s="429">
        <f t="shared" ref="G11:G16" si="2">E11-F11</f>
        <v>13632.66</v>
      </c>
      <c r="H11" s="446">
        <v>5200</v>
      </c>
      <c r="I11" s="429">
        <f t="shared" ref="I11:I16" si="3">H11/2</f>
        <v>2600</v>
      </c>
      <c r="J11" s="429">
        <f t="shared" ref="J11:J16" si="4">H11-I11</f>
        <v>2600</v>
      </c>
      <c r="K11" s="446">
        <v>18320</v>
      </c>
      <c r="L11" s="429">
        <f t="shared" ref="L11:L16" si="5">K11/2</f>
        <v>9160</v>
      </c>
      <c r="M11" s="429">
        <f t="shared" ref="M11:M16" si="6">K11-L11</f>
        <v>9160</v>
      </c>
      <c r="N11" s="446">
        <v>31550</v>
      </c>
      <c r="O11" s="499">
        <f t="shared" ref="O11:O16" si="7">B11+E11+H11+K11+N11</f>
        <v>95727.32</v>
      </c>
      <c r="P11" s="95">
        <f>O11/O19</f>
        <v>6.0514345266746462E-2</v>
      </c>
      <c r="Q11" s="1"/>
      <c r="R11" s="1"/>
      <c r="S11" s="423"/>
      <c r="T11" s="420"/>
      <c r="U11" s="420"/>
      <c r="V11" s="420"/>
      <c r="W11" s="420"/>
      <c r="X11" s="420"/>
      <c r="Y11" s="420"/>
    </row>
    <row r="12" spans="1:25" ht="21" customHeight="1" x14ac:dyDescent="0.2">
      <c r="A12" s="8" t="s">
        <v>576</v>
      </c>
      <c r="B12" s="446">
        <v>3550</v>
      </c>
      <c r="C12" s="429">
        <f t="shared" ref="C12:C16" si="8">B12/2</f>
        <v>1775</v>
      </c>
      <c r="D12" s="429">
        <f t="shared" si="0"/>
        <v>1775</v>
      </c>
      <c r="E12" s="446">
        <v>4825</v>
      </c>
      <c r="F12" s="429">
        <f t="shared" si="1"/>
        <v>2412.5</v>
      </c>
      <c r="G12" s="429">
        <f t="shared" si="2"/>
        <v>2412.5</v>
      </c>
      <c r="H12" s="446">
        <v>500</v>
      </c>
      <c r="I12" s="429">
        <f t="shared" si="3"/>
        <v>250</v>
      </c>
      <c r="J12" s="429">
        <f t="shared" si="4"/>
        <v>250</v>
      </c>
      <c r="K12" s="446">
        <v>6510</v>
      </c>
      <c r="L12" s="429">
        <f t="shared" si="5"/>
        <v>3255</v>
      </c>
      <c r="M12" s="429">
        <f t="shared" si="6"/>
        <v>3255</v>
      </c>
      <c r="N12" s="446">
        <v>13515</v>
      </c>
      <c r="O12" s="499">
        <f t="shared" si="7"/>
        <v>28900</v>
      </c>
      <c r="P12" s="95">
        <f>O12/O19</f>
        <v>1.8269231586228181E-2</v>
      </c>
      <c r="Q12" s="1"/>
      <c r="R12" s="1"/>
      <c r="S12" s="423"/>
      <c r="T12" s="422"/>
      <c r="U12" s="422"/>
      <c r="V12" s="422"/>
      <c r="W12" s="422"/>
      <c r="X12" s="422"/>
      <c r="Y12" s="422"/>
    </row>
    <row r="13" spans="1:25" ht="24" customHeight="1" x14ac:dyDescent="0.2">
      <c r="A13" s="286" t="s">
        <v>577</v>
      </c>
      <c r="B13" s="513">
        <v>65304</v>
      </c>
      <c r="C13" s="429">
        <f>B13/2</f>
        <v>32652</v>
      </c>
      <c r="D13" s="429">
        <f>B13-C13</f>
        <v>32652</v>
      </c>
      <c r="E13" s="446">
        <v>10600</v>
      </c>
      <c r="F13" s="429">
        <f t="shared" si="1"/>
        <v>5300</v>
      </c>
      <c r="G13" s="429">
        <f t="shared" si="2"/>
        <v>5300</v>
      </c>
      <c r="H13" s="446">
        <v>9760</v>
      </c>
      <c r="I13" s="429">
        <f>H13/2</f>
        <v>4880</v>
      </c>
      <c r="J13" s="429">
        <f t="shared" si="4"/>
        <v>4880</v>
      </c>
      <c r="K13" s="513">
        <v>109125</v>
      </c>
      <c r="L13" s="429">
        <f t="shared" si="5"/>
        <v>54562.5</v>
      </c>
      <c r="M13" s="429">
        <f t="shared" si="6"/>
        <v>54562.5</v>
      </c>
      <c r="N13" s="446">
        <v>0</v>
      </c>
      <c r="O13" s="499">
        <f>B13+E13+H13+K13+N13</f>
        <v>194789</v>
      </c>
      <c r="P13" s="95">
        <f>O13/O19</f>
        <v>0.12313651735120418</v>
      </c>
      <c r="Q13" s="1"/>
      <c r="R13" s="1"/>
    </row>
    <row r="14" spans="1:25" ht="23.25" customHeight="1" x14ac:dyDescent="0.2">
      <c r="A14" s="288" t="s">
        <v>578</v>
      </c>
      <c r="B14" s="446">
        <v>64793</v>
      </c>
      <c r="C14" s="429">
        <f t="shared" si="8"/>
        <v>32396.5</v>
      </c>
      <c r="D14" s="429">
        <f t="shared" si="0"/>
        <v>32396.5</v>
      </c>
      <c r="E14" s="446">
        <v>84030</v>
      </c>
      <c r="F14" s="429">
        <f t="shared" si="1"/>
        <v>42015</v>
      </c>
      <c r="G14" s="429">
        <f t="shared" si="2"/>
        <v>42015</v>
      </c>
      <c r="H14" s="446">
        <v>24192.22</v>
      </c>
      <c r="I14" s="429">
        <f t="shared" si="3"/>
        <v>12096.11</v>
      </c>
      <c r="J14" s="429">
        <f t="shared" si="4"/>
        <v>12096.11</v>
      </c>
      <c r="K14" s="446">
        <v>50183.6</v>
      </c>
      <c r="L14" s="429">
        <f t="shared" si="5"/>
        <v>25091.8</v>
      </c>
      <c r="M14" s="429">
        <f t="shared" si="6"/>
        <v>25091.8</v>
      </c>
      <c r="N14" s="446">
        <v>6510</v>
      </c>
      <c r="O14" s="499">
        <f t="shared" si="7"/>
        <v>229708.82</v>
      </c>
      <c r="P14" s="95">
        <f>O14/O19</f>
        <v>0.14521119826917658</v>
      </c>
      <c r="Q14" s="1"/>
      <c r="R14" s="1"/>
    </row>
    <row r="15" spans="1:25" ht="24" customHeight="1" x14ac:dyDescent="0.2">
      <c r="A15" s="288" t="s">
        <v>579</v>
      </c>
      <c r="B15" s="446">
        <v>84550</v>
      </c>
      <c r="C15" s="429">
        <f t="shared" si="8"/>
        <v>42275</v>
      </c>
      <c r="D15" s="429">
        <f t="shared" si="0"/>
        <v>42275</v>
      </c>
      <c r="E15" s="446">
        <v>0</v>
      </c>
      <c r="F15" s="429">
        <f t="shared" si="1"/>
        <v>0</v>
      </c>
      <c r="G15" s="429">
        <f t="shared" si="2"/>
        <v>0</v>
      </c>
      <c r="H15" s="446">
        <v>249665.5</v>
      </c>
      <c r="I15" s="429">
        <f t="shared" si="3"/>
        <v>124832.75</v>
      </c>
      <c r="J15" s="429">
        <f t="shared" si="4"/>
        <v>124832.75</v>
      </c>
      <c r="K15" s="446">
        <v>45016.4</v>
      </c>
      <c r="L15" s="429">
        <f t="shared" si="5"/>
        <v>22508.2</v>
      </c>
      <c r="M15" s="429">
        <f t="shared" si="6"/>
        <v>22508.2</v>
      </c>
      <c r="N15" s="446">
        <v>19080</v>
      </c>
      <c r="O15" s="499">
        <f t="shared" si="7"/>
        <v>398311.9</v>
      </c>
      <c r="P15" s="95">
        <f>O15/O19</f>
        <v>0.25179419877683601</v>
      </c>
      <c r="Q15" s="1"/>
      <c r="R15" s="1"/>
    </row>
    <row r="16" spans="1:25" ht="36" customHeight="1" x14ac:dyDescent="0.2">
      <c r="A16" s="288" t="s">
        <v>590</v>
      </c>
      <c r="B16" s="446">
        <v>41788.949999999997</v>
      </c>
      <c r="C16" s="429">
        <f t="shared" si="8"/>
        <v>20894.474999999999</v>
      </c>
      <c r="D16" s="429">
        <f t="shared" si="0"/>
        <v>20894.474999999999</v>
      </c>
      <c r="E16" s="504">
        <v>36805</v>
      </c>
      <c r="F16" s="429">
        <f t="shared" si="1"/>
        <v>18402.5</v>
      </c>
      <c r="G16" s="429">
        <f t="shared" si="2"/>
        <v>18402.5</v>
      </c>
      <c r="H16" s="504">
        <f>106784+30360.44</f>
        <v>137144.44</v>
      </c>
      <c r="I16" s="429">
        <f t="shared" si="3"/>
        <v>68572.22</v>
      </c>
      <c r="J16" s="429">
        <f t="shared" si="4"/>
        <v>68572.22</v>
      </c>
      <c r="K16" s="446">
        <v>31682.400000000001</v>
      </c>
      <c r="L16" s="429">
        <f t="shared" si="5"/>
        <v>15841.2</v>
      </c>
      <c r="M16" s="429">
        <f t="shared" si="6"/>
        <v>15841.2</v>
      </c>
      <c r="N16" s="446">
        <v>7047</v>
      </c>
      <c r="O16" s="499">
        <f t="shared" si="7"/>
        <v>254467.79</v>
      </c>
      <c r="P16" s="503">
        <f>O16/O19</f>
        <v>0.16086266390123458</v>
      </c>
      <c r="Q16" s="1"/>
      <c r="R16" s="1"/>
    </row>
    <row r="17" spans="1:18" ht="26.25" customHeight="1" x14ac:dyDescent="0.2">
      <c r="A17" s="441" t="s">
        <v>592</v>
      </c>
      <c r="B17" s="514">
        <f t="shared" ref="B17:O17" si="9">SUM(B10:B16)</f>
        <v>335597.95</v>
      </c>
      <c r="C17" s="448">
        <f t="shared" si="9"/>
        <v>167798.97500000001</v>
      </c>
      <c r="D17" s="448">
        <f t="shared" si="9"/>
        <v>167798.97500000001</v>
      </c>
      <c r="E17" s="448">
        <f t="shared" si="9"/>
        <v>229956.32</v>
      </c>
      <c r="F17" s="448">
        <f t="shared" si="9"/>
        <v>114978.16</v>
      </c>
      <c r="G17" s="448">
        <f t="shared" si="9"/>
        <v>114978.16</v>
      </c>
      <c r="H17" s="448">
        <f t="shared" si="9"/>
        <v>512897.56</v>
      </c>
      <c r="I17" s="448">
        <f t="shared" si="9"/>
        <v>256448.78</v>
      </c>
      <c r="J17" s="448">
        <f t="shared" si="9"/>
        <v>256448.78</v>
      </c>
      <c r="K17" s="514">
        <f t="shared" si="9"/>
        <v>307972.40000000002</v>
      </c>
      <c r="L17" s="448">
        <f t="shared" si="9"/>
        <v>153986.20000000001</v>
      </c>
      <c r="M17" s="448">
        <f t="shared" si="9"/>
        <v>153986.20000000001</v>
      </c>
      <c r="N17" s="448">
        <f t="shared" si="9"/>
        <v>91982</v>
      </c>
      <c r="O17" s="500">
        <f t="shared" si="9"/>
        <v>1478406.23</v>
      </c>
      <c r="P17" s="442">
        <f>O17/O19</f>
        <v>0.93457943925233644</v>
      </c>
      <c r="Q17" s="1"/>
      <c r="R17" s="1"/>
    </row>
    <row r="18" spans="1:18" ht="18.75" customHeight="1" x14ac:dyDescent="0.2">
      <c r="A18" s="435" t="s">
        <v>589</v>
      </c>
      <c r="B18" s="515">
        <f>B17*0.07</f>
        <v>23491.856500000002</v>
      </c>
      <c r="C18" s="449">
        <f>B18/2</f>
        <v>11745.928250000001</v>
      </c>
      <c r="D18" s="449">
        <f>B18-C18</f>
        <v>11745.928250000001</v>
      </c>
      <c r="E18" s="449">
        <f>E17*0.07</f>
        <v>16096.942400000002</v>
      </c>
      <c r="F18" s="449">
        <f>E18/2</f>
        <v>8048.4712000000009</v>
      </c>
      <c r="G18" s="449">
        <f>E18-F18</f>
        <v>8048.4712000000009</v>
      </c>
      <c r="H18" s="449">
        <f>H17*0.07</f>
        <v>35902.8292</v>
      </c>
      <c r="I18" s="449">
        <f>H18/2</f>
        <v>17951.4146</v>
      </c>
      <c r="J18" s="449">
        <f>H18-I18</f>
        <v>17951.4146</v>
      </c>
      <c r="K18" s="515">
        <f>K17*0.07</f>
        <v>21558.068000000003</v>
      </c>
      <c r="L18" s="449">
        <f>L17*0.07</f>
        <v>10779.034000000001</v>
      </c>
      <c r="M18" s="449">
        <f>M17*0.07</f>
        <v>10779.034000000001</v>
      </c>
      <c r="N18" s="449">
        <f>N17*0.07</f>
        <v>6438.7400000000007</v>
      </c>
      <c r="O18" s="501">
        <f>B18+E18+H18+K18+N18</f>
        <v>103488.43610000001</v>
      </c>
      <c r="P18" s="436">
        <f>O18/O19</f>
        <v>6.5420560747663559E-2</v>
      </c>
      <c r="Q18" s="1"/>
      <c r="R18" s="1"/>
    </row>
    <row r="19" spans="1:18" ht="19.5" customHeight="1" x14ac:dyDescent="0.2">
      <c r="A19" s="433" t="s">
        <v>72</v>
      </c>
      <c r="B19" s="516">
        <f t="shared" ref="B19:O19" si="10">B17+B18</f>
        <v>359089.80650000001</v>
      </c>
      <c r="C19" s="450">
        <f t="shared" si="10"/>
        <v>179544.90325</v>
      </c>
      <c r="D19" s="450">
        <f t="shared" si="10"/>
        <v>179544.90325</v>
      </c>
      <c r="E19" s="450">
        <f t="shared" si="10"/>
        <v>246053.26240000001</v>
      </c>
      <c r="F19" s="450">
        <f t="shared" si="10"/>
        <v>123026.6312</v>
      </c>
      <c r="G19" s="450">
        <f t="shared" si="10"/>
        <v>123026.6312</v>
      </c>
      <c r="H19" s="450">
        <f t="shared" si="10"/>
        <v>548800.38919999998</v>
      </c>
      <c r="I19" s="450">
        <f t="shared" si="10"/>
        <v>274400.19459999999</v>
      </c>
      <c r="J19" s="450">
        <f t="shared" si="10"/>
        <v>274400.19459999999</v>
      </c>
      <c r="K19" s="516">
        <f t="shared" si="10"/>
        <v>329530.46800000005</v>
      </c>
      <c r="L19" s="450">
        <f t="shared" si="10"/>
        <v>164765.23400000003</v>
      </c>
      <c r="M19" s="450">
        <f t="shared" si="10"/>
        <v>164765.23400000003</v>
      </c>
      <c r="N19" s="450">
        <f t="shared" si="10"/>
        <v>98420.74</v>
      </c>
      <c r="O19" s="502">
        <f t="shared" si="10"/>
        <v>1581894.6661</v>
      </c>
      <c r="P19" s="434">
        <f>O19/O19</f>
        <v>1</v>
      </c>
      <c r="Q19" s="1"/>
      <c r="R19" s="1"/>
    </row>
    <row r="20" spans="1:18" x14ac:dyDescent="0.2">
      <c r="A20" s="1"/>
      <c r="B20" s="1"/>
      <c r="C20" s="1"/>
      <c r="D20" s="1"/>
      <c r="E20" s="1"/>
      <c r="F20" s="1"/>
      <c r="G20" s="1"/>
      <c r="H20" s="428"/>
      <c r="I20" s="428"/>
      <c r="J20" s="428"/>
      <c r="K20" s="447"/>
      <c r="L20" s="1"/>
      <c r="M20" s="1"/>
      <c r="N20" s="1"/>
      <c r="O20" s="1"/>
      <c r="P20" s="1"/>
      <c r="Q20" s="1"/>
      <c r="R20" s="1"/>
    </row>
    <row r="21" spans="1:18" ht="34.5" customHeight="1" x14ac:dyDescent="0.2">
      <c r="A21" s="1800" t="s">
        <v>73</v>
      </c>
      <c r="B21" s="1800"/>
      <c r="C21" s="1800"/>
      <c r="D21" s="1800"/>
      <c r="E21" s="1800"/>
      <c r="F21" s="1800"/>
      <c r="G21" s="1800"/>
      <c r="H21" s="1800"/>
      <c r="I21" s="1800"/>
      <c r="J21" s="1800"/>
      <c r="K21" s="1800"/>
      <c r="L21" s="1800"/>
      <c r="M21" s="1800"/>
      <c r="N21" s="1800"/>
      <c r="O21" s="1800"/>
      <c r="P21" s="1800"/>
      <c r="Q21" s="1"/>
      <c r="R21" s="1"/>
    </row>
    <row r="22" spans="1:18" x14ac:dyDescent="0.2">
      <c r="A22" s="1798" t="s">
        <v>580</v>
      </c>
      <c r="B22" s="1799"/>
      <c r="C22" s="1799"/>
      <c r="D22" s="1799"/>
      <c r="E22" s="1799"/>
      <c r="F22" s="1799"/>
      <c r="G22" s="1799"/>
      <c r="H22" s="1799"/>
      <c r="I22" s="1799"/>
      <c r="J22" s="1799"/>
      <c r="K22" s="1799"/>
      <c r="L22" s="1799"/>
      <c r="M22" s="1799"/>
      <c r="N22" s="1799"/>
      <c r="O22" s="1799"/>
      <c r="P22" s="1"/>
      <c r="Q22" s="1"/>
      <c r="R22" s="1"/>
    </row>
    <row r="23" spans="1:18" x14ac:dyDescent="0.2">
      <c r="B23" s="189"/>
      <c r="C23" s="189"/>
      <c r="D23" s="189"/>
      <c r="E23" s="189"/>
      <c r="F23" s="189"/>
      <c r="G23" s="189"/>
      <c r="H23" s="497"/>
      <c r="K23" s="440"/>
    </row>
    <row r="24" spans="1:18" x14ac:dyDescent="0.2">
      <c r="I24" s="440"/>
      <c r="O24" s="451"/>
    </row>
    <row r="25" spans="1:18" x14ac:dyDescent="0.2">
      <c r="A25" s="212"/>
      <c r="B25" s="230"/>
      <c r="C25" s="230"/>
      <c r="D25" s="230"/>
      <c r="E25" s="230"/>
      <c r="F25" s="230"/>
      <c r="G25" s="230"/>
      <c r="K25" s="440"/>
    </row>
    <row r="26" spans="1:18" x14ac:dyDescent="0.2">
      <c r="D26" s="512"/>
    </row>
    <row r="27" spans="1:18" x14ac:dyDescent="0.2">
      <c r="L27" s="440"/>
      <c r="N27" s="440"/>
    </row>
  </sheetData>
  <mergeCells count="2">
    <mergeCell ref="A22:O22"/>
    <mergeCell ref="A21:P21"/>
  </mergeCells>
  <pageMargins left="0.7" right="0.7" top="0.75" bottom="0.75" header="0.3" footer="0.3"/>
  <pageSetup orientation="portrait" r:id="rId1"/>
  <ignoredErrors>
    <ignoredError sqref="O17:O1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_Detaillé UNESCO_OS 1</vt:lpstr>
      <vt:lpstr>Budget _Detaillé OIM_OS 2-4-5</vt:lpstr>
      <vt:lpstr>Budget _Detaillé UNH_OS 3</vt:lpstr>
      <vt:lpstr>Budget detaille_UNDP OS 5&amp;6</vt:lpstr>
      <vt:lpstr>Budget FAO_OS 5</vt:lpstr>
      <vt:lpstr>Budget_récapitulatif consolidé</vt:lpstr>
      <vt:lpstr>Sheet1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Sarah Zingg</cp:lastModifiedBy>
  <cp:lastPrinted>2018-01-30T14:26:26Z</cp:lastPrinted>
  <dcterms:created xsi:type="dcterms:W3CDTF">2010-10-28T04:03:10Z</dcterms:created>
  <dcterms:modified xsi:type="dcterms:W3CDTF">2018-09-21T09:20:26Z</dcterms:modified>
</cp:coreProperties>
</file>