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zagabe2\Desktop\"/>
    </mc:Choice>
  </mc:AlternateContent>
  <bookViews>
    <workbookView xWindow="0" yWindow="0" windowWidth="25200" windowHeight="11850" activeTab="2"/>
  </bookViews>
  <sheets>
    <sheet name="Budget détaillé " sheetId="5" r:id="rId1"/>
    <sheet name="Budget_Recapitulatif" sheetId="4" r:id="rId2"/>
    <sheet name="Budget détaillé  (2)" sheetId="7" r:id="rId3"/>
    <sheet name="Sheet1" sheetId="6" r:id="rId4"/>
  </sheets>
  <definedNames>
    <definedName name="categories" localSheetId="0">'Budget détaillé '!$A$184:$A$190</definedName>
    <definedName name="categories" localSheetId="2">'Budget détaillé  (2)'!$A$184:$A$190</definedName>
    <definedName name="categories" localSheetId="1">#REF!</definedName>
    <definedName name="categories">#REF!</definedName>
    <definedName name="options" localSheetId="0">'Budget détaillé '!#REF!</definedName>
    <definedName name="options" localSheetId="2">'Budget détaillé  (2)'!#REF!</definedName>
    <definedName name="options" localSheetId="1">#REF!</definedName>
    <definedName name="options">#REF!</definedName>
    <definedName name="_xlnm.Print_Area" localSheetId="1">Budget_Recapitulatif!$A$2:$N$23</definedName>
    <definedName name="UNHABITAT" localSheetId="2">#REF!</definedName>
    <definedName name="UNHABITAT">#REF!</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S103" i="5" l="1"/>
  <c r="H17" i="5"/>
  <c r="S128" i="5"/>
  <c r="W128" i="5"/>
  <c r="S143" i="5"/>
  <c r="W143" i="5"/>
  <c r="S151" i="5"/>
  <c r="W151" i="5"/>
  <c r="S152" i="5"/>
  <c r="W152" i="5"/>
  <c r="S157" i="5"/>
  <c r="W157" i="5"/>
  <c r="S159" i="5"/>
  <c r="W159" i="5"/>
  <c r="S157" i="7"/>
  <c r="W157" i="7"/>
  <c r="S159" i="7"/>
  <c r="W159" i="7"/>
  <c r="S152" i="7"/>
  <c r="W152" i="7"/>
  <c r="S151" i="7"/>
  <c r="W151" i="7"/>
  <c r="S143" i="7"/>
  <c r="W143" i="7"/>
  <c r="S128" i="7"/>
  <c r="W128" i="7"/>
  <c r="M192" i="7"/>
  <c r="L192" i="7"/>
  <c r="K192" i="7"/>
  <c r="M191" i="7"/>
  <c r="L191" i="7"/>
  <c r="K191" i="7"/>
  <c r="M190" i="7"/>
  <c r="L190" i="7"/>
  <c r="K190" i="7"/>
  <c r="N189" i="7"/>
  <c r="N188" i="7"/>
  <c r="N187" i="7"/>
  <c r="N186" i="7"/>
  <c r="N185" i="7"/>
  <c r="N184" i="7"/>
  <c r="K192" i="5"/>
  <c r="K191" i="5"/>
  <c r="K190" i="5"/>
  <c r="L190" i="5"/>
  <c r="M190" i="5"/>
  <c r="L191" i="5"/>
  <c r="M191" i="5"/>
  <c r="L192" i="5"/>
  <c r="M192" i="5"/>
  <c r="P122" i="7"/>
  <c r="AB11" i="7"/>
  <c r="W11" i="7"/>
  <c r="P11" i="7"/>
  <c r="I180" i="7"/>
  <c r="U179" i="7"/>
  <c r="S179" i="7"/>
  <c r="P176" i="7"/>
  <c r="H176" i="7"/>
  <c r="P175" i="7"/>
  <c r="H175" i="7"/>
  <c r="P174" i="7"/>
  <c r="H174" i="7"/>
  <c r="Q171" i="7"/>
  <c r="Q178" i="7" s="1"/>
  <c r="Q180" i="7" s="1"/>
  <c r="R168" i="7"/>
  <c r="J168" i="7"/>
  <c r="I168" i="7"/>
  <c r="P167" i="7"/>
  <c r="H167" i="7"/>
  <c r="K167" i="7" s="1"/>
  <c r="P166" i="7"/>
  <c r="S166" i="7" s="1"/>
  <c r="H166" i="7"/>
  <c r="R164" i="7"/>
  <c r="Q164" i="7"/>
  <c r="J164" i="7"/>
  <c r="I164" i="7"/>
  <c r="P163" i="7"/>
  <c r="S163" i="7" s="1"/>
  <c r="H163" i="7"/>
  <c r="P162" i="7"/>
  <c r="S162" i="7" s="1"/>
  <c r="H162" i="7"/>
  <c r="K162" i="7" s="1"/>
  <c r="P161" i="7"/>
  <c r="S161" i="7" s="1"/>
  <c r="H161" i="7"/>
  <c r="P160" i="7"/>
  <c r="H160" i="7"/>
  <c r="K160" i="7" s="1"/>
  <c r="P158" i="7"/>
  <c r="H158" i="7"/>
  <c r="K158" i="7" s="1"/>
  <c r="P156" i="7"/>
  <c r="H156" i="7"/>
  <c r="K156" i="7" s="1"/>
  <c r="T154" i="7"/>
  <c r="R154" i="7"/>
  <c r="Q154" i="7"/>
  <c r="J154" i="7"/>
  <c r="I154" i="7"/>
  <c r="P153" i="7"/>
  <c r="T153" i="7" s="1"/>
  <c r="H153" i="7"/>
  <c r="P150" i="7"/>
  <c r="S150" i="7" s="1"/>
  <c r="H150" i="7"/>
  <c r="K150" i="7" s="1"/>
  <c r="P149" i="7"/>
  <c r="S149" i="7" s="1"/>
  <c r="H149" i="7"/>
  <c r="K149" i="7" s="1"/>
  <c r="T147" i="7"/>
  <c r="R147" i="7"/>
  <c r="J147" i="7"/>
  <c r="I147" i="7"/>
  <c r="P146" i="7"/>
  <c r="S146" i="7" s="1"/>
  <c r="H146" i="7"/>
  <c r="P145" i="7"/>
  <c r="S145" i="7" s="1"/>
  <c r="H145" i="7"/>
  <c r="P144" i="7"/>
  <c r="S144" i="7" s="1"/>
  <c r="H144" i="7"/>
  <c r="K144" i="7" s="1"/>
  <c r="P142" i="7"/>
  <c r="H142" i="7"/>
  <c r="K142" i="7" s="1"/>
  <c r="P141" i="7"/>
  <c r="H141" i="7"/>
  <c r="R139" i="7"/>
  <c r="J139" i="7"/>
  <c r="I139" i="7"/>
  <c r="P138" i="7"/>
  <c r="S138" i="7" s="1"/>
  <c r="H138" i="7"/>
  <c r="P137" i="7"/>
  <c r="H137" i="7"/>
  <c r="K137" i="7" s="1"/>
  <c r="P136" i="7"/>
  <c r="S136" i="7" s="1"/>
  <c r="H136" i="7"/>
  <c r="P135" i="7"/>
  <c r="H135" i="7"/>
  <c r="K135" i="7" s="1"/>
  <c r="P134" i="7"/>
  <c r="S134" i="7" s="1"/>
  <c r="H134" i="7"/>
  <c r="P133" i="7"/>
  <c r="H133" i="7"/>
  <c r="K133" i="7" s="1"/>
  <c r="P132" i="7"/>
  <c r="H132" i="7"/>
  <c r="P131" i="7"/>
  <c r="S131" i="7" s="1"/>
  <c r="H131" i="7"/>
  <c r="K131" i="7" s="1"/>
  <c r="P130" i="7"/>
  <c r="H130" i="7"/>
  <c r="K130" i="7" s="1"/>
  <c r="P129" i="7"/>
  <c r="S129" i="7" s="1"/>
  <c r="H129" i="7"/>
  <c r="P127" i="7"/>
  <c r="H127" i="7"/>
  <c r="K127" i="7" s="1"/>
  <c r="P126" i="7"/>
  <c r="H126" i="7"/>
  <c r="K126" i="7" s="1"/>
  <c r="P125" i="7"/>
  <c r="H125" i="7"/>
  <c r="R123" i="7"/>
  <c r="J123" i="7"/>
  <c r="H122" i="7"/>
  <c r="L122" i="7" s="1"/>
  <c r="P121" i="7"/>
  <c r="S121" i="7" s="1"/>
  <c r="H121" i="7"/>
  <c r="P120" i="7"/>
  <c r="S120" i="7" s="1"/>
  <c r="H120" i="7"/>
  <c r="L120" i="7" s="1"/>
  <c r="P119" i="7"/>
  <c r="S119" i="7" s="1"/>
  <c r="H119" i="7"/>
  <c r="P118" i="7"/>
  <c r="S118" i="7" s="1"/>
  <c r="H118" i="7"/>
  <c r="P117" i="7"/>
  <c r="H117" i="7"/>
  <c r="R112" i="7"/>
  <c r="R113" i="7" s="1"/>
  <c r="J112" i="7"/>
  <c r="J113" i="7" s="1"/>
  <c r="P111" i="7"/>
  <c r="S111" i="7" s="1"/>
  <c r="L111" i="7"/>
  <c r="H111" i="7"/>
  <c r="K111" i="7" s="1"/>
  <c r="P110" i="7"/>
  <c r="T110" i="7" s="1"/>
  <c r="H110" i="7"/>
  <c r="K110" i="7" s="1"/>
  <c r="P109" i="7"/>
  <c r="T109" i="7" s="1"/>
  <c r="H109" i="7"/>
  <c r="L109" i="7" s="1"/>
  <c r="P108" i="7"/>
  <c r="T108" i="7" s="1"/>
  <c r="H108" i="7"/>
  <c r="N107" i="7"/>
  <c r="P107" i="7" s="1"/>
  <c r="F107" i="7"/>
  <c r="H107" i="7" s="1"/>
  <c r="K107" i="7" s="1"/>
  <c r="P106" i="7"/>
  <c r="H106" i="7"/>
  <c r="K106" i="7" s="1"/>
  <c r="P105" i="7"/>
  <c r="H105" i="7"/>
  <c r="K105" i="7" s="1"/>
  <c r="N104" i="7"/>
  <c r="P104" i="7" s="1"/>
  <c r="F104" i="7"/>
  <c r="H104" i="7" s="1"/>
  <c r="T103" i="7"/>
  <c r="S103" i="7"/>
  <c r="H103" i="7"/>
  <c r="V101" i="7"/>
  <c r="O101" i="7"/>
  <c r="N101" i="7"/>
  <c r="M101" i="7"/>
  <c r="R100" i="7"/>
  <c r="J100" i="7"/>
  <c r="P99" i="7"/>
  <c r="T99" i="7" s="1"/>
  <c r="L99" i="7"/>
  <c r="H99" i="7"/>
  <c r="P98" i="7"/>
  <c r="S98" i="7" s="1"/>
  <c r="L98" i="7"/>
  <c r="H98" i="7"/>
  <c r="P97" i="7"/>
  <c r="T97" i="7" s="1"/>
  <c r="L97" i="7"/>
  <c r="H97" i="7"/>
  <c r="K97" i="7" s="1"/>
  <c r="P96" i="7"/>
  <c r="T96" i="7" s="1"/>
  <c r="L96" i="7"/>
  <c r="H96" i="7"/>
  <c r="K96" i="7" s="1"/>
  <c r="P95" i="7"/>
  <c r="T95" i="7" s="1"/>
  <c r="L95" i="7"/>
  <c r="H95" i="7"/>
  <c r="K95" i="7" s="1"/>
  <c r="P94" i="7"/>
  <c r="T94" i="7" s="1"/>
  <c r="L94" i="7"/>
  <c r="H94" i="7"/>
  <c r="K94" i="7" s="1"/>
  <c r="P93" i="7"/>
  <c r="T93" i="7" s="1"/>
  <c r="L93" i="7"/>
  <c r="H93" i="7"/>
  <c r="K93" i="7" s="1"/>
  <c r="P92" i="7"/>
  <c r="T92" i="7" s="1"/>
  <c r="L92" i="7"/>
  <c r="H92" i="7"/>
  <c r="K92" i="7" s="1"/>
  <c r="P91" i="7"/>
  <c r="T91" i="7" s="1"/>
  <c r="L91" i="7"/>
  <c r="H91" i="7"/>
  <c r="K91" i="7" s="1"/>
  <c r="P90" i="7"/>
  <c r="T90" i="7" s="1"/>
  <c r="L90" i="7"/>
  <c r="H90" i="7"/>
  <c r="K90" i="7" s="1"/>
  <c r="P89" i="7"/>
  <c r="S89" i="7" s="1"/>
  <c r="L89" i="7"/>
  <c r="H89" i="7"/>
  <c r="T88" i="7"/>
  <c r="R88" i="7"/>
  <c r="J88" i="7"/>
  <c r="P87" i="7"/>
  <c r="S87" i="7" s="1"/>
  <c r="L87" i="7"/>
  <c r="H87" i="7"/>
  <c r="P86" i="7"/>
  <c r="S86" i="7" s="1"/>
  <c r="L86" i="7"/>
  <c r="H86" i="7"/>
  <c r="P85" i="7"/>
  <c r="S85" i="7" s="1"/>
  <c r="L85" i="7"/>
  <c r="H85" i="7"/>
  <c r="P84" i="7"/>
  <c r="S84" i="7" s="1"/>
  <c r="L84" i="7"/>
  <c r="H84" i="7"/>
  <c r="R81" i="7"/>
  <c r="J81" i="7"/>
  <c r="P80" i="7"/>
  <c r="S80" i="7" s="1"/>
  <c r="L80" i="7"/>
  <c r="H80" i="7"/>
  <c r="P79" i="7"/>
  <c r="T79" i="7" s="1"/>
  <c r="L79" i="7"/>
  <c r="H79" i="7"/>
  <c r="P78" i="7"/>
  <c r="T78" i="7" s="1"/>
  <c r="L78" i="7"/>
  <c r="H78" i="7"/>
  <c r="P77" i="7"/>
  <c r="T77" i="7" s="1"/>
  <c r="L77" i="7"/>
  <c r="H77" i="7"/>
  <c r="P76" i="7"/>
  <c r="S76" i="7" s="1"/>
  <c r="L76" i="7"/>
  <c r="H76" i="7"/>
  <c r="P75" i="7"/>
  <c r="T75" i="7" s="1"/>
  <c r="L75" i="7"/>
  <c r="H75" i="7"/>
  <c r="P74" i="7"/>
  <c r="T74" i="7" s="1"/>
  <c r="L74" i="7"/>
  <c r="H74" i="7"/>
  <c r="P73" i="7"/>
  <c r="L73" i="7"/>
  <c r="H73" i="7"/>
  <c r="R72" i="7"/>
  <c r="J72" i="7"/>
  <c r="P71" i="7"/>
  <c r="T71" i="7" s="1"/>
  <c r="L71" i="7"/>
  <c r="H71" i="7"/>
  <c r="P70" i="7"/>
  <c r="T70" i="7" s="1"/>
  <c r="L70" i="7"/>
  <c r="H70" i="7"/>
  <c r="P69" i="7"/>
  <c r="L69" i="7"/>
  <c r="H69" i="7"/>
  <c r="P68" i="7"/>
  <c r="S68" i="7" s="1"/>
  <c r="L68" i="7"/>
  <c r="H68" i="7"/>
  <c r="R67" i="7"/>
  <c r="J67" i="7"/>
  <c r="P66" i="7"/>
  <c r="L66" i="7"/>
  <c r="H66" i="7"/>
  <c r="P65" i="7"/>
  <c r="L65" i="7"/>
  <c r="H65" i="7"/>
  <c r="P64" i="7"/>
  <c r="L64" i="7"/>
  <c r="H64" i="7"/>
  <c r="P63" i="7"/>
  <c r="L63" i="7"/>
  <c r="H63" i="7"/>
  <c r="P62" i="7"/>
  <c r="L62" i="7"/>
  <c r="H62" i="7"/>
  <c r="P61" i="7"/>
  <c r="L61" i="7"/>
  <c r="H61" i="7"/>
  <c r="V58" i="7"/>
  <c r="R58" i="7"/>
  <c r="J58" i="7"/>
  <c r="V57" i="7"/>
  <c r="P57" i="7"/>
  <c r="S57" i="7" s="1"/>
  <c r="L57" i="7"/>
  <c r="H57" i="7"/>
  <c r="V56" i="7"/>
  <c r="P56" i="7"/>
  <c r="T56" i="7" s="1"/>
  <c r="L56" i="7"/>
  <c r="H56" i="7"/>
  <c r="K56" i="7" s="1"/>
  <c r="V55" i="7"/>
  <c r="P55" i="7"/>
  <c r="L55" i="7"/>
  <c r="H55" i="7"/>
  <c r="P54" i="7"/>
  <c r="L54" i="7"/>
  <c r="H54" i="7"/>
  <c r="P53" i="7"/>
  <c r="L53" i="7"/>
  <c r="H53" i="7"/>
  <c r="P52" i="7"/>
  <c r="L52" i="7"/>
  <c r="H52" i="7"/>
  <c r="V51" i="7"/>
  <c r="P51" i="7"/>
  <c r="S51" i="7" s="1"/>
  <c r="L51" i="7"/>
  <c r="H51" i="7"/>
  <c r="P50" i="7"/>
  <c r="T50" i="7" s="1"/>
  <c r="L50" i="7"/>
  <c r="H50" i="7"/>
  <c r="P49" i="7"/>
  <c r="T49" i="7" s="1"/>
  <c r="L49" i="7"/>
  <c r="H49" i="7"/>
  <c r="R48" i="7"/>
  <c r="J48" i="7"/>
  <c r="P47" i="7"/>
  <c r="S47" i="7" s="1"/>
  <c r="L47" i="7"/>
  <c r="W47" i="7" s="1"/>
  <c r="H47" i="7"/>
  <c r="P46" i="7"/>
  <c r="S46" i="7" s="1"/>
  <c r="L46" i="7"/>
  <c r="H46" i="7"/>
  <c r="K46" i="7" s="1"/>
  <c r="P45" i="7"/>
  <c r="S45" i="7" s="1"/>
  <c r="L45" i="7"/>
  <c r="W45" i="7" s="1"/>
  <c r="H45" i="7"/>
  <c r="P44" i="7"/>
  <c r="S44" i="7" s="1"/>
  <c r="L44" i="7"/>
  <c r="W44" i="7" s="1"/>
  <c r="H44" i="7"/>
  <c r="P43" i="7"/>
  <c r="S43" i="7" s="1"/>
  <c r="L43" i="7"/>
  <c r="W43" i="7" s="1"/>
  <c r="H43" i="7"/>
  <c r="P42" i="7"/>
  <c r="L42" i="7"/>
  <c r="H42" i="7"/>
  <c r="R41" i="7"/>
  <c r="J41" i="7"/>
  <c r="V40" i="7"/>
  <c r="P40" i="7"/>
  <c r="T40" i="7" s="1"/>
  <c r="L40" i="7"/>
  <c r="H40" i="7"/>
  <c r="V39" i="7"/>
  <c r="P39" i="7"/>
  <c r="L39" i="7"/>
  <c r="H39" i="7"/>
  <c r="K39" i="7" s="1"/>
  <c r="V38" i="7"/>
  <c r="P38" i="7"/>
  <c r="T38" i="7" s="1"/>
  <c r="L38" i="7"/>
  <c r="H38" i="7"/>
  <c r="K38" i="7" s="1"/>
  <c r="V37" i="7"/>
  <c r="P37" i="7"/>
  <c r="L37" i="7"/>
  <c r="H37" i="7"/>
  <c r="V36" i="7"/>
  <c r="P36" i="7"/>
  <c r="T36" i="7" s="1"/>
  <c r="L36" i="7"/>
  <c r="H36" i="7"/>
  <c r="R35" i="7"/>
  <c r="J35" i="7"/>
  <c r="V34" i="7"/>
  <c r="P34" i="7"/>
  <c r="T34" i="7" s="1"/>
  <c r="L34" i="7"/>
  <c r="H34" i="7"/>
  <c r="V33" i="7"/>
  <c r="P33" i="7"/>
  <c r="T33" i="7" s="1"/>
  <c r="L33" i="7"/>
  <c r="H33" i="7"/>
  <c r="V32" i="7"/>
  <c r="P32" i="7"/>
  <c r="T32" i="7" s="1"/>
  <c r="L32" i="7"/>
  <c r="H32" i="7"/>
  <c r="V31" i="7"/>
  <c r="P31" i="7"/>
  <c r="L31" i="7"/>
  <c r="H31" i="7"/>
  <c r="V30" i="7"/>
  <c r="P30" i="7"/>
  <c r="T30" i="7" s="1"/>
  <c r="L30" i="7"/>
  <c r="H30" i="7"/>
  <c r="P29" i="7"/>
  <c r="T29" i="7" s="1"/>
  <c r="L29" i="7"/>
  <c r="H29" i="7"/>
  <c r="P28" i="7"/>
  <c r="S28" i="7" s="1"/>
  <c r="L28" i="7"/>
  <c r="H28" i="7"/>
  <c r="R27" i="7"/>
  <c r="J27" i="7"/>
  <c r="P26" i="7"/>
  <c r="T26" i="7" s="1"/>
  <c r="L26" i="7"/>
  <c r="H26" i="7"/>
  <c r="P25" i="7"/>
  <c r="T25" i="7" s="1"/>
  <c r="L25" i="7"/>
  <c r="H25" i="7"/>
  <c r="P24" i="7"/>
  <c r="T24" i="7" s="1"/>
  <c r="L24" i="7"/>
  <c r="H24" i="7"/>
  <c r="K24" i="7" s="1"/>
  <c r="P23" i="7"/>
  <c r="T23" i="7" s="1"/>
  <c r="L23" i="7"/>
  <c r="H23" i="7"/>
  <c r="K23" i="7" s="1"/>
  <c r="P22" i="7"/>
  <c r="T22" i="7" s="1"/>
  <c r="L22" i="7"/>
  <c r="H22" i="7"/>
  <c r="K22" i="7" s="1"/>
  <c r="V21" i="7"/>
  <c r="P21" i="7"/>
  <c r="T21" i="7" s="1"/>
  <c r="L21" i="7"/>
  <c r="K21" i="7"/>
  <c r="V20" i="7"/>
  <c r="P20" i="7"/>
  <c r="T20" i="7" s="1"/>
  <c r="L20" i="7"/>
  <c r="H20" i="7"/>
  <c r="K20" i="7" s="1"/>
  <c r="V19" i="7"/>
  <c r="P19" i="7"/>
  <c r="T19" i="7" s="1"/>
  <c r="L19" i="7"/>
  <c r="H19" i="7"/>
  <c r="P18" i="7"/>
  <c r="T18" i="7" s="1"/>
  <c r="L18" i="7"/>
  <c r="H18" i="7"/>
  <c r="P17" i="7"/>
  <c r="L17" i="7"/>
  <c r="H17" i="7"/>
  <c r="N185" i="5"/>
  <c r="N186" i="5"/>
  <c r="N187" i="5"/>
  <c r="N188" i="5"/>
  <c r="N189" i="5"/>
  <c r="N184" i="5"/>
  <c r="P176" i="5"/>
  <c r="P175" i="5"/>
  <c r="P174" i="5"/>
  <c r="H174" i="5"/>
  <c r="M193" i="5" l="1"/>
  <c r="L193" i="7"/>
  <c r="U132" i="7"/>
  <c r="W132" i="7" s="1"/>
  <c r="W36" i="7"/>
  <c r="W33" i="7"/>
  <c r="W34" i="7"/>
  <c r="W71" i="7"/>
  <c r="T28" i="7"/>
  <c r="W28" i="7" s="1"/>
  <c r="S29" i="7"/>
  <c r="S34" i="7"/>
  <c r="U105" i="7"/>
  <c r="W105" i="7" s="1"/>
  <c r="W22" i="7"/>
  <c r="L67" i="7"/>
  <c r="L72" i="7"/>
  <c r="U45" i="7"/>
  <c r="T80" i="7"/>
  <c r="W80" i="7" s="1"/>
  <c r="U87" i="7"/>
  <c r="L107" i="7"/>
  <c r="S108" i="7"/>
  <c r="S36" i="7"/>
  <c r="U18" i="7"/>
  <c r="W50" i="7"/>
  <c r="T51" i="7"/>
  <c r="W51" i="7" s="1"/>
  <c r="T76" i="7"/>
  <c r="W76" i="7" s="1"/>
  <c r="S77" i="7"/>
  <c r="T121" i="7"/>
  <c r="N191" i="7"/>
  <c r="W49" i="7"/>
  <c r="L81" i="7"/>
  <c r="T120" i="7"/>
  <c r="W24" i="7"/>
  <c r="P81" i="7"/>
  <c r="S81" i="7" s="1"/>
  <c r="O11" i="7"/>
  <c r="Q11" i="7" s="1"/>
  <c r="U121" i="7"/>
  <c r="W121" i="7" s="1"/>
  <c r="U161" i="7"/>
  <c r="W161" i="7" s="1"/>
  <c r="W20" i="7"/>
  <c r="U32" i="7"/>
  <c r="T73" i="7"/>
  <c r="S78" i="7"/>
  <c r="U127" i="7"/>
  <c r="W127" i="7" s="1"/>
  <c r="N190" i="7"/>
  <c r="W25" i="7"/>
  <c r="K32" i="7"/>
  <c r="U33" i="7"/>
  <c r="S33" i="7"/>
  <c r="U39" i="7"/>
  <c r="W40" i="7"/>
  <c r="T57" i="7"/>
  <c r="W57" i="7" s="1"/>
  <c r="U74" i="7"/>
  <c r="U85" i="7"/>
  <c r="W85" i="7" s="1"/>
  <c r="H100" i="7"/>
  <c r="L105" i="7"/>
  <c r="U106" i="7"/>
  <c r="W106" i="7" s="1"/>
  <c r="T111" i="7"/>
  <c r="U119" i="7"/>
  <c r="W119" i="7" s="1"/>
  <c r="L121" i="7"/>
  <c r="U142" i="7"/>
  <c r="W142" i="7" s="1"/>
  <c r="P168" i="7"/>
  <c r="S168" i="7" s="1"/>
  <c r="N192" i="7"/>
  <c r="H27" i="7"/>
  <c r="K27" i="7" s="1"/>
  <c r="W19" i="7"/>
  <c r="U46" i="7"/>
  <c r="S49" i="7"/>
  <c r="S74" i="7"/>
  <c r="T119" i="7"/>
  <c r="H154" i="7"/>
  <c r="K154" i="7" s="1"/>
  <c r="P154" i="7"/>
  <c r="S154" i="7" s="1"/>
  <c r="S153" i="7"/>
  <c r="M193" i="7"/>
  <c r="W23" i="7"/>
  <c r="W29" i="7"/>
  <c r="W30" i="7"/>
  <c r="K33" i="7"/>
  <c r="U38" i="7"/>
  <c r="S40" i="7"/>
  <c r="L48" i="7"/>
  <c r="U57" i="7"/>
  <c r="W70" i="7"/>
  <c r="L88" i="7"/>
  <c r="K89" i="7"/>
  <c r="L100" i="7"/>
  <c r="U96" i="7"/>
  <c r="W96" i="7" s="1"/>
  <c r="U97" i="7"/>
  <c r="W97" i="7" s="1"/>
  <c r="S109" i="7"/>
  <c r="L119" i="7"/>
  <c r="H147" i="7"/>
  <c r="K147" i="7" s="1"/>
  <c r="U144" i="7"/>
  <c r="W144" i="7" s="1"/>
  <c r="U146" i="7"/>
  <c r="W146" i="7" s="1"/>
  <c r="U162" i="7"/>
  <c r="W162" i="7" s="1"/>
  <c r="H168" i="7"/>
  <c r="K168" i="7" s="1"/>
  <c r="K193" i="7"/>
  <c r="N191" i="5"/>
  <c r="L193" i="5"/>
  <c r="N192" i="5"/>
  <c r="K193" i="5"/>
  <c r="N190" i="5"/>
  <c r="V11" i="7"/>
  <c r="X11" i="7" s="1"/>
  <c r="AA11" i="7"/>
  <c r="S122" i="7"/>
  <c r="T122" i="7"/>
  <c r="T100" i="7"/>
  <c r="T101" i="7" s="1"/>
  <c r="L27" i="7"/>
  <c r="W18" i="7"/>
  <c r="U20" i="7"/>
  <c r="W21" i="7"/>
  <c r="S25" i="7"/>
  <c r="W26" i="7"/>
  <c r="U29" i="7"/>
  <c r="S30" i="7"/>
  <c r="L41" i="7"/>
  <c r="S39" i="7"/>
  <c r="U43" i="7"/>
  <c r="K45" i="7"/>
  <c r="S50" i="7"/>
  <c r="K57" i="7"/>
  <c r="U62" i="7"/>
  <c r="W62" i="7" s="1"/>
  <c r="U63" i="7"/>
  <c r="W63" i="7" s="1"/>
  <c r="U64" i="7"/>
  <c r="W64" i="7" s="1"/>
  <c r="U65" i="7"/>
  <c r="W65" i="7" s="1"/>
  <c r="U66" i="7"/>
  <c r="W66" i="7" s="1"/>
  <c r="K74" i="7"/>
  <c r="S75" i="7"/>
  <c r="W77" i="7"/>
  <c r="S79" i="7"/>
  <c r="U84" i="7"/>
  <c r="W84" i="7" s="1"/>
  <c r="S99" i="7"/>
  <c r="U107" i="7"/>
  <c r="W107" i="7" s="1"/>
  <c r="S110" i="7"/>
  <c r="K120" i="7"/>
  <c r="U120" i="7"/>
  <c r="W120" i="7" s="1"/>
  <c r="K122" i="7"/>
  <c r="U122" i="7"/>
  <c r="W122" i="7" s="1"/>
  <c r="S132" i="7"/>
  <c r="K141" i="7"/>
  <c r="S142" i="7"/>
  <c r="K146" i="7"/>
  <c r="U153" i="7"/>
  <c r="W153" i="7" s="1"/>
  <c r="U163" i="7"/>
  <c r="W163" i="7" s="1"/>
  <c r="K166" i="7"/>
  <c r="S167" i="7"/>
  <c r="L58" i="7"/>
  <c r="AC11" i="7"/>
  <c r="P27" i="7"/>
  <c r="U19" i="7"/>
  <c r="U21" i="7"/>
  <c r="S23" i="7"/>
  <c r="U30" i="7"/>
  <c r="T39" i="7"/>
  <c r="W39" i="7" s="1"/>
  <c r="U42" i="7"/>
  <c r="W46" i="7"/>
  <c r="H48" i="7"/>
  <c r="K48" i="7" s="1"/>
  <c r="U56" i="7"/>
  <c r="H67" i="7"/>
  <c r="K67" i="7" s="1"/>
  <c r="S73" i="7"/>
  <c r="W74" i="7"/>
  <c r="W78" i="7"/>
  <c r="U89" i="7"/>
  <c r="W89" i="7" s="1"/>
  <c r="U90" i="7"/>
  <c r="W90" i="7" s="1"/>
  <c r="U91" i="7"/>
  <c r="W91" i="7" s="1"/>
  <c r="U92" i="7"/>
  <c r="W92" i="7" s="1"/>
  <c r="U93" i="7"/>
  <c r="W93" i="7" s="1"/>
  <c r="U94" i="7"/>
  <c r="W94" i="7" s="1"/>
  <c r="U95" i="7"/>
  <c r="W95" i="7" s="1"/>
  <c r="S127" i="7"/>
  <c r="U145" i="7"/>
  <c r="W145" i="7" s="1"/>
  <c r="K153" i="7"/>
  <c r="K163" i="7"/>
  <c r="R59" i="7"/>
  <c r="L35" i="7"/>
  <c r="P58" i="7"/>
  <c r="S58" i="7" s="1"/>
  <c r="J59" i="7"/>
  <c r="J174" i="7" s="1"/>
  <c r="K174" i="7" s="1"/>
  <c r="W75" i="7"/>
  <c r="W79" i="7"/>
  <c r="H88" i="7"/>
  <c r="U98" i="7"/>
  <c r="L106" i="7"/>
  <c r="U111" i="7"/>
  <c r="W111" i="7" s="1"/>
  <c r="K119" i="7"/>
  <c r="K121" i="7"/>
  <c r="U126" i="7"/>
  <c r="W126" i="7" s="1"/>
  <c r="J169" i="7"/>
  <c r="J177" i="7" s="1"/>
  <c r="T37" i="7"/>
  <c r="W37" i="7" s="1"/>
  <c r="S37" i="7"/>
  <c r="S17" i="7"/>
  <c r="S19" i="7"/>
  <c r="U23" i="7"/>
  <c r="U25" i="7"/>
  <c r="K25" i="7"/>
  <c r="S26" i="7"/>
  <c r="P35" i="7"/>
  <c r="S35" i="7" s="1"/>
  <c r="K29" i="7"/>
  <c r="W32" i="7"/>
  <c r="P41" i="7"/>
  <c r="S41" i="7" s="1"/>
  <c r="W38" i="7"/>
  <c r="T52" i="7"/>
  <c r="S52" i="7"/>
  <c r="T53" i="7"/>
  <c r="W53" i="7" s="1"/>
  <c r="S53" i="7"/>
  <c r="T54" i="7"/>
  <c r="W54" i="7" s="1"/>
  <c r="S54" i="7"/>
  <c r="T55" i="7"/>
  <c r="W55" i="7" s="1"/>
  <c r="S55" i="7"/>
  <c r="W56" i="7"/>
  <c r="T69" i="7"/>
  <c r="W69" i="7" s="1"/>
  <c r="S69" i="7"/>
  <c r="U71" i="7"/>
  <c r="K71" i="7"/>
  <c r="K118" i="7"/>
  <c r="U118" i="7"/>
  <c r="W118" i="7" s="1"/>
  <c r="U34" i="7"/>
  <c r="K34" i="7"/>
  <c r="U40" i="7"/>
  <c r="K40" i="7"/>
  <c r="U51" i="7"/>
  <c r="K51" i="7"/>
  <c r="U73" i="7"/>
  <c r="H81" i="7"/>
  <c r="K73" i="7"/>
  <c r="S18" i="7"/>
  <c r="K17" i="7"/>
  <c r="T17" i="7"/>
  <c r="K18" i="7"/>
  <c r="K19" i="7"/>
  <c r="S20" i="7"/>
  <c r="S21" i="7"/>
  <c r="S22" i="7"/>
  <c r="S24" i="7"/>
  <c r="U26" i="7"/>
  <c r="K26" i="7"/>
  <c r="U28" i="7"/>
  <c r="H35" i="7"/>
  <c r="K35" i="7" s="1"/>
  <c r="U31" i="7"/>
  <c r="K31" i="7"/>
  <c r="U37" i="7"/>
  <c r="T42" i="7"/>
  <c r="P48" i="7"/>
  <c r="S48" i="7" s="1"/>
  <c r="S42" i="7"/>
  <c r="U47" i="7"/>
  <c r="U49" i="7"/>
  <c r="K49" i="7"/>
  <c r="U78" i="7"/>
  <c r="K78" i="7"/>
  <c r="T31" i="7"/>
  <c r="W31" i="7" s="1"/>
  <c r="S31" i="7"/>
  <c r="K129" i="7"/>
  <c r="U129" i="7"/>
  <c r="W129" i="7" s="1"/>
  <c r="U17" i="7"/>
  <c r="U22" i="7"/>
  <c r="U24" i="7"/>
  <c r="K28" i="7"/>
  <c r="K30" i="7"/>
  <c r="U36" i="7"/>
  <c r="H41" i="7"/>
  <c r="K41" i="7" s="1"/>
  <c r="K36" i="7"/>
  <c r="U44" i="7"/>
  <c r="K44" i="7"/>
  <c r="U50" i="7"/>
  <c r="K50" i="7"/>
  <c r="U52" i="7"/>
  <c r="U53" i="7"/>
  <c r="U54" i="7"/>
  <c r="U55" i="7"/>
  <c r="H58" i="7"/>
  <c r="P67" i="7"/>
  <c r="S67" i="7" s="1"/>
  <c r="T61" i="7"/>
  <c r="S61" i="7"/>
  <c r="T62" i="7"/>
  <c r="S62" i="7"/>
  <c r="T63" i="7"/>
  <c r="S63" i="7"/>
  <c r="T64" i="7"/>
  <c r="S64" i="7"/>
  <c r="T65" i="7"/>
  <c r="S65" i="7"/>
  <c r="S66" i="7"/>
  <c r="T66" i="7"/>
  <c r="U75" i="7"/>
  <c r="K75" i="7"/>
  <c r="L108" i="7"/>
  <c r="K108" i="7"/>
  <c r="U68" i="7"/>
  <c r="K68" i="7"/>
  <c r="H72" i="7"/>
  <c r="K72" i="7" s="1"/>
  <c r="R82" i="7"/>
  <c r="U79" i="7"/>
  <c r="K79" i="7"/>
  <c r="K100" i="7"/>
  <c r="H112" i="7"/>
  <c r="H113" i="7" s="1"/>
  <c r="H139" i="7"/>
  <c r="K139" i="7" s="1"/>
  <c r="U125" i="7"/>
  <c r="K125" i="7"/>
  <c r="K134" i="7"/>
  <c r="U134" i="7"/>
  <c r="W134" i="7" s="1"/>
  <c r="K138" i="7"/>
  <c r="U138" i="7"/>
  <c r="W138" i="7" s="1"/>
  <c r="S32" i="7"/>
  <c r="K37" i="7"/>
  <c r="S38" i="7"/>
  <c r="K42" i="7"/>
  <c r="K43" i="7"/>
  <c r="K47" i="7"/>
  <c r="K52" i="7"/>
  <c r="K53" i="7"/>
  <c r="K54" i="7"/>
  <c r="K55" i="7"/>
  <c r="S56" i="7"/>
  <c r="K61" i="7"/>
  <c r="K62" i="7"/>
  <c r="K63" i="7"/>
  <c r="K64" i="7"/>
  <c r="K65" i="7"/>
  <c r="K66" i="7"/>
  <c r="U69" i="7"/>
  <c r="K69" i="7"/>
  <c r="S70" i="7"/>
  <c r="J82" i="7"/>
  <c r="U76" i="7"/>
  <c r="K76" i="7"/>
  <c r="U80" i="7"/>
  <c r="K80" i="7"/>
  <c r="T104" i="7"/>
  <c r="S104" i="7"/>
  <c r="U104" i="7"/>
  <c r="W104" i="7" s="1"/>
  <c r="P112" i="7"/>
  <c r="P113" i="7" s="1"/>
  <c r="H123" i="7"/>
  <c r="U117" i="7"/>
  <c r="L117" i="7"/>
  <c r="K117" i="7"/>
  <c r="U130" i="7"/>
  <c r="W130" i="7" s="1"/>
  <c r="S130" i="7"/>
  <c r="U61" i="7"/>
  <c r="P72" i="7"/>
  <c r="T68" i="7"/>
  <c r="U70" i="7"/>
  <c r="K70" i="7"/>
  <c r="S71" i="7"/>
  <c r="U77" i="7"/>
  <c r="K77" i="7"/>
  <c r="U86" i="7"/>
  <c r="K86" i="7"/>
  <c r="U99" i="7"/>
  <c r="W99" i="7" s="1"/>
  <c r="K99" i="7"/>
  <c r="K136" i="7"/>
  <c r="U136" i="7"/>
  <c r="W136" i="7" s="1"/>
  <c r="P88" i="7"/>
  <c r="S88" i="7" s="1"/>
  <c r="P100" i="7"/>
  <c r="S100" i="7" s="1"/>
  <c r="R101" i="7"/>
  <c r="P123" i="7"/>
  <c r="S123" i="7" s="1"/>
  <c r="T117" i="7"/>
  <c r="U156" i="7"/>
  <c r="P164" i="7"/>
  <c r="S164" i="7" s="1"/>
  <c r="S156" i="7"/>
  <c r="R169" i="7"/>
  <c r="K85" i="7"/>
  <c r="S90" i="7"/>
  <c r="S91" i="7"/>
  <c r="S92" i="7"/>
  <c r="S93" i="7"/>
  <c r="S94" i="7"/>
  <c r="S95" i="7"/>
  <c r="S96" i="7"/>
  <c r="S97" i="7"/>
  <c r="J101" i="7"/>
  <c r="T105" i="7"/>
  <c r="S105" i="7"/>
  <c r="S107" i="7"/>
  <c r="U108" i="7"/>
  <c r="W108" i="7" s="1"/>
  <c r="K109" i="7"/>
  <c r="U110" i="7"/>
  <c r="W110" i="7" s="1"/>
  <c r="L110" i="7"/>
  <c r="S117" i="7"/>
  <c r="P139" i="7"/>
  <c r="U131" i="7"/>
  <c r="W131" i="7" s="1"/>
  <c r="U133" i="7"/>
  <c r="W133" i="7" s="1"/>
  <c r="S133" i="7"/>
  <c r="U135" i="7"/>
  <c r="W135" i="7" s="1"/>
  <c r="S135" i="7"/>
  <c r="U137" i="7"/>
  <c r="W137" i="7" s="1"/>
  <c r="S137" i="7"/>
  <c r="U141" i="7"/>
  <c r="P147" i="7"/>
  <c r="S147" i="7" s="1"/>
  <c r="S141" i="7"/>
  <c r="U158" i="7"/>
  <c r="W158" i="7" s="1"/>
  <c r="S158" i="7"/>
  <c r="K84" i="7"/>
  <c r="K87" i="7"/>
  <c r="K98" i="7"/>
  <c r="L103" i="7"/>
  <c r="U103" i="7"/>
  <c r="K103" i="7"/>
  <c r="L104" i="7"/>
  <c r="K104" i="7"/>
  <c r="T106" i="7"/>
  <c r="S106" i="7"/>
  <c r="T107" i="7"/>
  <c r="U109" i="7"/>
  <c r="W109" i="7" s="1"/>
  <c r="S126" i="7"/>
  <c r="H164" i="7"/>
  <c r="K164" i="7" s="1"/>
  <c r="U160" i="7"/>
  <c r="W160" i="7" s="1"/>
  <c r="S160" i="7"/>
  <c r="I169" i="7"/>
  <c r="U150" i="7"/>
  <c r="W150" i="7" s="1"/>
  <c r="L153" i="7"/>
  <c r="U167" i="7"/>
  <c r="W167" i="7" s="1"/>
  <c r="S125" i="7"/>
  <c r="U149" i="7"/>
  <c r="U166" i="7"/>
  <c r="P11" i="5"/>
  <c r="S179" i="5"/>
  <c r="R147" i="5"/>
  <c r="R112" i="5"/>
  <c r="R100" i="5"/>
  <c r="R88" i="5"/>
  <c r="R81" i="5"/>
  <c r="R72" i="5"/>
  <c r="R67" i="5"/>
  <c r="R58" i="5"/>
  <c r="R48" i="5"/>
  <c r="R41" i="5"/>
  <c r="R27" i="5"/>
  <c r="R123" i="5"/>
  <c r="R139" i="5"/>
  <c r="R154" i="5"/>
  <c r="Q164" i="5"/>
  <c r="R164" i="5"/>
  <c r="R168" i="5"/>
  <c r="R35" i="5"/>
  <c r="L21" i="5"/>
  <c r="L22" i="5"/>
  <c r="K21" i="5"/>
  <c r="D15" i="6"/>
  <c r="E16" i="6" s="1"/>
  <c r="H9" i="6"/>
  <c r="E15" i="6"/>
  <c r="F15" i="6"/>
  <c r="G15" i="6"/>
  <c r="H11" i="6"/>
  <c r="H12" i="6"/>
  <c r="H13" i="6"/>
  <c r="H14" i="6"/>
  <c r="H10" i="6"/>
  <c r="D24" i="6"/>
  <c r="E25" i="6" s="1"/>
  <c r="J19" i="6"/>
  <c r="H31" i="5"/>
  <c r="H25" i="5"/>
  <c r="H26" i="5"/>
  <c r="H24" i="5"/>
  <c r="H23" i="5"/>
  <c r="H22" i="5"/>
  <c r="H29" i="5"/>
  <c r="F20" i="6"/>
  <c r="F18" i="6"/>
  <c r="G21" i="6"/>
  <c r="B15" i="6"/>
  <c r="C24" i="6"/>
  <c r="B24" i="6"/>
  <c r="C15" i="6"/>
  <c r="N107" i="5"/>
  <c r="N104" i="5"/>
  <c r="H101" i="7" l="1"/>
  <c r="L101" i="7"/>
  <c r="L82" i="7"/>
  <c r="W88" i="7"/>
  <c r="S112" i="7"/>
  <c r="W41" i="7"/>
  <c r="U88" i="7"/>
  <c r="I67" i="7"/>
  <c r="J114" i="7"/>
  <c r="J171" i="7" s="1"/>
  <c r="K177" i="7" s="1"/>
  <c r="U41" i="7"/>
  <c r="I48" i="7"/>
  <c r="T81" i="7"/>
  <c r="K88" i="7"/>
  <c r="L123" i="7"/>
  <c r="I88" i="7"/>
  <c r="I100" i="7"/>
  <c r="U48" i="7"/>
  <c r="R174" i="7"/>
  <c r="S174" i="7" s="1"/>
  <c r="I11" i="7"/>
  <c r="I12" i="7" s="1"/>
  <c r="P10" i="7"/>
  <c r="P12" i="7" s="1"/>
  <c r="I27" i="7"/>
  <c r="AB10" i="7"/>
  <c r="K11" i="7"/>
  <c r="K12" i="7" s="1"/>
  <c r="W10" i="7"/>
  <c r="J11" i="7"/>
  <c r="J12" i="7" s="1"/>
  <c r="H59" i="7"/>
  <c r="K59" i="7" s="1"/>
  <c r="N193" i="7"/>
  <c r="W73" i="7"/>
  <c r="W81" i="7" s="1"/>
  <c r="L59" i="7"/>
  <c r="N193" i="5"/>
  <c r="H82" i="7"/>
  <c r="W100" i="7"/>
  <c r="H169" i="7"/>
  <c r="H177" i="7" s="1"/>
  <c r="T112" i="7"/>
  <c r="T113" i="7" s="1"/>
  <c r="U35" i="7"/>
  <c r="U100" i="7"/>
  <c r="I72" i="7"/>
  <c r="I101" i="7"/>
  <c r="R82" i="5"/>
  <c r="R176" i="5" s="1"/>
  <c r="S176" i="5" s="1"/>
  <c r="R101" i="5"/>
  <c r="R59" i="5"/>
  <c r="R113" i="5"/>
  <c r="W156" i="7"/>
  <c r="W164" i="7" s="1"/>
  <c r="U164" i="7"/>
  <c r="R175" i="7"/>
  <c r="S175" i="7" s="1"/>
  <c r="T72" i="7"/>
  <c r="W68" i="7"/>
  <c r="W72" i="7" s="1"/>
  <c r="U72" i="7"/>
  <c r="T67" i="7"/>
  <c r="T41" i="7"/>
  <c r="U81" i="7"/>
  <c r="I35" i="7"/>
  <c r="U58" i="7"/>
  <c r="W42" i="7"/>
  <c r="W48" i="7" s="1"/>
  <c r="T48" i="7"/>
  <c r="K81" i="7"/>
  <c r="P59" i="7"/>
  <c r="U168" i="7"/>
  <c r="W166" i="7"/>
  <c r="W168" i="7" s="1"/>
  <c r="U154" i="7"/>
  <c r="W149" i="7"/>
  <c r="W154" i="7" s="1"/>
  <c r="K112" i="7"/>
  <c r="W103" i="7"/>
  <c r="W112" i="7" s="1"/>
  <c r="W113" i="7" s="1"/>
  <c r="U112" i="7"/>
  <c r="U113" i="7" s="1"/>
  <c r="K113" i="7"/>
  <c r="R177" i="7"/>
  <c r="P101" i="7"/>
  <c r="K123" i="7"/>
  <c r="P82" i="7"/>
  <c r="S72" i="7"/>
  <c r="K58" i="7"/>
  <c r="J176" i="7"/>
  <c r="K176" i="7" s="1"/>
  <c r="U139" i="7"/>
  <c r="W125" i="7"/>
  <c r="W139" i="7" s="1"/>
  <c r="R176" i="7"/>
  <c r="S176" i="7" s="1"/>
  <c r="T35" i="7"/>
  <c r="R114" i="7"/>
  <c r="T27" i="7"/>
  <c r="W17" i="7"/>
  <c r="W27" i="7" s="1"/>
  <c r="T58" i="7"/>
  <c r="W52" i="7"/>
  <c r="W58" i="7" s="1"/>
  <c r="I58" i="7"/>
  <c r="W141" i="7"/>
  <c r="W147" i="7" s="1"/>
  <c r="U147" i="7"/>
  <c r="X41" i="7"/>
  <c r="L112" i="7"/>
  <c r="K101" i="7"/>
  <c r="J175" i="7"/>
  <c r="K175" i="7" s="1"/>
  <c r="U67" i="7"/>
  <c r="W61" i="7"/>
  <c r="W67" i="7" s="1"/>
  <c r="U123" i="7"/>
  <c r="W117" i="7"/>
  <c r="W123" i="7" s="1"/>
  <c r="P169" i="7"/>
  <c r="P177" i="7" s="1"/>
  <c r="I81" i="7"/>
  <c r="W35" i="7"/>
  <c r="U27" i="7"/>
  <c r="I41" i="7"/>
  <c r="S113" i="7"/>
  <c r="C25" i="6"/>
  <c r="E27" i="6" s="1"/>
  <c r="E29" i="6" s="1"/>
  <c r="R169" i="5"/>
  <c r="R177" i="5" s="1"/>
  <c r="H15" i="6"/>
  <c r="B25" i="6"/>
  <c r="U101" i="7" l="1"/>
  <c r="X48" i="7"/>
  <c r="X100" i="7"/>
  <c r="W101" i="7"/>
  <c r="K169" i="7"/>
  <c r="H114" i="7"/>
  <c r="H171" i="7" s="1"/>
  <c r="S59" i="7"/>
  <c r="O10" i="7"/>
  <c r="O12" i="7" s="1"/>
  <c r="O13" i="7" s="1"/>
  <c r="S101" i="7"/>
  <c r="AA10" i="7"/>
  <c r="AA12" i="7" s="1"/>
  <c r="AA13" i="7" s="1"/>
  <c r="I59" i="7"/>
  <c r="K82" i="7"/>
  <c r="S82" i="7"/>
  <c r="V10" i="7"/>
  <c r="V12" i="7" s="1"/>
  <c r="V13" i="7" s="1"/>
  <c r="I82" i="7"/>
  <c r="T59" i="7"/>
  <c r="W82" i="7"/>
  <c r="U82" i="7"/>
  <c r="R114" i="5"/>
  <c r="R171" i="5" s="1"/>
  <c r="S177" i="5" s="1"/>
  <c r="R175" i="5"/>
  <c r="S175" i="5" s="1"/>
  <c r="R174" i="5"/>
  <c r="S174" i="5" s="1"/>
  <c r="AB12" i="7"/>
  <c r="L113" i="7"/>
  <c r="I112" i="7"/>
  <c r="X27" i="7"/>
  <c r="W12" i="7"/>
  <c r="U169" i="7"/>
  <c r="L11" i="7"/>
  <c r="L12" i="7" s="1"/>
  <c r="U59" i="7"/>
  <c r="P13" i="7"/>
  <c r="W169" i="7"/>
  <c r="T82" i="7"/>
  <c r="W59" i="7"/>
  <c r="X58" i="7"/>
  <c r="R171" i="7"/>
  <c r="S169" i="7"/>
  <c r="J173" i="7"/>
  <c r="J178" i="7" s="1"/>
  <c r="P114" i="7"/>
  <c r="P171" i="7" s="1"/>
  <c r="K114" i="7" l="1"/>
  <c r="I177" i="7"/>
  <c r="H173" i="7"/>
  <c r="I173" i="7" s="1"/>
  <c r="K171" i="7"/>
  <c r="U114" i="7"/>
  <c r="U171" i="7" s="1"/>
  <c r="AC10" i="7"/>
  <c r="T114" i="7"/>
  <c r="T171" i="7" s="1"/>
  <c r="P172" i="7" s="1"/>
  <c r="W172" i="7" s="1"/>
  <c r="Q10" i="7"/>
  <c r="Q13" i="7"/>
  <c r="Q12" i="7"/>
  <c r="X10" i="7"/>
  <c r="X59" i="7"/>
  <c r="S114" i="7"/>
  <c r="R173" i="5"/>
  <c r="R178" i="5" s="1"/>
  <c r="R172" i="5"/>
  <c r="J180" i="7"/>
  <c r="R173" i="7"/>
  <c r="R178" i="7" s="1"/>
  <c r="S171" i="7"/>
  <c r="R172" i="7"/>
  <c r="H178" i="7"/>
  <c r="H180" i="7" s="1"/>
  <c r="K181" i="7" s="1"/>
  <c r="W114" i="7"/>
  <c r="W171" i="7" s="1"/>
  <c r="P173" i="7"/>
  <c r="P178" i="7" s="1"/>
  <c r="P180" i="7" s="1"/>
  <c r="S177" i="7"/>
  <c r="L114" i="7"/>
  <c r="I113" i="7"/>
  <c r="W13" i="7"/>
  <c r="X13" i="7" s="1"/>
  <c r="X12" i="7"/>
  <c r="AB13" i="7"/>
  <c r="AC13" i="7" s="1"/>
  <c r="AC12" i="7"/>
  <c r="H176" i="5"/>
  <c r="H175" i="5"/>
  <c r="O18" i="4"/>
  <c r="P21" i="5"/>
  <c r="V21" i="5"/>
  <c r="T178" i="7" l="1"/>
  <c r="K173" i="7"/>
  <c r="T172" i="7"/>
  <c r="S172" i="7" s="1"/>
  <c r="V169" i="7"/>
  <c r="U173" i="7"/>
  <c r="U178" i="7" s="1"/>
  <c r="C7" i="7" s="1"/>
  <c r="C9" i="7" s="1"/>
  <c r="V172" i="7"/>
  <c r="S21" i="5"/>
  <c r="T21" i="5"/>
  <c r="W21" i="5" s="1"/>
  <c r="R180" i="7"/>
  <c r="S180" i="7" s="1"/>
  <c r="S178" i="7"/>
  <c r="K178" i="7"/>
  <c r="I114" i="7"/>
  <c r="L171" i="7"/>
  <c r="L172" i="7" s="1"/>
  <c r="K172" i="7" s="1"/>
  <c r="S173" i="7"/>
  <c r="R180" i="5"/>
  <c r="V20" i="5"/>
  <c r="P20" i="5"/>
  <c r="L20" i="5"/>
  <c r="H20" i="5"/>
  <c r="V19" i="5"/>
  <c r="P19" i="5"/>
  <c r="L19" i="5"/>
  <c r="H19" i="5"/>
  <c r="U180" i="7" l="1"/>
  <c r="R181" i="7"/>
  <c r="S19" i="5"/>
  <c r="T19" i="5"/>
  <c r="W19" i="5" s="1"/>
  <c r="S20" i="5"/>
  <c r="T20" i="5"/>
  <c r="W20" i="5" s="1"/>
  <c r="U21" i="5"/>
  <c r="U19" i="5"/>
  <c r="U20" i="5"/>
  <c r="K20" i="5"/>
  <c r="K19" i="5"/>
  <c r="H18" i="5" l="1"/>
  <c r="K18" i="5" s="1"/>
  <c r="L18" i="5"/>
  <c r="P18" i="5"/>
  <c r="S18" i="5" l="1"/>
  <c r="T18" i="5"/>
  <c r="W18" i="5" s="1"/>
  <c r="U18" i="5"/>
  <c r="J147" i="5" l="1"/>
  <c r="J154" i="5"/>
  <c r="J139" i="5"/>
  <c r="J123" i="5"/>
  <c r="J112" i="5"/>
  <c r="J113" i="5" s="1"/>
  <c r="J100" i="5"/>
  <c r="L99" i="5"/>
  <c r="L98" i="5"/>
  <c r="L97" i="5"/>
  <c r="L96" i="5"/>
  <c r="L95" i="5"/>
  <c r="L94" i="5"/>
  <c r="L93" i="5"/>
  <c r="L92" i="5"/>
  <c r="L91" i="5"/>
  <c r="L90" i="5"/>
  <c r="L89" i="5"/>
  <c r="J88" i="5"/>
  <c r="L87" i="5"/>
  <c r="L86" i="5"/>
  <c r="L85" i="5"/>
  <c r="L84" i="5"/>
  <c r="J72" i="5"/>
  <c r="J67" i="5"/>
  <c r="J81" i="5"/>
  <c r="L80" i="5"/>
  <c r="L79" i="5"/>
  <c r="L78" i="5"/>
  <c r="L77" i="5"/>
  <c r="L76" i="5"/>
  <c r="L75" i="5"/>
  <c r="L74" i="5"/>
  <c r="L73" i="5"/>
  <c r="L69" i="5"/>
  <c r="L68" i="5"/>
  <c r="J101" i="5" l="1"/>
  <c r="J175" i="5" s="1"/>
  <c r="J82" i="5"/>
  <c r="J176" i="5" s="1"/>
  <c r="L88" i="5"/>
  <c r="L100" i="5"/>
  <c r="L81" i="5"/>
  <c r="J58" i="5"/>
  <c r="J48" i="5"/>
  <c r="L45" i="5"/>
  <c r="L101" i="5" l="1"/>
  <c r="L44" i="5" l="1"/>
  <c r="L43" i="5"/>
  <c r="L42" i="5"/>
  <c r="L57" i="5" l="1"/>
  <c r="L56" i="5"/>
  <c r="L55" i="5"/>
  <c r="L54" i="5"/>
  <c r="L53" i="5"/>
  <c r="L51" i="5"/>
  <c r="L50" i="5"/>
  <c r="L49" i="5"/>
  <c r="L47" i="5"/>
  <c r="L46" i="5"/>
  <c r="L40" i="5"/>
  <c r="L39" i="5"/>
  <c r="L38" i="5"/>
  <c r="L37" i="5"/>
  <c r="L36" i="5"/>
  <c r="J35" i="5"/>
  <c r="L34" i="5"/>
  <c r="L28" i="5"/>
  <c r="L26" i="5"/>
  <c r="L24" i="5"/>
  <c r="L23" i="5"/>
  <c r="L17" i="5"/>
  <c r="L25" i="5"/>
  <c r="L41" i="5" l="1"/>
  <c r="K17" i="5"/>
  <c r="P22" i="5" l="1"/>
  <c r="P23" i="5"/>
  <c r="P24" i="5"/>
  <c r="P25" i="5"/>
  <c r="P26" i="5"/>
  <c r="K25" i="5"/>
  <c r="J27" i="5"/>
  <c r="K26" i="5"/>
  <c r="K24" i="5"/>
  <c r="K22" i="5"/>
  <c r="S25" i="5" l="1"/>
  <c r="T25" i="5"/>
  <c r="U25" i="5"/>
  <c r="S24" i="5"/>
  <c r="T24" i="5"/>
  <c r="W24" i="5" s="1"/>
  <c r="S23" i="5"/>
  <c r="T23" i="5"/>
  <c r="W23" i="5" s="1"/>
  <c r="S26" i="5"/>
  <c r="T26" i="5"/>
  <c r="W26" i="5" s="1"/>
  <c r="S22" i="5"/>
  <c r="T22" i="5"/>
  <c r="W22" i="5" s="1"/>
  <c r="U22" i="5"/>
  <c r="U23" i="5"/>
  <c r="K23" i="5"/>
  <c r="W25" i="5"/>
  <c r="U24" i="5"/>
  <c r="U26" i="5"/>
  <c r="K39" i="4" l="1"/>
  <c r="I39" i="4"/>
  <c r="G39" i="4"/>
  <c r="G40" i="4" s="1"/>
  <c r="E39" i="4"/>
  <c r="E40" i="4" s="1"/>
  <c r="C39" i="4"/>
  <c r="C40" i="4" s="1"/>
  <c r="I40" i="4" l="1"/>
  <c r="M39" i="4"/>
  <c r="G41" i="4"/>
  <c r="H39" i="4" s="1"/>
  <c r="H41" i="4" s="1"/>
  <c r="C41" i="4"/>
  <c r="D40" i="4" s="1"/>
  <c r="E41" i="4"/>
  <c r="F40" i="4" s="1"/>
  <c r="K40" i="4"/>
  <c r="G42" i="4" l="1"/>
  <c r="G43" i="4"/>
  <c r="I41" i="4"/>
  <c r="D39" i="4"/>
  <c r="F39" i="4"/>
  <c r="F41" i="4" s="1"/>
  <c r="H40" i="4"/>
  <c r="K41" i="4"/>
  <c r="L39" i="4" s="1"/>
  <c r="L41" i="4" s="1"/>
  <c r="M40" i="4"/>
  <c r="E42" i="4"/>
  <c r="E43" i="4"/>
  <c r="C43" i="4"/>
  <c r="C42" i="4"/>
  <c r="G44" i="4" l="1"/>
  <c r="H43" i="4" s="1"/>
  <c r="K42" i="4"/>
  <c r="M41" i="4"/>
  <c r="K43" i="4"/>
  <c r="K44" i="4" s="1"/>
  <c r="L43" i="4" s="1"/>
  <c r="L40" i="4"/>
  <c r="I43" i="4"/>
  <c r="J39" i="4"/>
  <c r="J41" i="4" s="1"/>
  <c r="I42" i="4"/>
  <c r="M42" i="4" s="1"/>
  <c r="D41" i="4"/>
  <c r="J40" i="4"/>
  <c r="H42" i="4"/>
  <c r="H44" i="4" s="1"/>
  <c r="E44" i="4"/>
  <c r="F43" i="4" s="1"/>
  <c r="F42" i="4"/>
  <c r="F44" i="4" s="1"/>
  <c r="C44" i="4"/>
  <c r="D43" i="4" s="1"/>
  <c r="M43" i="4" l="1"/>
  <c r="N40" i="4"/>
  <c r="L42" i="4"/>
  <c r="L44" i="4" s="1"/>
  <c r="N39" i="4"/>
  <c r="I44" i="4"/>
  <c r="M44" i="4" s="1"/>
  <c r="N41" i="4"/>
  <c r="D42" i="4"/>
  <c r="AB11" i="5"/>
  <c r="W11" i="5"/>
  <c r="J43" i="4" l="1"/>
  <c r="N43" i="4" s="1"/>
  <c r="J42" i="4"/>
  <c r="J44" i="4" s="1"/>
  <c r="D44" i="4"/>
  <c r="N44" i="4" l="1"/>
  <c r="N42" i="4"/>
  <c r="E18" i="4"/>
  <c r="C17" i="4" l="1"/>
  <c r="P18" i="4" l="1"/>
  <c r="M18" i="4"/>
  <c r="I18" i="4"/>
  <c r="C19" i="4"/>
  <c r="O16" i="4"/>
  <c r="O10" i="4"/>
  <c r="K17" i="4"/>
  <c r="K19" i="4" s="1"/>
  <c r="C29" i="4" s="1"/>
  <c r="J10" i="5" s="1"/>
  <c r="K176" i="5" l="1"/>
  <c r="C27" i="4"/>
  <c r="I10" i="5" s="1"/>
  <c r="Q18" i="4"/>
  <c r="C35" i="4" l="1"/>
  <c r="D35" i="4" l="1"/>
  <c r="C36" i="4"/>
  <c r="D33" i="4" l="1"/>
  <c r="D34" i="4"/>
  <c r="J168" i="5"/>
  <c r="J164" i="5"/>
  <c r="L111" i="5"/>
  <c r="L71" i="5"/>
  <c r="L70" i="5"/>
  <c r="L66" i="5"/>
  <c r="L65" i="5"/>
  <c r="L64" i="5"/>
  <c r="L63" i="5"/>
  <c r="L62" i="5"/>
  <c r="L61" i="5"/>
  <c r="L52" i="5"/>
  <c r="L58" i="5" s="1"/>
  <c r="J41" i="5"/>
  <c r="J59" i="5" s="1"/>
  <c r="P10" i="5" l="1"/>
  <c r="P12" i="5" s="1"/>
  <c r="I11" i="5"/>
  <c r="I12" i="5" s="1"/>
  <c r="J174" i="5"/>
  <c r="J114" i="5"/>
  <c r="J169" i="5"/>
  <c r="J177" i="5" s="1"/>
  <c r="L67" i="5"/>
  <c r="L72" i="5"/>
  <c r="L48" i="5"/>
  <c r="K174" i="5" l="1"/>
  <c r="J171" i="5"/>
  <c r="K177" i="5" s="1"/>
  <c r="L82" i="5"/>
  <c r="L32" i="5"/>
  <c r="L31" i="5"/>
  <c r="L30" i="5"/>
  <c r="L29" i="5"/>
  <c r="H167" i="5"/>
  <c r="H166" i="5"/>
  <c r="H163" i="5"/>
  <c r="H162" i="5"/>
  <c r="H161" i="5"/>
  <c r="H160" i="5"/>
  <c r="H158" i="5"/>
  <c r="H156" i="5"/>
  <c r="H153" i="5"/>
  <c r="H150" i="5"/>
  <c r="H149" i="5"/>
  <c r="H144" i="5"/>
  <c r="H142" i="5"/>
  <c r="H138" i="5"/>
  <c r="H137" i="5"/>
  <c r="H136" i="5"/>
  <c r="H135" i="5"/>
  <c r="H134" i="5"/>
  <c r="H133" i="5"/>
  <c r="H129" i="5"/>
  <c r="H127" i="5"/>
  <c r="H126" i="5"/>
  <c r="H125" i="5"/>
  <c r="H122" i="5"/>
  <c r="H121" i="5"/>
  <c r="H120" i="5"/>
  <c r="H119" i="5"/>
  <c r="K119" i="5" s="1"/>
  <c r="H118" i="5"/>
  <c r="K118" i="5" s="1"/>
  <c r="H117" i="5"/>
  <c r="H111" i="5"/>
  <c r="H110" i="5"/>
  <c r="K110" i="5" s="1"/>
  <c r="H109" i="5"/>
  <c r="H108" i="5"/>
  <c r="H106" i="5"/>
  <c r="H105" i="5"/>
  <c r="L105" i="5" s="1"/>
  <c r="H103" i="5"/>
  <c r="H98" i="5"/>
  <c r="K98" i="5" s="1"/>
  <c r="H93" i="5"/>
  <c r="K93" i="5" s="1"/>
  <c r="H91" i="5"/>
  <c r="K91" i="5" s="1"/>
  <c r="H90" i="5"/>
  <c r="K90" i="5" s="1"/>
  <c r="H89" i="5"/>
  <c r="K89" i="5" s="1"/>
  <c r="H87" i="5"/>
  <c r="K87" i="5" s="1"/>
  <c r="H86" i="5"/>
  <c r="K86" i="5" s="1"/>
  <c r="H85" i="5"/>
  <c r="K85" i="5" s="1"/>
  <c r="H84" i="5"/>
  <c r="K84" i="5" s="1"/>
  <c r="H80" i="5"/>
  <c r="K80" i="5" s="1"/>
  <c r="H79" i="5"/>
  <c r="K79" i="5" s="1"/>
  <c r="H78" i="5"/>
  <c r="K78" i="5" s="1"/>
  <c r="H77" i="5"/>
  <c r="K77" i="5" s="1"/>
  <c r="H76" i="5"/>
  <c r="K76" i="5" s="1"/>
  <c r="H75" i="5"/>
  <c r="K75" i="5" s="1"/>
  <c r="H74" i="5"/>
  <c r="K74" i="5" s="1"/>
  <c r="H73" i="5"/>
  <c r="K73" i="5" s="1"/>
  <c r="H71" i="5"/>
  <c r="H70" i="5"/>
  <c r="H69" i="5"/>
  <c r="K69" i="5" s="1"/>
  <c r="H68" i="5"/>
  <c r="K68" i="5" s="1"/>
  <c r="H66" i="5"/>
  <c r="H65" i="5"/>
  <c r="H64" i="5"/>
  <c r="H63" i="5"/>
  <c r="H62" i="5"/>
  <c r="H61" i="5"/>
  <c r="H57" i="5"/>
  <c r="K57" i="5" s="1"/>
  <c r="H56" i="5"/>
  <c r="K56" i="5" s="1"/>
  <c r="H55" i="5"/>
  <c r="K55" i="5" s="1"/>
  <c r="H54" i="5"/>
  <c r="H53" i="5"/>
  <c r="K53" i="5" s="1"/>
  <c r="H52" i="5"/>
  <c r="K52" i="5" s="1"/>
  <c r="H51" i="5"/>
  <c r="K51" i="5" s="1"/>
  <c r="H50" i="5"/>
  <c r="K50" i="5" s="1"/>
  <c r="H49" i="5"/>
  <c r="H47" i="5"/>
  <c r="K47" i="5" s="1"/>
  <c r="H46" i="5"/>
  <c r="K46" i="5" s="1"/>
  <c r="H45" i="5"/>
  <c r="K45" i="5" s="1"/>
  <c r="H44" i="5"/>
  <c r="K44" i="5" s="1"/>
  <c r="H43" i="5"/>
  <c r="K43" i="5" s="1"/>
  <c r="H42" i="5"/>
  <c r="K42" i="5" s="1"/>
  <c r="H40" i="5"/>
  <c r="K40" i="5" s="1"/>
  <c r="H39" i="5"/>
  <c r="K39" i="5" s="1"/>
  <c r="H38" i="5"/>
  <c r="K38" i="5" s="1"/>
  <c r="H37" i="5"/>
  <c r="K37" i="5" s="1"/>
  <c r="H36" i="5"/>
  <c r="K36" i="5" s="1"/>
  <c r="H34" i="5"/>
  <c r="K34" i="5" s="1"/>
  <c r="H33" i="5"/>
  <c r="K33" i="5" s="1"/>
  <c r="H32" i="5"/>
  <c r="K31" i="5"/>
  <c r="H30" i="5"/>
  <c r="K30" i="5" s="1"/>
  <c r="K29" i="5"/>
  <c r="H28" i="5"/>
  <c r="J173" i="5" l="1"/>
  <c r="J178" i="5" s="1"/>
  <c r="H35" i="5"/>
  <c r="K35" i="5" s="1"/>
  <c r="H154" i="5"/>
  <c r="K154" i="5" s="1"/>
  <c r="H123" i="5"/>
  <c r="K123" i="5" s="1"/>
  <c r="K28" i="5"/>
  <c r="H58" i="5"/>
  <c r="K49" i="5"/>
  <c r="K103" i="5"/>
  <c r="H67" i="5"/>
  <c r="I67" i="5" s="1"/>
  <c r="H27" i="5"/>
  <c r="K27" i="5" s="1"/>
  <c r="H168" i="5"/>
  <c r="K168" i="5" s="1"/>
  <c r="H48" i="5"/>
  <c r="H164" i="5"/>
  <c r="K164" i="5" s="1"/>
  <c r="H72" i="5"/>
  <c r="I72" i="5" s="1"/>
  <c r="H81" i="5"/>
  <c r="H88" i="5"/>
  <c r="H41" i="5"/>
  <c r="L103" i="5"/>
  <c r="L117" i="5"/>
  <c r="P10" i="4"/>
  <c r="Q10" i="4" s="1"/>
  <c r="P16" i="4"/>
  <c r="Q16" i="4" s="1"/>
  <c r="P11" i="4"/>
  <c r="P12" i="4"/>
  <c r="P13" i="4"/>
  <c r="P14" i="4"/>
  <c r="P15" i="4"/>
  <c r="O11" i="4"/>
  <c r="O12" i="4"/>
  <c r="O13" i="4"/>
  <c r="O14" i="4"/>
  <c r="O15" i="4"/>
  <c r="M11" i="4"/>
  <c r="M12" i="4"/>
  <c r="M14" i="4"/>
  <c r="M15" i="4"/>
  <c r="M16" i="4"/>
  <c r="M10" i="4"/>
  <c r="L17" i="4"/>
  <c r="L19" i="4" s="1"/>
  <c r="E17" i="4"/>
  <c r="F12" i="4" s="1"/>
  <c r="H17" i="4"/>
  <c r="H19" i="4" s="1"/>
  <c r="G17" i="4"/>
  <c r="G19" i="4" s="1"/>
  <c r="C28" i="4" s="1"/>
  <c r="I11" i="4"/>
  <c r="I12" i="4"/>
  <c r="I13" i="4"/>
  <c r="I14" i="4"/>
  <c r="I15" i="4"/>
  <c r="I16" i="4"/>
  <c r="I10" i="4"/>
  <c r="D29" i="4" l="1"/>
  <c r="J10" i="7" s="1"/>
  <c r="J13" i="7" s="1"/>
  <c r="L23" i="4"/>
  <c r="D28" i="4"/>
  <c r="K10" i="7" s="1"/>
  <c r="K13" i="7" s="1"/>
  <c r="H23" i="4"/>
  <c r="F16" i="4"/>
  <c r="K41" i="5"/>
  <c r="I41" i="5"/>
  <c r="H59" i="5"/>
  <c r="K58" i="5"/>
  <c r="I58" i="5"/>
  <c r="K88" i="5"/>
  <c r="I88" i="5"/>
  <c r="I48" i="5"/>
  <c r="K48" i="5"/>
  <c r="K81" i="5"/>
  <c r="I81" i="5"/>
  <c r="Q15" i="4"/>
  <c r="Q13" i="4"/>
  <c r="F11" i="4"/>
  <c r="F13" i="4"/>
  <c r="F14" i="4"/>
  <c r="F18" i="4"/>
  <c r="M17" i="4"/>
  <c r="N18" i="4" s="1"/>
  <c r="F15" i="4"/>
  <c r="I17" i="4"/>
  <c r="J15" i="4" s="1"/>
  <c r="K10" i="5"/>
  <c r="C30" i="4"/>
  <c r="Q14" i="4"/>
  <c r="H82" i="5"/>
  <c r="I82" i="5" s="1"/>
  <c r="Q11" i="4"/>
  <c r="O17" i="4"/>
  <c r="O19" i="4" s="1"/>
  <c r="E19" i="4"/>
  <c r="F10" i="4"/>
  <c r="Q12" i="4"/>
  <c r="P17" i="4"/>
  <c r="P19" i="4" s="1"/>
  <c r="D17" i="4"/>
  <c r="D19" i="4" s="1"/>
  <c r="D27" i="4" s="1"/>
  <c r="J13" i="4" l="1"/>
  <c r="J10" i="4"/>
  <c r="N12" i="4"/>
  <c r="D30" i="4"/>
  <c r="I10" i="7"/>
  <c r="K175" i="5"/>
  <c r="J16" i="4"/>
  <c r="J18" i="4"/>
  <c r="J14" i="4"/>
  <c r="I19" i="4"/>
  <c r="E28" i="4" s="1"/>
  <c r="N10" i="4"/>
  <c r="N13" i="4"/>
  <c r="M19" i="4"/>
  <c r="E29" i="4" s="1"/>
  <c r="N11" i="4"/>
  <c r="N16" i="4"/>
  <c r="N14" i="4"/>
  <c r="N15" i="4"/>
  <c r="F17" i="4"/>
  <c r="V10" i="5"/>
  <c r="L10" i="5"/>
  <c r="Q17" i="4"/>
  <c r="R14" i="4" s="1"/>
  <c r="E27" i="4"/>
  <c r="W43" i="5"/>
  <c r="L33" i="5"/>
  <c r="L35" i="5" s="1"/>
  <c r="L27" i="5"/>
  <c r="I27" i="5" s="1"/>
  <c r="P36" i="5"/>
  <c r="S36" i="5" s="1"/>
  <c r="V36" i="5"/>
  <c r="P37" i="5"/>
  <c r="S37" i="5" s="1"/>
  <c r="V37" i="5"/>
  <c r="P38" i="5"/>
  <c r="S38" i="5" s="1"/>
  <c r="V38" i="5"/>
  <c r="P39" i="5"/>
  <c r="S39" i="5" s="1"/>
  <c r="V39" i="5"/>
  <c r="P40" i="5"/>
  <c r="S40" i="5" s="1"/>
  <c r="V40" i="5"/>
  <c r="P42" i="5"/>
  <c r="S42" i="5" s="1"/>
  <c r="P43" i="5"/>
  <c r="S43" i="5" s="1"/>
  <c r="P44" i="5"/>
  <c r="S44" i="5" s="1"/>
  <c r="W45" i="5"/>
  <c r="P45" i="5"/>
  <c r="S45" i="5" s="1"/>
  <c r="P46" i="5"/>
  <c r="S46" i="5" s="1"/>
  <c r="W47" i="5"/>
  <c r="P47" i="5"/>
  <c r="S47" i="5" s="1"/>
  <c r="I180" i="5"/>
  <c r="P28" i="5"/>
  <c r="S28" i="5" s="1"/>
  <c r="P29" i="5"/>
  <c r="S29" i="5" s="1"/>
  <c r="P30" i="5"/>
  <c r="S30" i="5" s="1"/>
  <c r="V30" i="5"/>
  <c r="P31" i="5"/>
  <c r="S31" i="5" s="1"/>
  <c r="V31" i="5"/>
  <c r="P32" i="5"/>
  <c r="S32" i="5" s="1"/>
  <c r="V32" i="5"/>
  <c r="P33" i="5"/>
  <c r="S33" i="5" s="1"/>
  <c r="V33" i="5"/>
  <c r="P34" i="5"/>
  <c r="S34" i="5" s="1"/>
  <c r="V34" i="5"/>
  <c r="I164" i="5"/>
  <c r="I139" i="5"/>
  <c r="I147" i="5"/>
  <c r="I154" i="5"/>
  <c r="I168" i="5"/>
  <c r="K67" i="5"/>
  <c r="J17" i="4" l="1"/>
  <c r="L10" i="7"/>
  <c r="L13" i="7" s="1"/>
  <c r="I13" i="7"/>
  <c r="T31" i="5"/>
  <c r="W31" i="5" s="1"/>
  <c r="T42" i="5"/>
  <c r="W42" i="5" s="1"/>
  <c r="T39" i="5"/>
  <c r="W39" i="5" s="1"/>
  <c r="T37" i="5"/>
  <c r="W37" i="5" s="1"/>
  <c r="T33" i="5"/>
  <c r="W33" i="5" s="1"/>
  <c r="T28" i="5"/>
  <c r="W28" i="5" s="1"/>
  <c r="U32" i="5"/>
  <c r="T30" i="5"/>
  <c r="W30" i="5" s="1"/>
  <c r="T34" i="5"/>
  <c r="W34" i="5" s="1"/>
  <c r="T29" i="5"/>
  <c r="W29" i="5" s="1"/>
  <c r="T40" i="5"/>
  <c r="W40" i="5" s="1"/>
  <c r="T38" i="5"/>
  <c r="W38" i="5" s="1"/>
  <c r="T36" i="5"/>
  <c r="I35" i="5"/>
  <c r="L59" i="5"/>
  <c r="I59" i="5" s="1"/>
  <c r="N17" i="4"/>
  <c r="Q19" i="4"/>
  <c r="R18" i="4"/>
  <c r="R15" i="4"/>
  <c r="R10" i="4"/>
  <c r="R16" i="4"/>
  <c r="R13" i="4"/>
  <c r="R12" i="4"/>
  <c r="E30" i="4"/>
  <c r="R11" i="4"/>
  <c r="W10" i="5"/>
  <c r="U43" i="5"/>
  <c r="I169" i="5"/>
  <c r="U45" i="5"/>
  <c r="U47" i="5"/>
  <c r="U42" i="5"/>
  <c r="U46" i="5"/>
  <c r="U44" i="5"/>
  <c r="W46" i="5"/>
  <c r="W44" i="5"/>
  <c r="P41" i="5"/>
  <c r="S41" i="5" s="1"/>
  <c r="U40" i="5"/>
  <c r="U39" i="5"/>
  <c r="U38" i="5"/>
  <c r="U37" i="5"/>
  <c r="U36" i="5"/>
  <c r="U30" i="5"/>
  <c r="U33" i="5"/>
  <c r="U34" i="5"/>
  <c r="T32" i="5"/>
  <c r="W32" i="5" s="1"/>
  <c r="U31" i="5"/>
  <c r="K32" i="5"/>
  <c r="P35" i="5"/>
  <c r="S35" i="5" s="1"/>
  <c r="U28" i="5"/>
  <c r="U29" i="5"/>
  <c r="T41" i="5" l="1"/>
  <c r="W36" i="5"/>
  <c r="R17" i="4"/>
  <c r="K11" i="5"/>
  <c r="K12" i="5" s="1"/>
  <c r="K13" i="5" s="1"/>
  <c r="AB10" i="5"/>
  <c r="X10" i="5"/>
  <c r="W12" i="5"/>
  <c r="J11" i="5"/>
  <c r="J12" i="5" s="1"/>
  <c r="J13" i="5" s="1"/>
  <c r="K59" i="5"/>
  <c r="J19" i="4"/>
  <c r="F28" i="4" s="1"/>
  <c r="N19" i="4"/>
  <c r="F29" i="4" s="1"/>
  <c r="F19" i="4"/>
  <c r="F27" i="4" s="1"/>
  <c r="T35" i="5"/>
  <c r="W41" i="5"/>
  <c r="U41" i="5"/>
  <c r="U35" i="5"/>
  <c r="W35" i="5"/>
  <c r="K117" i="5"/>
  <c r="I13" i="5" l="1"/>
  <c r="AB12" i="5"/>
  <c r="W13" i="5"/>
  <c r="L11" i="5"/>
  <c r="L12" i="5" s="1"/>
  <c r="L13" i="5" s="1"/>
  <c r="F30" i="4"/>
  <c r="R19" i="4"/>
  <c r="X41" i="5"/>
  <c r="P98" i="5"/>
  <c r="S98" i="5" s="1"/>
  <c r="P136" i="5"/>
  <c r="S136" i="5" s="1"/>
  <c r="K136" i="5"/>
  <c r="J180" i="5" l="1"/>
  <c r="P13" i="5"/>
  <c r="AB13" i="5"/>
  <c r="U98" i="5"/>
  <c r="U136" i="5"/>
  <c r="W136" i="5" s="1"/>
  <c r="U179" i="5" l="1"/>
  <c r="P167" i="5"/>
  <c r="S167" i="5" s="1"/>
  <c r="K167" i="5"/>
  <c r="P166" i="5"/>
  <c r="S166" i="5" s="1"/>
  <c r="K166" i="5"/>
  <c r="P163" i="5"/>
  <c r="S163" i="5" s="1"/>
  <c r="K163" i="5"/>
  <c r="P162" i="5"/>
  <c r="S162" i="5" s="1"/>
  <c r="K162" i="5"/>
  <c r="P161" i="5"/>
  <c r="S161" i="5" s="1"/>
  <c r="P160" i="5"/>
  <c r="S160" i="5" s="1"/>
  <c r="K160" i="5"/>
  <c r="P158" i="5"/>
  <c r="S158" i="5" s="1"/>
  <c r="K158" i="5"/>
  <c r="P156" i="5"/>
  <c r="S156" i="5" s="1"/>
  <c r="K156" i="5"/>
  <c r="T154" i="5"/>
  <c r="Q154" i="5"/>
  <c r="Q171" i="5" s="1"/>
  <c r="Q178" i="5" s="1"/>
  <c r="Q180" i="5" s="1"/>
  <c r="P153" i="5"/>
  <c r="S153" i="5" s="1"/>
  <c r="P150" i="5"/>
  <c r="S150" i="5" s="1"/>
  <c r="K150" i="5"/>
  <c r="P149" i="5"/>
  <c r="S149" i="5" s="1"/>
  <c r="K149" i="5"/>
  <c r="T147" i="5"/>
  <c r="P146" i="5"/>
  <c r="S146" i="5" s="1"/>
  <c r="H146" i="5"/>
  <c r="P145" i="5"/>
  <c r="S145" i="5" s="1"/>
  <c r="H145" i="5"/>
  <c r="AA11" i="5" s="1"/>
  <c r="AC11" i="5" s="1"/>
  <c r="P144" i="5"/>
  <c r="S144" i="5" s="1"/>
  <c r="K144" i="5"/>
  <c r="P142" i="5"/>
  <c r="S142" i="5" s="1"/>
  <c r="K142" i="5"/>
  <c r="P141" i="5"/>
  <c r="S141" i="5" s="1"/>
  <c r="H141" i="5"/>
  <c r="P138" i="5"/>
  <c r="S138" i="5" s="1"/>
  <c r="K138" i="5"/>
  <c r="P137" i="5"/>
  <c r="S137" i="5" s="1"/>
  <c r="K137" i="5"/>
  <c r="P135" i="5"/>
  <c r="S135" i="5" s="1"/>
  <c r="K135" i="5"/>
  <c r="P134" i="5"/>
  <c r="S134" i="5" s="1"/>
  <c r="K134" i="5"/>
  <c r="P133" i="5"/>
  <c r="S133" i="5" s="1"/>
  <c r="K133" i="5"/>
  <c r="P132" i="5"/>
  <c r="S132" i="5" s="1"/>
  <c r="H132" i="5"/>
  <c r="P131" i="5"/>
  <c r="S131" i="5" s="1"/>
  <c r="H131" i="5"/>
  <c r="K131" i="5" s="1"/>
  <c r="P130" i="5"/>
  <c r="S130" i="5" s="1"/>
  <c r="H130" i="5"/>
  <c r="P129" i="5"/>
  <c r="S129" i="5" s="1"/>
  <c r="K129" i="5"/>
  <c r="P127" i="5"/>
  <c r="S127" i="5" s="1"/>
  <c r="K127" i="5"/>
  <c r="P126" i="5"/>
  <c r="S126" i="5" s="1"/>
  <c r="K126" i="5"/>
  <c r="P125" i="5"/>
  <c r="S125" i="5" s="1"/>
  <c r="K125" i="5"/>
  <c r="P122" i="5"/>
  <c r="S122" i="5" s="1"/>
  <c r="P121" i="5"/>
  <c r="S121" i="5" s="1"/>
  <c r="P120" i="5"/>
  <c r="S120" i="5" s="1"/>
  <c r="P119" i="5"/>
  <c r="S119" i="5" s="1"/>
  <c r="P118" i="5"/>
  <c r="S118" i="5" s="1"/>
  <c r="P117" i="5"/>
  <c r="S117" i="5" s="1"/>
  <c r="P111" i="5"/>
  <c r="S111" i="5" s="1"/>
  <c r="K111" i="5"/>
  <c r="P110" i="5"/>
  <c r="S110" i="5" s="1"/>
  <c r="P109" i="5"/>
  <c r="S109" i="5" s="1"/>
  <c r="K109" i="5"/>
  <c r="P108" i="5"/>
  <c r="S108" i="5" s="1"/>
  <c r="P107" i="5"/>
  <c r="S107" i="5" s="1"/>
  <c r="F107" i="5"/>
  <c r="P106" i="5"/>
  <c r="S106" i="5" s="1"/>
  <c r="P105" i="5"/>
  <c r="S105" i="5" s="1"/>
  <c r="P104" i="5"/>
  <c r="S104" i="5" s="1"/>
  <c r="F104" i="5"/>
  <c r="T103" i="5"/>
  <c r="V101" i="5"/>
  <c r="O101" i="5"/>
  <c r="N101" i="5"/>
  <c r="M101" i="5"/>
  <c r="P99" i="5"/>
  <c r="S99" i="5" s="1"/>
  <c r="H99" i="5"/>
  <c r="K99" i="5" s="1"/>
  <c r="P97" i="5"/>
  <c r="S97" i="5" s="1"/>
  <c r="H97" i="5"/>
  <c r="K97" i="5" s="1"/>
  <c r="P96" i="5"/>
  <c r="S96" i="5" s="1"/>
  <c r="H96" i="5"/>
  <c r="K96" i="5" s="1"/>
  <c r="P95" i="5"/>
  <c r="S95" i="5" s="1"/>
  <c r="H95" i="5"/>
  <c r="K95" i="5" s="1"/>
  <c r="P94" i="5"/>
  <c r="S94" i="5" s="1"/>
  <c r="H94" i="5"/>
  <c r="K94" i="5" s="1"/>
  <c r="P93" i="5"/>
  <c r="S93" i="5" s="1"/>
  <c r="P92" i="5"/>
  <c r="S92" i="5" s="1"/>
  <c r="H92" i="5"/>
  <c r="K92" i="5" s="1"/>
  <c r="P91" i="5"/>
  <c r="S91" i="5" s="1"/>
  <c r="P90" i="5"/>
  <c r="S90" i="5" s="1"/>
  <c r="P89" i="5"/>
  <c r="S89" i="5" s="1"/>
  <c r="T88" i="5"/>
  <c r="P87" i="5"/>
  <c r="S87" i="5" s="1"/>
  <c r="P86" i="5"/>
  <c r="S86" i="5" s="1"/>
  <c r="P85" i="5"/>
  <c r="S85" i="5" s="1"/>
  <c r="P84" i="5"/>
  <c r="S84" i="5" s="1"/>
  <c r="P80" i="5"/>
  <c r="S80" i="5" s="1"/>
  <c r="P79" i="5"/>
  <c r="S79" i="5" s="1"/>
  <c r="P78" i="5"/>
  <c r="S78" i="5" s="1"/>
  <c r="P77" i="5"/>
  <c r="S77" i="5" s="1"/>
  <c r="P76" i="5"/>
  <c r="S76" i="5" s="1"/>
  <c r="P75" i="5"/>
  <c r="S75" i="5" s="1"/>
  <c r="P74" i="5"/>
  <c r="S74" i="5" s="1"/>
  <c r="P73" i="5"/>
  <c r="S73" i="5" s="1"/>
  <c r="P71" i="5"/>
  <c r="S71" i="5" s="1"/>
  <c r="P70" i="5"/>
  <c r="S70" i="5" s="1"/>
  <c r="P69" i="5"/>
  <c r="S69" i="5" s="1"/>
  <c r="P68" i="5"/>
  <c r="S68" i="5" s="1"/>
  <c r="P66" i="5"/>
  <c r="S66" i="5" s="1"/>
  <c r="P65" i="5"/>
  <c r="S65" i="5" s="1"/>
  <c r="P64" i="5"/>
  <c r="S64" i="5" s="1"/>
  <c r="P63" i="5"/>
  <c r="S63" i="5" s="1"/>
  <c r="P62" i="5"/>
  <c r="S62" i="5" s="1"/>
  <c r="P61" i="5"/>
  <c r="S61" i="5" s="1"/>
  <c r="K61" i="5"/>
  <c r="V58" i="5"/>
  <c r="V57" i="5"/>
  <c r="P57" i="5"/>
  <c r="S57" i="5" s="1"/>
  <c r="V56" i="5"/>
  <c r="P56" i="5"/>
  <c r="S56" i="5" s="1"/>
  <c r="V55" i="5"/>
  <c r="P55" i="5"/>
  <c r="S55" i="5" s="1"/>
  <c r="P54" i="5"/>
  <c r="S54" i="5" s="1"/>
  <c r="P53" i="5"/>
  <c r="S53" i="5" s="1"/>
  <c r="P52" i="5"/>
  <c r="S52" i="5" s="1"/>
  <c r="V51" i="5"/>
  <c r="P51" i="5"/>
  <c r="S51" i="5" s="1"/>
  <c r="P50" i="5"/>
  <c r="S50" i="5" s="1"/>
  <c r="P49" i="5"/>
  <c r="S49" i="5" s="1"/>
  <c r="P17" i="5"/>
  <c r="S17" i="5" l="1"/>
  <c r="T17" i="5"/>
  <c r="W17" i="5" s="1"/>
  <c r="W27" i="5" s="1"/>
  <c r="T56" i="5"/>
  <c r="T63" i="5"/>
  <c r="T73" i="5"/>
  <c r="T99" i="5"/>
  <c r="U150" i="5"/>
  <c r="W150" i="5" s="1"/>
  <c r="T51" i="5"/>
  <c r="W51" i="5" s="1"/>
  <c r="T54" i="5"/>
  <c r="T64" i="5"/>
  <c r="T69" i="5"/>
  <c r="W69" i="5" s="1"/>
  <c r="T74" i="5"/>
  <c r="W74" i="5" s="1"/>
  <c r="T78" i="5"/>
  <c r="T92" i="5"/>
  <c r="T119" i="5"/>
  <c r="T153" i="5"/>
  <c r="T53" i="5"/>
  <c r="T94" i="5"/>
  <c r="T104" i="5"/>
  <c r="T57" i="5"/>
  <c r="W57" i="5" s="1"/>
  <c r="T65" i="5"/>
  <c r="T75" i="5"/>
  <c r="W75" i="5" s="1"/>
  <c r="T79" i="5"/>
  <c r="W79" i="5" s="1"/>
  <c r="T90" i="5"/>
  <c r="T93" i="5"/>
  <c r="T95" i="5"/>
  <c r="T97" i="5"/>
  <c r="T106" i="5"/>
  <c r="T111" i="5"/>
  <c r="T120" i="5"/>
  <c r="T50" i="5"/>
  <c r="W50" i="5" s="1"/>
  <c r="T77" i="5"/>
  <c r="W77" i="5" s="1"/>
  <c r="T96" i="5"/>
  <c r="T107" i="5"/>
  <c r="T122" i="5"/>
  <c r="P27" i="5"/>
  <c r="T55" i="5"/>
  <c r="T61" i="5"/>
  <c r="T70" i="5"/>
  <c r="W70" i="5" s="1"/>
  <c r="T49" i="5"/>
  <c r="W49" i="5" s="1"/>
  <c r="T52" i="5"/>
  <c r="T62" i="5"/>
  <c r="T66" i="5"/>
  <c r="T71" i="5"/>
  <c r="W71" i="5" s="1"/>
  <c r="T76" i="5"/>
  <c r="T80" i="5"/>
  <c r="W80" i="5" s="1"/>
  <c r="T117" i="5"/>
  <c r="T121" i="5"/>
  <c r="H139" i="5"/>
  <c r="K139" i="5" s="1"/>
  <c r="H147" i="5"/>
  <c r="K147" i="5" s="1"/>
  <c r="O11" i="5"/>
  <c r="Q11" i="5" s="1"/>
  <c r="K146" i="5"/>
  <c r="V11" i="5"/>
  <c r="H104" i="5"/>
  <c r="L104" i="5" s="1"/>
  <c r="H107" i="5"/>
  <c r="U107" i="5" s="1"/>
  <c r="W107" i="5" s="1"/>
  <c r="H100" i="5"/>
  <c r="K100" i="5" s="1"/>
  <c r="K130" i="5"/>
  <c r="K141" i="5"/>
  <c r="L153" i="5"/>
  <c r="K153" i="5"/>
  <c r="L122" i="5"/>
  <c r="K122" i="5"/>
  <c r="K62" i="5"/>
  <c r="K64" i="5"/>
  <c r="K105" i="5"/>
  <c r="L119" i="5"/>
  <c r="L121" i="5"/>
  <c r="K121" i="5"/>
  <c r="L120" i="5"/>
  <c r="K120" i="5"/>
  <c r="K66" i="5"/>
  <c r="K71" i="5"/>
  <c r="K54" i="5"/>
  <c r="K63" i="5"/>
  <c r="K65" i="5"/>
  <c r="K70" i="5"/>
  <c r="L106" i="5"/>
  <c r="K106" i="5"/>
  <c r="L108" i="5"/>
  <c r="K108" i="5"/>
  <c r="L110" i="5"/>
  <c r="U111" i="5"/>
  <c r="W111" i="5" s="1"/>
  <c r="U162" i="5"/>
  <c r="W162" i="5" s="1"/>
  <c r="U53" i="5"/>
  <c r="U130" i="5"/>
  <c r="W130" i="5" s="1"/>
  <c r="U84" i="5"/>
  <c r="W84" i="5" s="1"/>
  <c r="U52" i="5"/>
  <c r="U86" i="5"/>
  <c r="U135" i="5"/>
  <c r="W135" i="5" s="1"/>
  <c r="U132" i="5"/>
  <c r="W132" i="5" s="1"/>
  <c r="U134" i="5"/>
  <c r="W134" i="5" s="1"/>
  <c r="T109" i="5"/>
  <c r="U108" i="5"/>
  <c r="W108" i="5" s="1"/>
  <c r="U125" i="5"/>
  <c r="W125" i="5" s="1"/>
  <c r="U133" i="5"/>
  <c r="W133" i="5" s="1"/>
  <c r="P154" i="5"/>
  <c r="S154" i="5" s="1"/>
  <c r="U141" i="5"/>
  <c r="W141" i="5" s="1"/>
  <c r="U153" i="5"/>
  <c r="W153" i="5" s="1"/>
  <c r="U161" i="5"/>
  <c r="W161" i="5" s="1"/>
  <c r="P168" i="5"/>
  <c r="S168" i="5" s="1"/>
  <c r="W53" i="5"/>
  <c r="U56" i="5"/>
  <c r="U145" i="5"/>
  <c r="W145" i="5" s="1"/>
  <c r="K72" i="5"/>
  <c r="T91" i="5"/>
  <c r="T105" i="5"/>
  <c r="L109" i="5"/>
  <c r="U122" i="5"/>
  <c r="W122" i="5" s="1"/>
  <c r="U87" i="5"/>
  <c r="U129" i="5"/>
  <c r="W129" i="5" s="1"/>
  <c r="U118" i="5"/>
  <c r="W118" i="5" s="1"/>
  <c r="U51" i="5"/>
  <c r="U69" i="5"/>
  <c r="U74" i="5"/>
  <c r="U76" i="5"/>
  <c r="U78" i="5"/>
  <c r="U80" i="5"/>
  <c r="U90" i="5"/>
  <c r="W90" i="5" s="1"/>
  <c r="U92" i="5"/>
  <c r="W92" i="5" s="1"/>
  <c r="U94" i="5"/>
  <c r="W94" i="5" s="1"/>
  <c r="U96" i="5"/>
  <c r="W96" i="5" s="1"/>
  <c r="U99" i="5"/>
  <c r="W99" i="5" s="1"/>
  <c r="U166" i="5"/>
  <c r="W166" i="5" s="1"/>
  <c r="P48" i="5"/>
  <c r="S48" i="5" s="1"/>
  <c r="U50" i="5"/>
  <c r="U63" i="5"/>
  <c r="W63" i="5" s="1"/>
  <c r="W76" i="5"/>
  <c r="W78" i="5"/>
  <c r="U91" i="5"/>
  <c r="W91" i="5" s="1"/>
  <c r="U93" i="5"/>
  <c r="W93" i="5" s="1"/>
  <c r="U95" i="5"/>
  <c r="W95" i="5" s="1"/>
  <c r="U97" i="5"/>
  <c r="W97" i="5" s="1"/>
  <c r="U104" i="5"/>
  <c r="W104" i="5" s="1"/>
  <c r="U110" i="5"/>
  <c r="W110" i="5" s="1"/>
  <c r="U126" i="5"/>
  <c r="W126" i="5" s="1"/>
  <c r="U138" i="5"/>
  <c r="W138" i="5" s="1"/>
  <c r="U167" i="5"/>
  <c r="W167" i="5" s="1"/>
  <c r="W54" i="5"/>
  <c r="W52" i="5"/>
  <c r="U71" i="5"/>
  <c r="U73" i="5"/>
  <c r="U75" i="5"/>
  <c r="U77" i="5"/>
  <c r="U79" i="5"/>
  <c r="P139" i="5"/>
  <c r="U131" i="5"/>
  <c r="W131" i="5" s="1"/>
  <c r="U144" i="5"/>
  <c r="W144" i="5" s="1"/>
  <c r="U146" i="5"/>
  <c r="W146" i="5" s="1"/>
  <c r="P164" i="5"/>
  <c r="S164" i="5" s="1"/>
  <c r="P58" i="5"/>
  <c r="S58" i="5" s="1"/>
  <c r="U156" i="5"/>
  <c r="W156" i="5" s="1"/>
  <c r="P88" i="5"/>
  <c r="S88" i="5" s="1"/>
  <c r="U85" i="5"/>
  <c r="W85" i="5" s="1"/>
  <c r="U54" i="5"/>
  <c r="W55" i="5"/>
  <c r="W56" i="5"/>
  <c r="U62" i="5"/>
  <c r="W62" i="5" s="1"/>
  <c r="T68" i="5"/>
  <c r="P72" i="5"/>
  <c r="S72" i="5" s="1"/>
  <c r="U103" i="5"/>
  <c r="T108" i="5"/>
  <c r="P123" i="5"/>
  <c r="S123" i="5" s="1"/>
  <c r="U121" i="5"/>
  <c r="W121" i="5" s="1"/>
  <c r="U149" i="5"/>
  <c r="W149" i="5" s="1"/>
  <c r="U105" i="5"/>
  <c r="W105" i="5" s="1"/>
  <c r="P112" i="5"/>
  <c r="W73" i="5"/>
  <c r="T48" i="5"/>
  <c r="U49" i="5"/>
  <c r="U55" i="5"/>
  <c r="U57" i="5"/>
  <c r="U61" i="5"/>
  <c r="U64" i="5"/>
  <c r="W64" i="5" s="1"/>
  <c r="U89" i="5"/>
  <c r="U119" i="5"/>
  <c r="W119" i="5" s="1"/>
  <c r="P147" i="5"/>
  <c r="S147" i="5" s="1"/>
  <c r="U163" i="5"/>
  <c r="W163" i="5" s="1"/>
  <c r="U17" i="5"/>
  <c r="P67" i="5"/>
  <c r="S67" i="5" s="1"/>
  <c r="U65" i="5"/>
  <c r="W65" i="5" s="1"/>
  <c r="U70" i="5"/>
  <c r="P81" i="5"/>
  <c r="S81" i="5" s="1"/>
  <c r="P100" i="5"/>
  <c r="S100" i="5" s="1"/>
  <c r="U106" i="5"/>
  <c r="W106" i="5" s="1"/>
  <c r="U109" i="5"/>
  <c r="W109" i="5" s="1"/>
  <c r="U117" i="5"/>
  <c r="W117" i="5" s="1"/>
  <c r="U120" i="5"/>
  <c r="W120" i="5" s="1"/>
  <c r="U127" i="5"/>
  <c r="W127" i="5" s="1"/>
  <c r="U137" i="5"/>
  <c r="W137" i="5" s="1"/>
  <c r="U142" i="5"/>
  <c r="W142" i="5" s="1"/>
  <c r="U160" i="5"/>
  <c r="W160" i="5" s="1"/>
  <c r="U66" i="5"/>
  <c r="W66" i="5" s="1"/>
  <c r="T110" i="5"/>
  <c r="U158" i="5"/>
  <c r="W158" i="5" s="1"/>
  <c r="U68" i="5"/>
  <c r="W154" i="5" l="1"/>
  <c r="W123" i="5"/>
  <c r="T58" i="5"/>
  <c r="W168" i="5"/>
  <c r="T81" i="5"/>
  <c r="W147" i="5"/>
  <c r="P113" i="5"/>
  <c r="S113" i="5" s="1"/>
  <c r="S112" i="5"/>
  <c r="W164" i="5"/>
  <c r="W139" i="5"/>
  <c r="T67" i="5"/>
  <c r="T100" i="5"/>
  <c r="T101" i="5" s="1"/>
  <c r="H169" i="5"/>
  <c r="H177" i="5" s="1"/>
  <c r="L123" i="5"/>
  <c r="H112" i="5"/>
  <c r="H113" i="5" s="1"/>
  <c r="O10" i="5" s="1"/>
  <c r="L107" i="5"/>
  <c r="L112" i="5" s="1"/>
  <c r="L113" i="5" s="1"/>
  <c r="V12" i="5"/>
  <c r="X11" i="5"/>
  <c r="K107" i="5"/>
  <c r="K104" i="5"/>
  <c r="H101" i="5"/>
  <c r="AA10" i="5" s="1"/>
  <c r="I100" i="5"/>
  <c r="U147" i="5"/>
  <c r="U168" i="5"/>
  <c r="T112" i="5"/>
  <c r="T113" i="5" s="1"/>
  <c r="W88" i="5"/>
  <c r="P82" i="5"/>
  <c r="S82" i="5" s="1"/>
  <c r="U139" i="5"/>
  <c r="P101" i="5"/>
  <c r="S101" i="5" s="1"/>
  <c r="K82" i="5"/>
  <c r="U88" i="5"/>
  <c r="U48" i="5"/>
  <c r="U81" i="5"/>
  <c r="U72" i="5"/>
  <c r="W81" i="5"/>
  <c r="P169" i="5"/>
  <c r="W58" i="5"/>
  <c r="U112" i="5"/>
  <c r="U113" i="5" s="1"/>
  <c r="W103" i="5"/>
  <c r="W112" i="5" s="1"/>
  <c r="W113" i="5" s="1"/>
  <c r="U58" i="5"/>
  <c r="P59" i="5"/>
  <c r="S59" i="5" s="1"/>
  <c r="U164" i="5"/>
  <c r="U27" i="5"/>
  <c r="U100" i="5"/>
  <c r="W89" i="5"/>
  <c r="W100" i="5" s="1"/>
  <c r="W61" i="5"/>
  <c r="W67" i="5" s="1"/>
  <c r="U67" i="5"/>
  <c r="W48" i="5"/>
  <c r="T72" i="5"/>
  <c r="W68" i="5"/>
  <c r="W72" i="5" s="1"/>
  <c r="U123" i="5"/>
  <c r="U154" i="5"/>
  <c r="T27" i="5"/>
  <c r="T59" i="5" l="1"/>
  <c r="T82" i="5"/>
  <c r="T114" i="5" s="1"/>
  <c r="T171" i="5" s="1"/>
  <c r="S169" i="5"/>
  <c r="P177" i="5"/>
  <c r="W169" i="5"/>
  <c r="K169" i="5"/>
  <c r="O12" i="5"/>
  <c r="O13" i="5" s="1"/>
  <c r="L114" i="5"/>
  <c r="L171" i="5" s="1"/>
  <c r="L172" i="5" s="1"/>
  <c r="K172" i="5" s="1"/>
  <c r="I112" i="5"/>
  <c r="K112" i="5"/>
  <c r="K113" i="5"/>
  <c r="AA12" i="5"/>
  <c r="AC10" i="5"/>
  <c r="V13" i="5"/>
  <c r="X13" i="5" s="1"/>
  <c r="X12" i="5"/>
  <c r="I101" i="5"/>
  <c r="K101" i="5"/>
  <c r="X48" i="5"/>
  <c r="U101" i="5"/>
  <c r="W82" i="5"/>
  <c r="U82" i="5"/>
  <c r="X27" i="5"/>
  <c r="P114" i="5"/>
  <c r="U59" i="5"/>
  <c r="U169" i="5"/>
  <c r="W101" i="5"/>
  <c r="X100" i="5"/>
  <c r="X58" i="5"/>
  <c r="P171" i="5" l="1"/>
  <c r="S171" i="5" s="1"/>
  <c r="S114" i="5"/>
  <c r="P172" i="5"/>
  <c r="T172" i="5"/>
  <c r="S172" i="5" s="1"/>
  <c r="U114" i="5"/>
  <c r="H114" i="5"/>
  <c r="H171" i="5" s="1"/>
  <c r="H173" i="5" s="1"/>
  <c r="I173" i="5" s="1"/>
  <c r="AA13" i="5"/>
  <c r="AC13" i="5" s="1"/>
  <c r="AC12" i="5"/>
  <c r="Q10" i="5"/>
  <c r="I113" i="5"/>
  <c r="P173" i="5"/>
  <c r="S173" i="5" s="1"/>
  <c r="W59" i="5"/>
  <c r="X59" i="5" s="1"/>
  <c r="T178" i="5"/>
  <c r="P178" i="5" l="1"/>
  <c r="I114" i="5"/>
  <c r="K114" i="5"/>
  <c r="W114" i="5"/>
  <c r="W171" i="5" s="1"/>
  <c r="Q13" i="5"/>
  <c r="Q12" i="5"/>
  <c r="U171" i="5"/>
  <c r="U173" i="5" l="1"/>
  <c r="V169" i="5"/>
  <c r="P180" i="5"/>
  <c r="S178" i="5"/>
  <c r="I177" i="5"/>
  <c r="K171" i="5"/>
  <c r="U178" i="5"/>
  <c r="C7" i="5" s="1"/>
  <c r="C9" i="5" s="1"/>
  <c r="S180" i="5" l="1"/>
  <c r="K173" i="5"/>
  <c r="H178" i="5"/>
  <c r="U180" i="5"/>
  <c r="K178" i="5" l="1"/>
  <c r="H180" i="5"/>
  <c r="W172" i="5"/>
  <c r="V172" i="5" s="1"/>
</calcChain>
</file>

<file path=xl/comments1.xml><?xml version="1.0" encoding="utf-8"?>
<comments xmlns="http://schemas.openxmlformats.org/spreadsheetml/2006/main">
  <authors>
    <author>unhabitat kisthanga</author>
  </authors>
  <commentList>
    <comment ref="Y47" authorId="0" shapeId="0">
      <text>
        <r>
          <rPr>
            <b/>
            <sz val="9"/>
            <color indexed="81"/>
            <rFont val="Tahoma"/>
            <family val="2"/>
          </rPr>
          <t>unhabitat kisthanga:</t>
        </r>
        <r>
          <rPr>
            <sz val="9"/>
            <color indexed="81"/>
            <rFont val="Tahoma"/>
            <family val="2"/>
          </rPr>
          <t xml:space="preserve">
le premier rapport finacier couvrait la période du début jusqu'en septembre 2018. Cette ligne n'avait pas connu des dépenses pendant la période du ce rapport. C'est pourquit le meme chiffre apparait dans ce rapport du deuxième semestre 2018</t>
        </r>
      </text>
    </comment>
    <comment ref="Z52" authorId="0" shapeId="0">
      <text>
        <r>
          <rPr>
            <b/>
            <sz val="9"/>
            <color indexed="81"/>
            <rFont val="Tahoma"/>
            <family val="2"/>
          </rPr>
          <t>unhabitat kisthanga:</t>
        </r>
        <r>
          <rPr>
            <sz val="9"/>
            <color indexed="81"/>
            <rFont val="Tahoma"/>
            <family val="2"/>
          </rPr>
          <t xml:space="preserve">
unhabitat kisthanga:
le premier rapport finacier couvrait la période du début jusqu'en septembre 2018. Cette ligne n'avait pas connu des dépenses pendant la période du ce rapport. C'est pourquit le meme chiffre apparait dans ce rapport du deuxième semestre 2018</t>
        </r>
      </text>
    </comment>
    <comment ref="Y128" authorId="0" shapeId="0">
      <text>
        <r>
          <rPr>
            <b/>
            <sz val="9"/>
            <color indexed="81"/>
            <rFont val="Tahoma"/>
            <family val="2"/>
          </rPr>
          <t>unhabitat kisthanga:</t>
        </r>
        <r>
          <rPr>
            <sz val="9"/>
            <color indexed="81"/>
            <rFont val="Tahoma"/>
            <family val="2"/>
          </rPr>
          <t xml:space="preserve">
Cette ligne est vide et donc à écraser et ne contient pas aucun chiffre. A écraser</t>
        </r>
      </text>
    </comment>
    <comment ref="Y143" authorId="0" shapeId="0">
      <text>
        <r>
          <rPr>
            <b/>
            <sz val="9"/>
            <color indexed="81"/>
            <rFont val="Tahoma"/>
            <family val="2"/>
          </rPr>
          <t>unhabitat kisthanga:</t>
        </r>
        <r>
          <rPr>
            <sz val="9"/>
            <color indexed="81"/>
            <rFont val="Tahoma"/>
            <family val="2"/>
          </rPr>
          <t xml:space="preserve">
Cette ligne est vide et donc à écraser et ne contient pas aucun chiffre. A écraser</t>
        </r>
      </text>
    </comment>
    <comment ref="Y151" authorId="0" shapeId="0">
      <text>
        <r>
          <rPr>
            <b/>
            <sz val="9"/>
            <color indexed="81"/>
            <rFont val="Tahoma"/>
            <family val="2"/>
          </rPr>
          <t>unhabitat kisthanga:</t>
        </r>
        <r>
          <rPr>
            <sz val="9"/>
            <color indexed="81"/>
            <rFont val="Tahoma"/>
            <family val="2"/>
          </rPr>
          <t xml:space="preserve">
Cette ligne est vide et donc à écraser et ne contient pas aucun chiffre. A écraser</t>
        </r>
      </text>
    </comment>
    <comment ref="Y152" authorId="0" shapeId="0">
      <text>
        <r>
          <rPr>
            <b/>
            <sz val="9"/>
            <color indexed="81"/>
            <rFont val="Tahoma"/>
            <family val="2"/>
          </rPr>
          <t>unhabitat kisthanga:</t>
        </r>
        <r>
          <rPr>
            <sz val="9"/>
            <color indexed="81"/>
            <rFont val="Tahoma"/>
            <family val="2"/>
          </rPr>
          <t xml:space="preserve">
Cette ligne est vide et donc à écraser et ne contient pas aucun chiffre. A écraser</t>
        </r>
      </text>
    </comment>
    <comment ref="Y157" authorId="0" shapeId="0">
      <text>
        <r>
          <rPr>
            <b/>
            <sz val="9"/>
            <color indexed="81"/>
            <rFont val="Tahoma"/>
            <family val="2"/>
          </rPr>
          <t>unhabitat kisthanga:</t>
        </r>
        <r>
          <rPr>
            <sz val="9"/>
            <color indexed="81"/>
            <rFont val="Tahoma"/>
            <family val="2"/>
          </rPr>
          <t xml:space="preserve">
Cette ligne est vide et donc à écraser et ne contient pas aucun chiffre. A écraser</t>
        </r>
      </text>
    </comment>
    <comment ref="Y159" authorId="0" shapeId="0">
      <text>
        <r>
          <rPr>
            <b/>
            <sz val="9"/>
            <color indexed="81"/>
            <rFont val="Tahoma"/>
            <family val="2"/>
          </rPr>
          <t>unhabitat kisthanga:</t>
        </r>
        <r>
          <rPr>
            <sz val="9"/>
            <color indexed="81"/>
            <rFont val="Tahoma"/>
            <family val="2"/>
          </rPr>
          <t xml:space="preserve">
Cette ligne est vide et donc à écraser et ne contient pas aucun chiffre. A écraser</t>
        </r>
      </text>
    </comment>
  </commentList>
</comments>
</file>

<file path=xl/comments2.xml><?xml version="1.0" encoding="utf-8"?>
<comments xmlns="http://schemas.openxmlformats.org/spreadsheetml/2006/main">
  <authors>
    <author>unhabitat kisthanga</author>
  </authors>
  <commentList>
    <comment ref="B29" authorId="0" shapeId="0">
      <text>
        <r>
          <rPr>
            <b/>
            <sz val="9"/>
            <color indexed="81"/>
            <rFont val="Tahoma"/>
            <family val="2"/>
          </rPr>
          <t>unhabitat kisthanga:</t>
        </r>
        <r>
          <rPr>
            <sz val="9"/>
            <color indexed="81"/>
            <rFont val="Tahoma"/>
            <family val="2"/>
          </rPr>
          <t xml:space="preserve">
</t>
        </r>
      </text>
    </comment>
    <comment ref="B30" authorId="0" shapeId="0">
      <text>
        <r>
          <rPr>
            <b/>
            <sz val="9"/>
            <color indexed="81"/>
            <rFont val="Tahoma"/>
            <family val="2"/>
          </rPr>
          <t>unhabitat kisthanga:</t>
        </r>
        <r>
          <rPr>
            <sz val="9"/>
            <color indexed="81"/>
            <rFont val="Tahoma"/>
            <family val="2"/>
          </rPr>
          <t xml:space="preserve">
Bien que le partenaire de miise en oeuvre ait reçu les fonds, le processus d'achat des matériels est en cours</t>
        </r>
      </text>
    </comment>
    <comment ref="B38" authorId="0" shapeId="0">
      <text>
        <r>
          <rPr>
            <b/>
            <sz val="9"/>
            <color indexed="81"/>
            <rFont val="Tahoma"/>
            <family val="2"/>
          </rPr>
          <t>unhabitat kisthanga:</t>
        </r>
        <r>
          <rPr>
            <sz val="9"/>
            <color indexed="81"/>
            <rFont val="Tahoma"/>
            <family val="2"/>
          </rPr>
          <t xml:space="preserve">
Un collectif 'CAFPDI) n'a pas encore reçu tous les fonds alloués à la première année (10000USD)</t>
        </r>
      </text>
    </comment>
    <comment ref="B45" authorId="0" shapeId="0">
      <text>
        <r>
          <rPr>
            <b/>
            <sz val="9"/>
            <color indexed="81"/>
            <rFont val="Tahoma"/>
            <family val="2"/>
          </rPr>
          <t>unhabitat kisthanga:</t>
        </r>
        <r>
          <rPr>
            <sz val="9"/>
            <color indexed="81"/>
            <rFont val="Tahoma"/>
            <family val="2"/>
          </rPr>
          <t xml:space="preserve">
le renforcement des capacités d'action des membres d la sous coordination foncière est encours </t>
        </r>
      </text>
    </comment>
    <comment ref="Y47" authorId="0" shapeId="0">
      <text>
        <r>
          <rPr>
            <b/>
            <sz val="9"/>
            <color indexed="81"/>
            <rFont val="Tahoma"/>
            <family val="2"/>
          </rPr>
          <t>unhabitat kisthanga:</t>
        </r>
        <r>
          <rPr>
            <sz val="9"/>
            <color indexed="81"/>
            <rFont val="Tahoma"/>
            <family val="2"/>
          </rPr>
          <t xml:space="preserve">
le premier rapport finacier couvrait la période du début jusqu'en septembre 2018. Cette ligne n'avait pas connu des dépenses pendant la période du ce rapport. C'est pourquit le meme chiffre apparait dans ce rapport du deuxième semestre 2018</t>
        </r>
      </text>
    </comment>
    <comment ref="B50" authorId="0" shapeId="0">
      <text>
        <r>
          <rPr>
            <b/>
            <sz val="9"/>
            <color indexed="81"/>
            <rFont val="Tahoma"/>
            <family val="2"/>
          </rPr>
          <t>unhabitat kisthanga:</t>
        </r>
        <r>
          <rPr>
            <sz val="9"/>
            <color indexed="81"/>
            <rFont val="Tahoma"/>
            <family val="2"/>
          </rPr>
          <t xml:space="preserve">
Le rapport est en cours de rédaction</t>
        </r>
      </text>
    </comment>
    <comment ref="Z52" authorId="0" shapeId="0">
      <text>
        <r>
          <rPr>
            <b/>
            <sz val="9"/>
            <color indexed="81"/>
            <rFont val="Tahoma"/>
            <family val="2"/>
          </rPr>
          <t>unhabitat kisthanga:</t>
        </r>
        <r>
          <rPr>
            <sz val="9"/>
            <color indexed="81"/>
            <rFont val="Tahoma"/>
            <family val="2"/>
          </rPr>
          <t xml:space="preserve">
unhabitat kisthanga:
le premier rapport finacier couvrait la période du début jusqu'en septembre 2018. Cette ligne n'avait pas connu des dépenses pendant la période du ce rapport. C'est pourquit le meme chiffre apparait dans ce rapport du deuxième semestre 2018</t>
        </r>
      </text>
    </comment>
    <comment ref="B62" authorId="0" shapeId="0">
      <text>
        <r>
          <rPr>
            <b/>
            <sz val="9"/>
            <color indexed="81"/>
            <rFont val="Tahoma"/>
            <family val="2"/>
          </rPr>
          <t>unhabitat kisthanga:</t>
        </r>
        <r>
          <rPr>
            <sz val="9"/>
            <color indexed="81"/>
            <rFont val="Tahoma"/>
            <family val="2"/>
          </rPr>
          <t xml:space="preserve">
La deuxième serie de formation des bénéficiaires des AGRs n'a pas encore eu lieu, la dernière dotation des  AGRs va intervenir après la formation</t>
        </r>
      </text>
    </comment>
    <comment ref="B65" authorId="0" shapeId="0">
      <text>
        <r>
          <rPr>
            <b/>
            <sz val="9"/>
            <color indexed="81"/>
            <rFont val="Tahoma"/>
            <family val="2"/>
          </rPr>
          <t>unhabitat kisthanga:</t>
        </r>
        <r>
          <rPr>
            <sz val="9"/>
            <color indexed="81"/>
            <rFont val="Tahoma"/>
            <family val="2"/>
          </rPr>
          <t xml:space="preserve">
L'etude a été ménée par le consultant, mais nous attendons la publication du rapport</t>
        </r>
      </text>
    </comment>
    <comment ref="B77" authorId="0" shapeId="0">
      <text>
        <r>
          <rPr>
            <b/>
            <sz val="9"/>
            <color indexed="81"/>
            <rFont val="Tahoma"/>
            <family val="2"/>
          </rPr>
          <t>unhabitat kisthanga:</t>
        </r>
        <r>
          <rPr>
            <sz val="9"/>
            <color indexed="81"/>
            <rFont val="Tahoma"/>
            <family val="2"/>
          </rPr>
          <t xml:space="preserve">
En cours de réalisation</t>
        </r>
      </text>
    </comment>
    <comment ref="Y128" authorId="0" shapeId="0">
      <text>
        <r>
          <rPr>
            <b/>
            <sz val="9"/>
            <color indexed="81"/>
            <rFont val="Tahoma"/>
            <family val="2"/>
          </rPr>
          <t>unhabitat kisthanga:</t>
        </r>
        <r>
          <rPr>
            <sz val="9"/>
            <color indexed="81"/>
            <rFont val="Tahoma"/>
            <family val="2"/>
          </rPr>
          <t xml:space="preserve">
Cette ligne est vide et donc à écraser et ne contient pas aucun chiffre. A écraser</t>
        </r>
      </text>
    </comment>
    <comment ref="Y143" authorId="0" shapeId="0">
      <text>
        <r>
          <rPr>
            <b/>
            <sz val="9"/>
            <color indexed="81"/>
            <rFont val="Tahoma"/>
            <family val="2"/>
          </rPr>
          <t>unhabitat kisthanga:</t>
        </r>
        <r>
          <rPr>
            <sz val="9"/>
            <color indexed="81"/>
            <rFont val="Tahoma"/>
            <family val="2"/>
          </rPr>
          <t xml:space="preserve">
Cette ligne est vide et donc à écraser et ne contient pas aucun chiffre. A écraser</t>
        </r>
      </text>
    </comment>
    <comment ref="Y151" authorId="0" shapeId="0">
      <text>
        <r>
          <rPr>
            <b/>
            <sz val="9"/>
            <color indexed="81"/>
            <rFont val="Tahoma"/>
            <family val="2"/>
          </rPr>
          <t>unhabitat kisthanga:</t>
        </r>
        <r>
          <rPr>
            <sz val="9"/>
            <color indexed="81"/>
            <rFont val="Tahoma"/>
            <family val="2"/>
          </rPr>
          <t xml:space="preserve">
Cette ligne est vide et donc à écraser et ne contient pas aucun chiffre. A écraser</t>
        </r>
      </text>
    </comment>
    <comment ref="Y152" authorId="0" shapeId="0">
      <text>
        <r>
          <rPr>
            <b/>
            <sz val="9"/>
            <color indexed="81"/>
            <rFont val="Tahoma"/>
            <family val="2"/>
          </rPr>
          <t>unhabitat kisthanga:</t>
        </r>
        <r>
          <rPr>
            <sz val="9"/>
            <color indexed="81"/>
            <rFont val="Tahoma"/>
            <family val="2"/>
          </rPr>
          <t xml:space="preserve">
Cette ligne est vide et donc à écraser et ne contient pas aucun chiffre. A écraser</t>
        </r>
      </text>
    </comment>
    <comment ref="Y157" authorId="0" shapeId="0">
      <text>
        <r>
          <rPr>
            <b/>
            <sz val="9"/>
            <color indexed="81"/>
            <rFont val="Tahoma"/>
            <family val="2"/>
          </rPr>
          <t>unhabitat kisthanga:</t>
        </r>
        <r>
          <rPr>
            <sz val="9"/>
            <color indexed="81"/>
            <rFont val="Tahoma"/>
            <family val="2"/>
          </rPr>
          <t xml:space="preserve">
Cette ligne est vide et donc à écraser et ne contient pas aucun chiffre. A écraser</t>
        </r>
      </text>
    </comment>
    <comment ref="Y159" authorId="0" shapeId="0">
      <text>
        <r>
          <rPr>
            <b/>
            <sz val="9"/>
            <color indexed="81"/>
            <rFont val="Tahoma"/>
            <family val="2"/>
          </rPr>
          <t>unhabitat kisthanga:</t>
        </r>
        <r>
          <rPr>
            <sz val="9"/>
            <color indexed="81"/>
            <rFont val="Tahoma"/>
            <family val="2"/>
          </rPr>
          <t xml:space="preserve">
Cette ligne est vide et donc à écraser et ne contient pas aucun chiffre. A écraser</t>
        </r>
      </text>
    </comment>
  </commentList>
</comments>
</file>

<file path=xl/sharedStrings.xml><?xml version="1.0" encoding="utf-8"?>
<sst xmlns="http://schemas.openxmlformats.org/spreadsheetml/2006/main" count="1212" uniqueCount="313">
  <si>
    <t>Total</t>
  </si>
  <si>
    <t>CATEGORY</t>
  </si>
  <si>
    <t>GRAND TOTAL</t>
  </si>
  <si>
    <t>Year 1</t>
  </si>
  <si>
    <t>Year 2</t>
  </si>
  <si>
    <t>Notes:</t>
  </si>
  <si>
    <t>Quantite</t>
  </si>
  <si>
    <t>Cout Unitaire</t>
  </si>
  <si>
    <t>Duree/           Frequence</t>
  </si>
  <si>
    <t>PRODUITS</t>
  </si>
  <si>
    <t>ACTIVITES</t>
  </si>
  <si>
    <t xml:space="preserve"> Budget Année 1</t>
  </si>
  <si>
    <t>Budget Année 2</t>
  </si>
  <si>
    <t>BUDGET TOTAL</t>
  </si>
  <si>
    <t>Personnel et autres employés</t>
  </si>
  <si>
    <t>Fournitures, produits de base, materiels</t>
  </si>
  <si>
    <t>Frais de deplacement</t>
  </si>
  <si>
    <t>Frais generaux de fonctionnement et autres couts directs</t>
  </si>
  <si>
    <t xml:space="preserve">Total des Couts liés au Programme </t>
  </si>
  <si>
    <t xml:space="preserve">(c) Pour la Periode: </t>
  </si>
  <si>
    <t>(a) Nom de l'organisation:</t>
  </si>
  <si>
    <t>(b) Titre du Projet:</t>
  </si>
  <si>
    <t>% du Budget Genre</t>
  </si>
  <si>
    <t>Total Global</t>
  </si>
  <si>
    <t xml:space="preserve">Inserer/Supprimer autant de lignes que necessaires pour adjuster le budget au resultats/produits/activites </t>
  </si>
  <si>
    <t xml:space="preserve">Fonds de Coherence pour la Stabilisation: Budget par Activité </t>
  </si>
  <si>
    <t xml:space="preserve">Total </t>
  </si>
  <si>
    <t>Budget programmatique: Budget total/1.07</t>
  </si>
  <si>
    <t>SGG:  budget total/1.07*0.07</t>
  </si>
  <si>
    <t>Organisation Lead</t>
  </si>
  <si>
    <t>Equipements et mobilier</t>
  </si>
  <si>
    <t>% Total Budget</t>
  </si>
  <si>
    <t>Budget Narrative</t>
  </si>
  <si>
    <t>Sous-total Objective Specifique 1</t>
  </si>
  <si>
    <t>CATEGORIES DE DEPENSE*</t>
  </si>
  <si>
    <t xml:space="preserve">* Il y a sept categories:  1) Personnel et autres employés 2) Fournitures, produits de base, materiels 3) Equipements et mobilier 4) Services Contractuels 5) Frais de deplacement 6) Transferts et subventions 7) Frais generaux de fonctionnement et autres couts directs (Voir la note explicative sur  l’élaboration d’un budget à soumettre au Fonds) </t>
  </si>
  <si>
    <t xml:space="preserve">Services Contractuels </t>
  </si>
  <si>
    <t xml:space="preserve">Transferts et subventions </t>
  </si>
  <si>
    <t>Formulas (ne pas supprimer):</t>
  </si>
  <si>
    <t>Sous-total Objective Specifique 2</t>
  </si>
  <si>
    <t>Sous-total Objective Specifique 3</t>
  </si>
  <si>
    <t>SOUS-TOTAL COUTS DIRECTS DE SOUTIEN (ne peuvent représentés plus de 35% du budget total)</t>
  </si>
  <si>
    <t>SOUS-TOTAL COUTS DIRECTS LIES AUX ACTIVITES (au minimum 60% du budget total)</t>
  </si>
  <si>
    <t xml:space="preserve"> 1) Personnel et autres employés (lies au soutien)</t>
  </si>
  <si>
    <t xml:space="preserve"> 2) Fournitures, produits de base, materiels (lies au soutien)</t>
  </si>
  <si>
    <t>3) Equipements et mobilier (lies au soutien)</t>
  </si>
  <si>
    <t xml:space="preserve"> 4) Services Contractuels (lies au soutien)</t>
  </si>
  <si>
    <t>5) Frais de deplacement (lies au soutien)</t>
  </si>
  <si>
    <t xml:space="preserve">COUTS DIRECTS DE SOUTIEN </t>
  </si>
  <si>
    <t xml:space="preserve">** Ce sont des "Services Generaux de Gestion", qui sont calculés selon la formule suivante:  </t>
  </si>
  <si>
    <t>*** Chaque projet ISSSS doit assurer que 15% des fonds sont consacree a les objetifs sensible au genre (Voir les lignes directrices sur l'integration du Genre dans les programmes de stabilisation)</t>
  </si>
  <si>
    <t>* A completer par les agences des Nations Unies. Voir la note explicative sur l’élaboration d’un budget à soumettre au Fonds de Cohérence pour la Stabilisation.</t>
  </si>
  <si>
    <t>COUTS TOTAL DU PROGRAMME</t>
  </si>
  <si>
    <t>(d) Total du Budget Programmatique et Couts indirects (USD):</t>
  </si>
  <si>
    <t>Couts Indirects (max 7%)**</t>
  </si>
  <si>
    <t>GMS 7% Agent de Gestion (USD)****</t>
  </si>
  <si>
    <t>COUTS TOTAL (PROGRAMME + COUTS INDIRECTS)</t>
  </si>
  <si>
    <t>(e) GMS 7% Agent de Gestion (USD)****:</t>
  </si>
  <si>
    <t xml:space="preserve">**** Que si l'organisation lead est un ONGI, le Agent de Gestion (PNUD) recoit 7% du budget total (couts totales programmatique et couts indirects). </t>
  </si>
  <si>
    <t>(e) GMS 7% Agent de Gestion (USD)**:</t>
  </si>
  <si>
    <t xml:space="preserve">** Que si l'organisation lead est un ONGI, le Agent de Gestion (PNUD) recoit 7% du budget total (couts totales programmatique et couts indirects). </t>
  </si>
  <si>
    <t xml:space="preserve">(f)  GRAND TOTAL </t>
  </si>
  <si>
    <t>Couts Indirects (max 7%)</t>
  </si>
  <si>
    <t xml:space="preserve">(f) GRAND TOTAL </t>
  </si>
  <si>
    <t>Montant de l'activite lie au genre</t>
  </si>
  <si>
    <t>Montant total lie au genre</t>
  </si>
  <si>
    <t>% Budget total liee au genre ***</t>
  </si>
  <si>
    <t>Cout total lies au genre (min. 15%) ***</t>
  </si>
  <si>
    <t>UNHABITAT</t>
  </si>
  <si>
    <t>Fourniture de bureau</t>
  </si>
  <si>
    <t>Carburant et lubrifiant</t>
  </si>
  <si>
    <t>Assurance et mantainance Véhicule</t>
  </si>
  <si>
    <t>Mobilier de bureau</t>
  </si>
  <si>
    <t>3 lap top pour le personnel</t>
  </si>
  <si>
    <t>Kit et Abonnement internet</t>
  </si>
  <si>
    <t>loyer bureau</t>
  </si>
  <si>
    <t>Service de Gariennage et nettoyage bureau</t>
  </si>
  <si>
    <t xml:space="preserve">Imprimente et scanner </t>
  </si>
  <si>
    <t xml:space="preserve">Kit solaire et générateur </t>
  </si>
  <si>
    <t>Cordinnation des activités du consortium</t>
  </si>
  <si>
    <t>Baseline</t>
  </si>
  <si>
    <t>Révue annuelle</t>
  </si>
  <si>
    <t>Visibilité</t>
  </si>
  <si>
    <t>Evaluation finale</t>
  </si>
  <si>
    <t>Suivi et évaluation</t>
  </si>
  <si>
    <t xml:space="preserve">Réunion du comité de pilotage </t>
  </si>
  <si>
    <t>Chauffeur</t>
  </si>
  <si>
    <t xml:space="preserve">OBJECTIVE SPECIFIQUE 2:Renforcer la cohésion sociale et la résilience des communautés  grâce à des activités de réinsertion et de relance socioéconomique ciblant prioritairement les jeunes. 
</t>
  </si>
  <si>
    <t>Organiser 7 ateliers d’identification des activités génératrices de revenus porteuses à Kitchanga, Birambizo, Pinga et Nyanzale, Kikuku, Mweso et Kelembe ;</t>
  </si>
  <si>
    <t>UNFPA</t>
  </si>
  <si>
    <t>Accompagner les bénéficiaires dans la réalisation des AGR</t>
  </si>
  <si>
    <t>Organiser 7 ateliers d’identification des groupements d'intêret économique  à Kitchanga, Birambizo, Pinga et Nyanzale, Kikuku, Mweso et Kelembe ;</t>
  </si>
  <si>
    <t>Appuyer la mise en place et l'operationalisation de 7 groupements d’intérêts économiques des jeunes à Kitchanga, Birambizo, Pinga, Nyanzale, Kikuku, Mweso et Kelembe ;</t>
  </si>
  <si>
    <t>Former 300 jeunes, dont 120 filles, issus de l’enseignement formel en entreprenariat/leadership ;</t>
  </si>
  <si>
    <t>Financer 10 projets novateurs des jeunes entrepreneurs formés (2/localité dans 5 localités) ;</t>
  </si>
  <si>
    <t>Produit 2.3.La jeunesse dans la zone « Autour de Kitshanga participe à la consolidation de la paix.</t>
  </si>
  <si>
    <t>Appuyer la participation de 70  jeunes leaders aux comités locaux de pacification ;</t>
  </si>
  <si>
    <t>Organiser 56 activités conviviales en faveur  d’au moins 21 000 jeunes et adolescents;</t>
  </si>
  <si>
    <t>Créer/Renforcer les réseaux de jeunes selon le type d’activités génératrices des revenus ;</t>
  </si>
  <si>
    <t>Former 42 jeunes animateurs des fora de discussions sur les questions de population, la résolution de conflits, la sexualité responsable, la lutte contre la toxicomanie, etc ;</t>
  </si>
  <si>
    <t xml:space="preserve">Former 300 jeunes en compétences de vie (résolution de conflit, contrôle de la fécondité, la sexualité responsable, lutte contre la toxicomanie) dans la zone (à Kitchanga, Birambizo, Pinga et Nyanzale, Kikuku, Mweso et Kilembe). </t>
  </si>
  <si>
    <t>Appuyer l’organisation des 21 fora de discussions avec les jeunes de la ZP, axée sur la résolution de conflit, les questions de population, la sexualité responsable, lutte contre la toxicomanie, etc ;</t>
  </si>
  <si>
    <t>Organiser un atelier régional d’échange d’expériences entre jeunes en matière de consolidation de la paix.</t>
  </si>
  <si>
    <t>OBJECTIVE SPECIFIQUE 3 :Les niveaux de Violence Sexuelle et Basée sur le Genre (VSBG) sont réduits dans la zone prioritaire, grâce à la transformation des pratiques et des normes sociales négatives qui génèrent ce type de violence.</t>
  </si>
  <si>
    <t>UNESCO</t>
  </si>
  <si>
    <t>Tenir une table ronde communautaire sur la problématique du traitement inégal entre les filles et les garçons en famille, à l’école et dans la communauté</t>
  </si>
  <si>
    <t>Produit 3.2:300 leaders communautaires et les jeunes participent à la promotion du genre, de la culture de la paix dans leurs communautés</t>
  </si>
  <si>
    <t>Organiser un concours sur le genre et les VSBG et octroyer des prix aux dix meilleures « Ecoles sans violences »  dans chacun des axes du projet.</t>
  </si>
  <si>
    <t>Consommables de bureau</t>
  </si>
  <si>
    <t>Equipement  sécurité (hand set, thuraya, gilets, casques)</t>
  </si>
  <si>
    <t>Frais de mission</t>
  </si>
  <si>
    <t>Fonctionnement antenne de goma</t>
  </si>
  <si>
    <t>Appuyer les missions de descentes de terrain des agents de l'administration foncière pour faciliter l'accès des services fonciers aux populations.</t>
  </si>
  <si>
    <t>Appuyer les séances de plaidoyer pour l’accès à la terre avec les concessionnaires et chefs terriens ainsi que l’élaboration des conventions collectives locales entre les parties au processus d’accès à la terre.</t>
  </si>
  <si>
    <t>Produit 1.1.2: Les services de l'administration foncière sont appuyés</t>
  </si>
  <si>
    <t>Organiser 1 atelier sur l’état de lieu des services fonciers dans la circonscription foncière concernée (Évaluation de la performance de l’Administration foncière et des besoins  divers) avec les agents de l’administration foncière et  ministères impliqués dans la gestion foncière;</t>
  </si>
  <si>
    <t>Produit 1.1.3: Connaissances accrues des membres des communautés (hommes, femmes, groupes marginalisés) sur les mécanismes d'accès à la terre et de sécurisation foncière</t>
  </si>
  <si>
    <t>Organiser 3 journées portes ouvertes avec les membres des communautés (jeunes, femmes, étudiants, marchands, agriculteurs, éleveurs, …) sur les 3 axes d’interventions sur les thématiques foncières spécifiques des milieux</t>
  </si>
  <si>
    <t>Organiser 2 Conférences débats (matinées d’échange) avec les étudiants des Institutions supérieures et universitaires et élèves de niveau terminal, le tribunal, le cadastre et les chefs coutumiers sur la problématique foncière de la zone </t>
  </si>
  <si>
    <t>Produit 1.2.1: Des structures de coordination entre l'administration foncière, les autorités coutumières et la société civile sont opérationnelles</t>
  </si>
  <si>
    <t>Organiser 2 ateliers d’échange pour évaluer les principaux défis fonciers avec les parties prenantes et partenaires clés sur la gestion foncière ainsi que l’actualisation du mapping des intervenants et harmonisation des approches d’intervention,</t>
  </si>
  <si>
    <t>Appuyer le fonctionnement de la sous coordination foncière locale  pour les concertations relatives à la gestion participative de la terre avec l’implication des acteurs clés dans la zone ;</t>
  </si>
  <si>
    <t>Appuyer les membres de la sous coordination foncière locale dans l’opérationnalisation, le fonctionnement et le renforcement du système d'alerte précoce sur les conflits fonciers sur 3 axes d’intervention du projet ;</t>
  </si>
  <si>
    <t>Organiser 2 Ateliers de planification annuelle des activités de la Coordination foncière provinciale avec les ministères clés du foncier (ministère provincial en charge de l’agriculture et l’élevage, environnement, affaires foncières, mines), les députés provinciaux et les autres acteurs des ONG et Agences ayant un mandat foncier;</t>
  </si>
  <si>
    <t>Organiser 2 ateliers provinciaux sur l’analyse du cadre légal et institutionnel provincial et national relatif à la gestion des terres (avec les ministères provinciaux en charge de l’agriculture et l’élevage, plan, urbanisme et aménagement du territoire, environnement, affaires foncières, mines), les députés provinciaux et les autres acteurs des ONG et Agences ayant un mandat foncier en vue d’un plaidoyer.</t>
  </si>
  <si>
    <t>Organiser 1 Formation des Formateurs sur les MARC (méthodes alternatives de résolution des conflits, la transformation des conflits, le cadre légal foncier congolais, la transparence dans la gouvernance des terres, les mécanismes nationaux, régionaux et internationaux sur les droits fonciers des IDPS…) en faveur des autorités chargées de la gestion des terres (administration foncière, structures des femmes et des jeunes ainsi que les leaders communautaires et privés) </t>
  </si>
  <si>
    <t>Conduire une enquête (monitoring) et produire un répertoire et l’analyse des grandes concessions, des terres communautaires en conflit sur 3 axes </t>
  </si>
  <si>
    <t>10 séances de médiation des conflits fonciers complexes communautaires (avec les concessionnaires, les gestionnaires des aires protégées, les autorités locales et les leaders locaux),</t>
  </si>
  <si>
    <t>Soutenir 6 séances d’échanges inclusifs ouvert et constructifs sur les 3 axes entre Agriculteurs et Éleveurs, exploitants miniers et communautés riveraines du parc national des Virunga </t>
  </si>
  <si>
    <t>Appuyer l’opérationnalisation (fonctionnement, la redynamisation et renforcement des capacités) des comités mixtes Éleveurs – Agriculteurs,</t>
  </si>
  <si>
    <t>1 Formation des formateurs sur les tecnhiques de sensibilisation des masses sur les questions foncières (procédures relatives à l’acquisition des terres en milieu rural)</t>
  </si>
  <si>
    <t>Doter le ministère provincial en charge des affaires foncières d’une base de données sur les conflits fonciers</t>
  </si>
  <si>
    <t>Faciliter l’homologation des compromis (revêtir les accords privés d’un caractère exécutoire) auprès des instances judiciaires des milieux.</t>
  </si>
  <si>
    <t>Appuyer les activités de la sous coordination foncière de Kitshanga pour le suivi conjoint des conflits complexes sur les 3 axes d’intervention et le doter d’une base des données (appui technique et matériel)</t>
  </si>
  <si>
    <t>Produit 1.2.2: Des conflits fonciers sont identifiés et résolus dans la zone du projet</t>
  </si>
  <si>
    <t>Réunion du comité téchnique Provincial</t>
  </si>
  <si>
    <t>Visite terrain pour les membres du comité conjoint de suivi</t>
  </si>
  <si>
    <t>Atelier  de lancement, d' information, d'échange et d'engagement avec les parties prenantes provinciales</t>
  </si>
  <si>
    <t>Commis à l'Adminsitration, Finances et Logistiques</t>
  </si>
  <si>
    <t>Former 600 bénéficiaires dont 300 jeunes filles sur les techniques pratiques  de gestion des activités génératrices de revenus ;</t>
  </si>
  <si>
    <t>Appuyer les activités génératrices des revenues (individuelles ou collectives) de 600 bénéficiaires formés ;</t>
  </si>
  <si>
    <t>Mener une étude du marché pour les AGR identifiés</t>
  </si>
  <si>
    <t>Appuyer les travaux HIMO  pour le traitement des points chauds et labour</t>
  </si>
  <si>
    <t>Mettre en place/renforcer 3 Centres de jeunes pour l’encadrement des jeunes ;</t>
  </si>
  <si>
    <t>Associé au programme chargé de projet</t>
  </si>
  <si>
    <t>Lap Top</t>
  </si>
  <si>
    <t xml:space="preserve">Imprimante et scanner </t>
  </si>
  <si>
    <t>Achat moto</t>
  </si>
  <si>
    <t>Carburant moto</t>
  </si>
  <si>
    <t>Carburant vehicule</t>
  </si>
  <si>
    <t>Achat mobilier du bureau pour staff</t>
  </si>
  <si>
    <t>Frais de communication et visibilité ( credits et supports média)</t>
  </si>
  <si>
    <t>Maintenance et réparation véhicule et assurance moto</t>
  </si>
  <si>
    <t>Dépenses d'appui partenaires</t>
  </si>
  <si>
    <t>Frais bancaires</t>
  </si>
  <si>
    <t>Développer des outils de communication ( émissions radio, radio forum…)</t>
  </si>
  <si>
    <t>Sous-total activités des coordination</t>
  </si>
  <si>
    <t xml:space="preserve"> Appuyer 3 regroupements des femmes sur 3 axes (autonomisation des regroupements représentatifs des femmes par la formation des formateurs, l'appui fonctionnel et organisationnel) pour une meilleure prise en charge des questions foncières spécifiques impliquant les femmes ainsi que des sensibilisations sur la sécurisation foncière, les droits fonciers des femmes et leur accès à la terre (conjointement avec l’UNESCO);</t>
  </si>
  <si>
    <t xml:space="preserve"> Appuyer 3 regroupements  des jeunes sur 3 axes (autonomisation des regroupements représentatifs des jeunes par la formation des formateurs, l'appui fonctionnel et organisationnel) pour meilleure prise en charge des questions foncières spécifiques impliquant les jeunes (garçons et filles) ainsi que des sensibilisations sur la sécurisation foncière, les droits fonciers des jeunes et leur accès à la terre (conjointement avec l’UNFPA).</t>
  </si>
  <si>
    <t>Consortium UN-Habitat/UNESCO/UNFPA</t>
  </si>
  <si>
    <t>Gouvernance foncière, cohésion sociale, réinsertion socio-économique et prévention des Violences basées sur le Genre dans la zone prioritaire « autour de Kitshanga ». PAMOJA KWA AMANI NA MAENDELEO</t>
  </si>
  <si>
    <t>6) Frais généraux de fonctionnement et autres couts directs (lies au soutien)</t>
  </si>
  <si>
    <t xml:space="preserve">Organiser 1 ateliers de renforcement de capacité techniques des membres la sous coordination foncière locale  sur la planification foncière et gestion des terres rurale (processus et développement des outils) ; </t>
  </si>
  <si>
    <t>Organiser 1 atelier de renforcement des capacités sur l’éthique et la déontologie de l’agent public de l’Etat, l'archivage et l’utilisation des outils topographiques, la transparence dans la gestion des terres</t>
  </si>
  <si>
    <t>REPARTITION PAR AGENCE</t>
  </si>
  <si>
    <t>UN-Habitat</t>
  </si>
  <si>
    <t>Agence</t>
  </si>
  <si>
    <t>Année 1</t>
  </si>
  <si>
    <t>% Total de Budget</t>
  </si>
  <si>
    <t xml:space="preserve">Produit 3.1: capacités des leaders communautaires dans  la prévention des VSBG renforcées </t>
  </si>
  <si>
    <t>Appuyer l’organisation de 150 séances des causeries éducatives par les leaders formés en vue de la prévention des VSBG  dans les cinq sites  du programme</t>
  </si>
  <si>
    <t>Assurer l'effectivité des activités sur terrain (gestion des activités, suivi et évaluation)</t>
  </si>
  <si>
    <t>Soutenir 5 radios communautaires pour offrir des espaces d’échange et de communication pour le changement des comportements en faveur de la prévention des VSBG.</t>
  </si>
  <si>
    <t>Organiser 5 Ateliers dont un par site sur la masculinité et la féminité positive avec les jeunes  dont les ex-combattants</t>
  </si>
  <si>
    <t>Elaborer et reproduire les outils de communication pour le changement des comportements  en faveur de la prévention des VSBG</t>
  </si>
  <si>
    <t xml:space="preserve"> Organiser 5 Atelier de plaidoyers au près des leaders du secteur judiciaire et juridique en vue de l’application de la loi et la lutte contre l’impunité des VSBG </t>
  </si>
  <si>
    <t>  Organiser 10 réunions de plaidoyers (2 par site) auprès des autorités locales, leaders communautaires et traditionnels en vue de leur implication effective dans la lutte contre les VSBG et la promotion des droits des femmes et des enfants.</t>
  </si>
  <si>
    <t>Identifier ( de manière participative au sein de l’administration publique et traditionnelle) des nouveaux vecteurs de changement des comportements dans les communautés de la  ZP</t>
  </si>
  <si>
    <t xml:space="preserve">Assurer la visibilité des activités de l’objectif trois du programme
</t>
  </si>
  <si>
    <t>chauffeur</t>
  </si>
  <si>
    <t>Contribution aux charges communes (connexion internet)</t>
  </si>
  <si>
    <t xml:space="preserve">Budget Detaille trois catégories de dépenses </t>
  </si>
  <si>
    <t xml:space="preserve">Budget Total  </t>
  </si>
  <si>
    <t xml:space="preserve">1. Personnel et autres employés (max 15%) </t>
  </si>
  <si>
    <t>2. Fournitures, produits de base, materiels</t>
  </si>
  <si>
    <t>3. Equipements et mobilier</t>
  </si>
  <si>
    <t>4. Services Contractuels</t>
  </si>
  <si>
    <t>5. Frais de deplacement</t>
  </si>
  <si>
    <t>6. Transferts et subventions</t>
  </si>
  <si>
    <t>Contribution aux charges du Bureau</t>
  </si>
  <si>
    <t>Coordonnateur du projet</t>
  </si>
  <si>
    <t>TOTAL</t>
  </si>
  <si>
    <t>Annee/
Tranche 1</t>
  </si>
  <si>
    <t>%</t>
  </si>
  <si>
    <t>Appuyer l’opérationnalisation du projet par l’affectation d’un staff pour la mise en œuvre des activités sur terrain (  Assistant au projet)</t>
  </si>
  <si>
    <t>   Organiser 10 séances de Sensibilisation des femmes et des hommes sur le rôle de la femme dans le processus de développement,  les droits des femmes et la loi pour la lutte  contre les VSBG en RDC.</t>
  </si>
  <si>
    <t>Organiser 10 séances (,,, par site) de Sensibilisation des jeunes sur les droits humains, la sexualité responsable rôle, de la femme dans le processus de développement,  les droits des femmes et la loi contre les VSBG en RDC.</t>
  </si>
  <si>
    <t>Depense reelle</t>
  </si>
  <si>
    <t xml:space="preserve">% budget </t>
  </si>
  <si>
    <t>Achat lap top partenaire</t>
  </si>
  <si>
    <t>Kit et Abonnement internet partenaire</t>
  </si>
  <si>
    <t>Assurance et mantainance Véhicule partenaire location véhicule</t>
  </si>
  <si>
    <t>Loyer bureau partenaire</t>
  </si>
  <si>
    <t>Loyer bureau partenaire/bureau terrain</t>
  </si>
  <si>
    <t>Frais de mission partenaire</t>
  </si>
  <si>
    <t>Cout indirects UNESCO</t>
  </si>
  <si>
    <t>Cout indirects UNFPA</t>
  </si>
  <si>
    <t>Cout indirects UNHABITAT</t>
  </si>
  <si>
    <t>Dépenses engagées</t>
  </si>
  <si>
    <t>Financement reçu</t>
  </si>
  <si>
    <t>CONSORTIUM UNHABITAT</t>
  </si>
  <si>
    <t>TOTAL USD</t>
  </si>
  <si>
    <t>P ourcentage d'utilisation</t>
  </si>
  <si>
    <t xml:space="preserve"> Fonds de Coherence pour la Stabilisation: Budget par Categorie de Dépense* </t>
  </si>
  <si>
    <t xml:space="preserve"> TOTAL GENERAL </t>
  </si>
  <si>
    <t>Annee/
Tranche 2</t>
  </si>
  <si>
    <t xml:space="preserve"> TOTAL 
Annee 1 </t>
  </si>
  <si>
    <t xml:space="preserve"> TOTAL 
Annee 2 </t>
  </si>
  <si>
    <t xml:space="preserve"> Total 
 Projet </t>
  </si>
  <si>
    <t>7. Frais generaux de fonctionnement et autres couts directs (max 10%)</t>
  </si>
  <si>
    <t>Annéé 2</t>
  </si>
  <si>
    <t xml:space="preserve">% Total Budget </t>
  </si>
  <si>
    <t>Cout GMS 7%</t>
  </si>
  <si>
    <t>Pourcentage d'utilisation</t>
  </si>
  <si>
    <t>Couts directs de soutien</t>
  </si>
  <si>
    <t>Couts directs Activites et Coordination</t>
  </si>
  <si>
    <t>Depense reel</t>
  </si>
  <si>
    <t>Budget year 1</t>
  </si>
  <si>
    <t>CONSORTIUM UNFPA</t>
  </si>
  <si>
    <t xml:space="preserve">TOTAL +7% Agent de Gestion </t>
  </si>
  <si>
    <t>+7% Agent de Gestion</t>
  </si>
  <si>
    <t>CONSORTIUM UNESCO</t>
  </si>
  <si>
    <t>PNUNOs</t>
  </si>
  <si>
    <t>PMO</t>
  </si>
  <si>
    <t xml:space="preserve">Couts programmatique </t>
  </si>
  <si>
    <t xml:space="preserve">Couts indirect </t>
  </si>
  <si>
    <t>Total PNUNOs</t>
  </si>
  <si>
    <t>Cout GMS AG (PNUD) 7%</t>
  </si>
  <si>
    <t xml:space="preserve">Cout d'auit 1% </t>
  </si>
  <si>
    <t>TOTAL %</t>
  </si>
  <si>
    <t>Une formation a été tenue à Goma pour la premère année au mois de juillet 2018. Le deuxième atélier est prévu à la deuxième année de mise en oeuvre.</t>
  </si>
  <si>
    <t xml:space="preserve">Cette activité est actuellement en cours de réalisation (recutement du Consultant en cours). en fait, à l'issue des ateliers avec les leaders communautaires et leaders des jeunes pour l'identification des AGR porteuses et des bénéficiaires, il a été estimé important de mener l'étude après la première phase des activités.  </t>
  </si>
  <si>
    <t xml:space="preserve">La sous dépense du budget pour cette activité est liée au recrutement tardif du Chargé de Projet. Elle sera priorisée dans la 2ème phase (en 2019). </t>
  </si>
  <si>
    <t>La sous dépense du budget de cette activité est due à l'état des centres des jeunes ciblés. En fait, le projet avait prévu juste de revitaliser ces centres (réhabilitation sommaire et équipement), mais après un état des lieux, il a tété constaté que les besoins étaient plus importants. UNFPA a déjà mobilisé des fonds en interne pour suppléer au budget pour le centre des jeunes de Kitshanga et les travaux de construction sont maintenant en cours. Pour le centre des jeunes de Kikuku, des négociations sont en cours avec la Section DDR pour suppléer au budget dans le cadre du programme CVR.</t>
  </si>
  <si>
    <t>cette dotation en base des données interviendra  en 2019</t>
  </si>
  <si>
    <t>Au delà de l'appui à donner à la circonscription foncière de Masisi, il est prévu d'appuyer les brigades foncières pour 2019.</t>
  </si>
  <si>
    <t>Sur le plan programmatique, nous avions planifié 2 ateliers dont 1 à la première année et un autre pour l'an 2 (soit en 2019). Il reste donc un atélier qui va se tenir en 2019</t>
  </si>
  <si>
    <t>5 seances de médiation des conflits fonciers complexes sont déjà tenus et les autres 5 séances seront ménées en 2019</t>
  </si>
  <si>
    <t>L'appui de ces comités va continue progressivement sur l'année 2019</t>
  </si>
  <si>
    <t xml:space="preserve">Cette activité sera réalisée en 2019 étant donné que nous voudrions présenter plusieurs cas des conflits fonciers resolus aux tribunaux pour homologation </t>
  </si>
  <si>
    <t>cet appui est échelonné sur  toute l'année et donc il y aura consommation progressive du budget sur toute la durée du projet.</t>
  </si>
  <si>
    <t>Cette activité sera réalisé en 2019</t>
  </si>
  <si>
    <t>La reunion de l'année 2 sera tenu en 2019</t>
  </si>
  <si>
    <t>le dépassement serait lié à la variation du taux de danger pay qui était passé de 478 usd  à 674 usd</t>
  </si>
  <si>
    <t>Idem</t>
  </si>
  <si>
    <t>Ce dépassement est due à la marque des machines qui ont couté plus cher que prevu dans le budget. Ainsi, les finances ont fait une commande groupée avec les fournitures de bureau (cette rubrique a comblé ce deficit)</t>
  </si>
  <si>
    <t>De 07/ 2017 à 12/2018</t>
  </si>
  <si>
    <t>Appuyer le processus d’identification des terres ainsi que le développement des  conventions entre les différentes parties prenantes</t>
  </si>
  <si>
    <t xml:space="preserve">Appuyer le processus d’Identification des bénéficiaires devant accéder à la terre et les sensibiliser sur le processus de métayage </t>
  </si>
  <si>
    <t>Appuyer le  processus de métayage communautaire  auprès des concessionnaires et propriétaires terriens en faveurs des jeunes, femmes et autres vulnérables pour renforcer la cohésion sociale</t>
  </si>
  <si>
    <t xml:space="preserve">Appuyer le processus d’enregistrement et la cartographie des terres suivant le processus STDM (social tenure domaine Model) </t>
  </si>
  <si>
    <t>Appui à la prise en charge des descentes des animateurs dans les sensibilisations sur le processus de sécurisation foncière au sein des villages pilotes (mécanismes locaux de sécurité foncière)</t>
  </si>
  <si>
    <t>(veuillez remplir ce champ)</t>
  </si>
  <si>
    <t>Organiser   5 séances de renforcement des capacités des 300 leaders communautaires en matière du genre, et stratégie de CCC et la culture de la paix.</t>
  </si>
  <si>
    <t xml:space="preserve">Merci de justifier la sous-dépénse. Même chiffres de depense que dans le dernier rapport. </t>
  </si>
  <si>
    <r>
      <t>Appuyer le fonctionnement des p</t>
    </r>
    <r>
      <rPr>
        <sz val="10"/>
        <color rgb="FFFF0000"/>
        <rFont val="Times New Roman"/>
        <family val="1"/>
      </rPr>
      <t>a</t>
    </r>
    <r>
      <rPr>
        <sz val="10"/>
        <color theme="1"/>
        <rFont val="Times New Roman"/>
        <family val="1"/>
      </rPr>
      <t>rtenaires de mise en œuvre</t>
    </r>
  </si>
  <si>
    <t>Cette ligne n'est pas dans le budget général</t>
  </si>
  <si>
    <t xml:space="preserve">Couts direct de soutien (max 35%) </t>
  </si>
  <si>
    <r>
      <t xml:space="preserve">Produit </t>
    </r>
    <r>
      <rPr>
        <sz val="10"/>
        <color rgb="FFFF0000"/>
        <rFont val="Times New Roman"/>
        <family val="1"/>
      </rPr>
      <t>2.1.1.</t>
    </r>
    <r>
      <rPr>
        <sz val="10"/>
        <color theme="1"/>
        <rFont val="Times New Roman"/>
        <family val="1"/>
      </rPr>
      <t xml:space="preserve"> 600 jeunes vulnérables disposent de revenus durables à travers le développement des AGR </t>
    </r>
  </si>
  <si>
    <r>
      <t xml:space="preserve">Produit </t>
    </r>
    <r>
      <rPr>
        <sz val="10"/>
        <color rgb="FFFF0000"/>
        <rFont val="Times New Roman"/>
        <family val="1"/>
      </rPr>
      <t>2.1.2. 300</t>
    </r>
    <r>
      <rPr>
        <sz val="10"/>
        <color theme="1"/>
        <rFont val="Times New Roman"/>
        <family val="1"/>
      </rPr>
      <t xml:space="preserve"> jeunes issus de l’éducation formelle et sans emploi génèrent des revenus durables à travers 7 groupements d’intérêts économiques (GIE) communs </t>
    </r>
  </si>
  <si>
    <t>Année 1 ( du juillet 2017  à décembre 2018):1842553,91 usd</t>
  </si>
  <si>
    <t xml:space="preserve">Organiser 1 atelier de renforcement des capacités des acteurs locaux sur les mécanismes légaux et alternatifs de sécurisation foncière et les techniques de plaidoyer, 
</t>
  </si>
  <si>
    <t xml:space="preserve">Produit 1.1.1: L’accompagnement au Processus d’accès à la terre est assuré
</t>
  </si>
  <si>
    <t>Organiser 2 ateliers de réflexion sur l’accès et la sécurisation des droits fonciers des femmes et des jeunes (conjointement avec UNFPA et UNESCO)</t>
  </si>
  <si>
    <t>Appuyer les séances de plaidoyer auprès des concessionnaires et propriétaires fonciers   pour faciliter l’accès à la terre</t>
  </si>
  <si>
    <t>Sur le budget global approuvé (7500$), nous avons déduit 1620$ déjà dépensés sur l'ancienne activité telle qu'elle avait été formulée dans l'ancien produit 1.</t>
  </si>
  <si>
    <t>Doter 1 circonscription foncière  ainsi que les services fonciers des deux chefferies (agriculture, pèche et élevage ainsi que ceux de l'environnement) en équipement : configuration du système d'information foncière, installation des logiciels de base, Informatisation des dossiers (Excel, Word, cartes et matériel topographique) et matériel de bureau</t>
  </si>
  <si>
    <t>Appuyer les descentes sur terrain des agents fonciers des circonscriptions foncières et de la chefferie pour faciliter l'accès aux services fonciers aux populations bénéficiaires</t>
  </si>
  <si>
    <r>
      <t>Appuyer l’archivage au sein d'1 circonscription foncière pour l’amélioration d’un accès public des dossiers fonciers</t>
    </r>
    <r>
      <rPr>
        <strike/>
        <sz val="10"/>
        <color theme="3" tint="0.39997558519241921"/>
        <rFont val="Times New Roman"/>
        <family val="1"/>
      </rPr>
      <t xml:space="preserve">
</t>
    </r>
  </si>
  <si>
    <t xml:space="preserve">
Appuyer le fonctionnement des partenaires de mise en œuvre (SCC)</t>
  </si>
  <si>
    <t>Cette activité a pris en compte les bénéficiaires (participants) d'un seul axe du programme. Strategiquement les autres axes seront pris en compte l'année 2019.  Il s'agit ici, des dépenses qui avaient été déjà engagées sur les activités de l'ancien produit avant que la nouvelle reformulation ne soit adoptée et communiquée au partenaire de mise en oeuvre. Ainsi ces dépenses sont prises en compte dans la réaffectation des fonds sur les nouvelles activités.</t>
  </si>
  <si>
    <t>Le budget a été dejà consommé à 100% avant que le produit ne soit reformulé.  Il s'agit ici, des dépenses qui avaient été déjà engagées sur les activités de l'ancien produit avant que la nouvelle reformulation ne soit adoptée et communiquée au partenaire de mise en oeuvre. Ainsi ces dépenses sont prises en compte dans la réaffectation des fonds sur les nouvelles activités.</t>
  </si>
  <si>
    <t>Les descentes ont été programmées après la production de ce rapport et donc seront visibles dans le prochain rapport financier    Il s'agit ici, des dépenses qui avaient été déjà engagées sur les activités de l'ancien produit avant que la nouvelle reformulation ne soit adoptée et communiquée au partenaire de mise en oeuvre. Ainsi ces dépenses sont prises en compte dans la réaffectation des fonds sur les nouvelles activités.</t>
  </si>
  <si>
    <t>Cette dépense de 7470 usd inclut les 85 usd déjà rapportés à la période précedente du mpois de juillet 2017 septembre 2018.  Il s'agit ici, des dépenses qui avaient été déjà engagées sur les activités de l'ancien produit avant que la nouvelle reformulation ne soit adoptée et communiquée au partenaire de mise en oeuvre. Ainsi ces dépenses sont prises en compte dans la réaffectation des fonds sur les nouvelles activités.</t>
  </si>
  <si>
    <t>Contrairement au budget alloué à cette activité lors de la revision du produit, cette activité avait été déjà réalisée  par le partenaire non seulement avec le budget initialement planifié, mais avec un dépassement budgétaire lié aux contraintes de terrain. Ce qui ne permet pas son alignement au nouveau budget revu à la baisse dans le nouveau produit 1</t>
  </si>
  <si>
    <t>Certes, le nouveau budget  accordé  à cette activité à l'année1 a été de 5000 usd mais tenant compte de réajustement du à la prise en compte des dépenses déjà engagées pour la réalisation des activités de l'ancien produit, celui-ci a été maintenu à 8720 usd pour l'année 1.</t>
  </si>
  <si>
    <t>Certes, le nouveau budget  accordé  à cette activité à l'année1 a été de 9000 usd mais tenant compte de réajustement du à la prise en compte des dépenses déjà engagées pour la réalisation des activités de l'ancien produit, celui-ci a été maintenu à 7500 usd pour l'année 1 et cela, pour rester dans le budget accordé pour la première année</t>
  </si>
  <si>
    <t>Certes, le nouveau budget  accordé  à cette activité à l'année1 a été de 25000 usd mais tenant compte de réajustement du à la prise en compte des dépenses déjà engagées pour la réalisation des activités de l'ancien produit, celui-ci a été maintenu à 20000 usd pour l'année 1 et cela, pour rester dans le budget accordé pour la première année.</t>
  </si>
  <si>
    <t>Certes, le nouveau budget  accordé  à cette activité à l'année1 a été de 15000 usd mais tenant compte de réajustement dü à la prise en compte des dépenses déjà engagées pour la réalisation des activités de l'ancien produit, celui-ci a été maintenu à 12960  usd pour l'année 1. et cela, pour rester dans le budget accordé pour la première année</t>
  </si>
  <si>
    <t>Certes, le nouveau budget  accordé  à cette activité à l'année1 a été de 9000 usd mais tenant compte de réajustement du à la prise en compte des dépenses déjà engagées pour la réalisation des activités de l'ancien produit, celui-ci a été maintenu à 7500 usd pour l'année 1 et cela, pour rester dans le budget accordé pour la première année.</t>
  </si>
  <si>
    <t>A2</t>
  </si>
  <si>
    <r>
      <t>Appuyer l’archivage au sein d'1 circonscription foncière pour l’amélioration d’un accès public des dossiers fonciers</t>
    </r>
    <r>
      <rPr>
        <strike/>
        <sz val="10"/>
        <rFont val="Times New Roman"/>
        <family val="1"/>
      </rPr>
      <t xml:space="preserve">
</t>
    </r>
  </si>
  <si>
    <t>BUDGET PREVU</t>
  </si>
  <si>
    <t>BUDGET DEPENSE</t>
  </si>
  <si>
    <t>ANNEE 1</t>
  </si>
  <si>
    <t>ANNEE2</t>
  </si>
  <si>
    <t>BUDGET ACCORDE</t>
  </si>
  <si>
    <t>ANNEES</t>
  </si>
  <si>
    <t>AGENCES</t>
  </si>
  <si>
    <t>SOLDE</t>
  </si>
  <si>
    <t>De 01/ 2019 à 04/2019</t>
  </si>
  <si>
    <t>TOTAL 
ANNEE 1+2</t>
  </si>
  <si>
    <t>TOTAL GENERAL</t>
  </si>
  <si>
    <t>SITUATION SYNTHESE DES DECAISSEMENTS ET UTILISATION DES FORNDS PAR AGENCE</t>
  </si>
  <si>
    <t>Bien que le partenaire de miise en oeuvre ait reçu les fonds, le processus d'achat des matériels est en cours</t>
  </si>
  <si>
    <t>le renforcement des capacités d'action des membres d la sous coordination foncière est encours</t>
  </si>
  <si>
    <t>Le rapport est en cours de rédaction</t>
  </si>
  <si>
    <t>La deuxième serie de formation des bénéficiaires des AGRs n'a pas encore eu lieu, la dernière dotation des  AGRs va intervenir après la formation</t>
  </si>
  <si>
    <t>Année 1 et 2 ( du juillet 2017  à avril 2019):2999868,05usd</t>
  </si>
  <si>
    <t>NB. Situation de janvier à avril 2019 à voir sur la feuille " budget détaillé(2)"</t>
  </si>
  <si>
    <t xml:space="preserve">Pro+20:30duit 1.1.1: L’accompagnement au Processus d’accès à la terre est assuré
</t>
  </si>
  <si>
    <t xml:space="preserve">ANNEE 1 </t>
  </si>
  <si>
    <t xml:space="preserve">ANNEE2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</si>
</sst>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_(* \(#,##0.00\);_(* &quot;-&quot;??_);_(@_)"/>
    <numFmt numFmtId="164" formatCode="_-* #,##0.00\ &quot;€&quot;_-;\-* #,##0.00\ &quot;€&quot;_-;_-* &quot;-&quot;??\ &quot;€&quot;_-;_-@_-"/>
    <numFmt numFmtId="165" formatCode="_-* #,##0.00\ _€_-;\-* #,##0.00\ _€_-;_-* &quot;-&quot;??\ _€_-;_-@_-"/>
    <numFmt numFmtId="166" formatCode="_ * #,##0.00_ ;_ * \-#,##0.00_ ;_ * &quot;-&quot;??_ ;_ @_ "/>
    <numFmt numFmtId="167" formatCode="#,##0.00_ ;\-#,##0.00\ "/>
    <numFmt numFmtId="168" formatCode="#,##0.00\ [$$-C0C]"/>
    <numFmt numFmtId="169" formatCode="#,##0.00\ [$$-C0C]_ ;[Red]\-#,##0.00\ [$$-C0C]\ "/>
    <numFmt numFmtId="170" formatCode="#,##0.00\ [$$-C0C]_ ;\-#,##0.00\ [$$-C0C]\ "/>
    <numFmt numFmtId="171" formatCode="_ * #,##0.00_ \ [$$-C0C]_ ;_ * \-#,##0.00\ \ [$$-C0C]_ ;_ * &quot;-&quot;??_ \ [$$-C0C]_ ;_ @_ "/>
    <numFmt numFmtId="172" formatCode="&quot;$&quot;#,##0.00"/>
    <numFmt numFmtId="173" formatCode="_ * #,##0_ ;_ * \-#,##0_ ;_ * &quot;-&quot;??_ ;_ @_ "/>
  </numFmts>
  <fonts count="64" x14ac:knownFonts="1">
    <font>
      <sz val="10"/>
      <name val="Arial"/>
    </font>
    <font>
      <sz val="11"/>
      <color theme="1"/>
      <name val="Calibri"/>
      <family val="2"/>
      <scheme val="minor"/>
    </font>
    <font>
      <sz val="10"/>
      <name val="Arial"/>
      <family val="2"/>
    </font>
    <font>
      <sz val="11"/>
      <color theme="1"/>
      <name val="Calibri"/>
      <family val="2"/>
      <scheme val="minor"/>
    </font>
    <font>
      <sz val="10"/>
      <name val="Arial"/>
      <family val="2"/>
    </font>
    <font>
      <b/>
      <sz val="11"/>
      <name val="Times New Roman"/>
      <family val="1"/>
    </font>
    <font>
      <sz val="12"/>
      <name val="Times New Roman"/>
      <family val="1"/>
    </font>
    <font>
      <sz val="10"/>
      <color rgb="FFFF0000"/>
      <name val="Times New Roman"/>
      <family val="1"/>
    </font>
    <font>
      <b/>
      <sz val="12"/>
      <name val="Times New Roman"/>
      <family val="1"/>
    </font>
    <font>
      <b/>
      <sz val="12"/>
      <color theme="1"/>
      <name val="Times New Roman"/>
      <family val="1"/>
    </font>
    <font>
      <sz val="12"/>
      <color theme="1"/>
      <name val="Times New Roman"/>
      <family val="1"/>
    </font>
    <font>
      <sz val="12"/>
      <color rgb="FFFF0000"/>
      <name val="Times New Roman"/>
      <family val="1"/>
    </font>
    <font>
      <i/>
      <sz val="12"/>
      <color theme="1"/>
      <name val="Times New Roman"/>
      <family val="1"/>
    </font>
    <font>
      <i/>
      <sz val="12"/>
      <name val="Times New Roman"/>
      <family val="1"/>
    </font>
    <font>
      <b/>
      <sz val="10"/>
      <color rgb="FFFF0000"/>
      <name val="Times New Roman"/>
      <family val="1"/>
    </font>
    <font>
      <b/>
      <sz val="11"/>
      <color theme="1"/>
      <name val="Times New Roman"/>
      <family val="1"/>
    </font>
    <font>
      <sz val="11"/>
      <color theme="1"/>
      <name val="Times New Roman"/>
      <family val="1"/>
    </font>
    <font>
      <sz val="11"/>
      <name val="Times New Roman"/>
      <family val="1"/>
    </font>
    <font>
      <i/>
      <sz val="11"/>
      <color theme="1"/>
      <name val="Times New Roman"/>
      <family val="1"/>
    </font>
    <font>
      <b/>
      <i/>
      <sz val="11"/>
      <color theme="1"/>
      <name val="Times New Roman"/>
      <family val="1"/>
    </font>
    <font>
      <b/>
      <i/>
      <sz val="11"/>
      <name val="Times New Roman"/>
      <family val="1"/>
    </font>
    <font>
      <sz val="11"/>
      <color rgb="FFFF0000"/>
      <name val="Times New Roman"/>
      <family val="1"/>
    </font>
    <font>
      <sz val="10"/>
      <name val="Arial"/>
      <family val="2"/>
    </font>
    <font>
      <b/>
      <sz val="10"/>
      <name val="Arial"/>
      <family val="2"/>
    </font>
    <font>
      <sz val="10"/>
      <name val="Calibri"/>
      <family val="2"/>
      <scheme val="minor"/>
    </font>
    <font>
      <b/>
      <sz val="11"/>
      <color rgb="FFFF0000"/>
      <name val="Times New Roman"/>
      <family val="1"/>
    </font>
    <font>
      <b/>
      <sz val="12"/>
      <color rgb="FFFF0000"/>
      <name val="Times New Roman"/>
      <family val="1"/>
    </font>
    <font>
      <sz val="10"/>
      <color theme="1"/>
      <name val="Calibri"/>
      <family val="2"/>
      <scheme val="minor"/>
    </font>
    <font>
      <b/>
      <sz val="10"/>
      <color theme="1"/>
      <name val="Calibri"/>
      <family val="2"/>
      <scheme val="minor"/>
    </font>
    <font>
      <b/>
      <sz val="10"/>
      <name val="Calibri"/>
      <family val="2"/>
      <scheme val="minor"/>
    </font>
    <font>
      <sz val="10"/>
      <color theme="1"/>
      <name val="Arial"/>
      <family val="2"/>
    </font>
    <font>
      <b/>
      <sz val="10"/>
      <color theme="1"/>
      <name val="Times New Roman"/>
      <family val="1"/>
    </font>
    <font>
      <sz val="10"/>
      <color theme="1"/>
      <name val="Times New Roman"/>
      <family val="1"/>
    </font>
    <font>
      <i/>
      <sz val="10"/>
      <color theme="1"/>
      <name val="Arial Narrow"/>
      <family val="2"/>
    </font>
    <font>
      <b/>
      <i/>
      <sz val="10"/>
      <color theme="1"/>
      <name val="Times New Roman"/>
      <family val="1"/>
    </font>
    <font>
      <i/>
      <sz val="10"/>
      <color theme="1"/>
      <name val="Times New Roman"/>
      <family val="1"/>
    </font>
    <font>
      <b/>
      <i/>
      <sz val="10"/>
      <color theme="1"/>
      <name val="Calibri"/>
      <family val="2"/>
      <scheme val="minor"/>
    </font>
    <font>
      <sz val="10"/>
      <color rgb="FFFF0000"/>
      <name val="Arial"/>
      <family val="2"/>
    </font>
    <font>
      <b/>
      <sz val="10"/>
      <color rgb="FFFF0000"/>
      <name val="Calibri"/>
      <family val="2"/>
      <scheme val="minor"/>
    </font>
    <font>
      <b/>
      <i/>
      <sz val="10"/>
      <color rgb="FFFF0000"/>
      <name val="Times New Roman"/>
      <family val="1"/>
    </font>
    <font>
      <sz val="10"/>
      <color rgb="FFFF0000"/>
      <name val="Cambria"/>
      <family val="1"/>
    </font>
    <font>
      <b/>
      <sz val="10"/>
      <color rgb="FFFF0000"/>
      <name val="Arial"/>
      <family val="2"/>
    </font>
    <font>
      <b/>
      <sz val="10"/>
      <name val="Times New Roman"/>
      <family val="1"/>
    </font>
    <font>
      <sz val="10"/>
      <color theme="3" tint="0.39997558519241921"/>
      <name val="Times New Roman"/>
      <family val="1"/>
    </font>
    <font>
      <strike/>
      <sz val="10"/>
      <color theme="3" tint="0.39997558519241921"/>
      <name val="Times New Roman"/>
      <family val="1"/>
    </font>
    <font>
      <sz val="10"/>
      <color theme="0" tint="-0.249977111117893"/>
      <name val="Times New Roman"/>
      <family val="1"/>
    </font>
    <font>
      <sz val="10"/>
      <name val="Times New Roman"/>
      <family val="1"/>
    </font>
    <font>
      <sz val="10"/>
      <name val="Cambria"/>
      <family val="1"/>
    </font>
    <font>
      <b/>
      <sz val="10"/>
      <name val="Cambria"/>
      <family val="1"/>
    </font>
    <font>
      <i/>
      <sz val="10"/>
      <name val="Arial Narrow"/>
      <family val="2"/>
    </font>
    <font>
      <b/>
      <i/>
      <sz val="10"/>
      <name val="Times New Roman"/>
      <family val="1"/>
    </font>
    <font>
      <sz val="9"/>
      <color indexed="81"/>
      <name val="Tahoma"/>
      <family val="2"/>
    </font>
    <font>
      <b/>
      <sz val="9"/>
      <color indexed="81"/>
      <name val="Tahoma"/>
      <family val="2"/>
    </font>
    <font>
      <b/>
      <sz val="10"/>
      <color rgb="FFFF0000"/>
      <name val="Cambria"/>
      <family val="1"/>
    </font>
    <font>
      <i/>
      <sz val="10"/>
      <color rgb="FFFF0000"/>
      <name val="Cambria"/>
      <family val="1"/>
    </font>
    <font>
      <b/>
      <sz val="10"/>
      <color rgb="FF002060"/>
      <name val="Times New Roman"/>
      <family val="1"/>
    </font>
    <font>
      <b/>
      <i/>
      <sz val="11"/>
      <color rgb="FF00B050"/>
      <name val="Times New Roman"/>
      <family val="1"/>
    </font>
    <font>
      <b/>
      <sz val="12"/>
      <color rgb="FF002060"/>
      <name val="Times New Roman"/>
      <family val="1"/>
    </font>
    <font>
      <i/>
      <sz val="10"/>
      <color rgb="FFFF0000"/>
      <name val="Arial Narrow"/>
      <family val="2"/>
    </font>
    <font>
      <strike/>
      <sz val="10"/>
      <name val="Times New Roman"/>
      <family val="1"/>
    </font>
    <font>
      <b/>
      <sz val="14"/>
      <color theme="1"/>
      <name val="Times New Roman"/>
      <family val="1"/>
    </font>
    <font>
      <sz val="14"/>
      <color theme="1"/>
      <name val="Times New Roman"/>
      <family val="1"/>
    </font>
    <font>
      <i/>
      <sz val="10"/>
      <name val="Cambria"/>
      <family val="1"/>
    </font>
    <font>
      <b/>
      <sz val="16"/>
      <color theme="1"/>
      <name val="Times New Roman"/>
      <family val="1"/>
    </font>
  </fonts>
  <fills count="25">
    <fill>
      <patternFill patternType="none"/>
    </fill>
    <fill>
      <patternFill patternType="gray125"/>
    </fill>
    <fill>
      <patternFill patternType="solid">
        <fgColor rgb="FFD8D8D8"/>
        <bgColor indexed="64"/>
      </patternFill>
    </fill>
    <fill>
      <patternFill patternType="solid">
        <fgColor theme="9"/>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C000"/>
        <bgColor indexed="64"/>
      </patternFill>
    </fill>
    <fill>
      <patternFill patternType="solid">
        <fgColor theme="8"/>
        <bgColor indexed="64"/>
      </patternFill>
    </fill>
    <fill>
      <patternFill patternType="solid">
        <fgColor rgb="FFFFFF0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5"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top/>
      <bottom style="thin">
        <color auto="1"/>
      </bottom>
      <diagonal/>
    </border>
  </borders>
  <cellStyleXfs count="9">
    <xf numFmtId="0" fontId="0" fillId="0" borderId="0"/>
    <xf numFmtId="166" fontId="2" fillId="0" borderId="0" applyFont="0" applyFill="0" applyBorder="0" applyAlignment="0" applyProtection="0"/>
    <xf numFmtId="0" fontId="3" fillId="0" borderId="0"/>
    <xf numFmtId="9" fontId="2" fillId="0" borderId="0" applyFont="0" applyFill="0" applyBorder="0" applyAlignment="0" applyProtection="0"/>
    <xf numFmtId="43" fontId="4" fillId="0" borderId="0" applyFont="0" applyFill="0" applyBorder="0" applyAlignment="0" applyProtection="0"/>
    <xf numFmtId="164" fontId="22" fillId="0" borderId="0" applyFont="0" applyFill="0" applyBorder="0" applyAlignment="0" applyProtection="0"/>
    <xf numFmtId="0" fontId="1" fillId="0" borderId="0"/>
    <xf numFmtId="166" fontId="2" fillId="0" borderId="0" applyFont="0" applyFill="0" applyBorder="0" applyAlignment="0" applyProtection="0"/>
    <xf numFmtId="0" fontId="2" fillId="0" borderId="0"/>
  </cellStyleXfs>
  <cellXfs count="791">
    <xf numFmtId="0" fontId="0" fillId="0" borderId="0" xfId="0"/>
    <xf numFmtId="0" fontId="6" fillId="0" borderId="0" xfId="0" applyFont="1" applyBorder="1" applyAlignment="1">
      <alignment vertical="top"/>
    </xf>
    <xf numFmtId="0" fontId="6" fillId="0" borderId="0" xfId="0" applyFont="1" applyAlignment="1">
      <alignment vertical="top"/>
    </xf>
    <xf numFmtId="171" fontId="8" fillId="0" borderId="0" xfId="0" applyNumberFormat="1" applyFont="1" applyAlignment="1">
      <alignment vertical="top"/>
    </xf>
    <xf numFmtId="171" fontId="6" fillId="0" borderId="0" xfId="0" applyNumberFormat="1" applyFont="1" applyAlignment="1">
      <alignment vertical="top"/>
    </xf>
    <xf numFmtId="0" fontId="10" fillId="0" borderId="1" xfId="0" applyFont="1" applyFill="1" applyBorder="1" applyAlignment="1">
      <alignment horizontal="left" vertical="top" wrapText="1"/>
    </xf>
    <xf numFmtId="0" fontId="10" fillId="0" borderId="1" xfId="0" applyFont="1" applyBorder="1" applyAlignment="1">
      <alignment vertical="top" wrapText="1"/>
    </xf>
    <xf numFmtId="0" fontId="6" fillId="0" borderId="1" xfId="0" applyFont="1" applyBorder="1" applyAlignment="1">
      <alignment vertical="top" wrapText="1"/>
    </xf>
    <xf numFmtId="0" fontId="8" fillId="0" borderId="0" xfId="0" applyFont="1" applyAlignment="1">
      <alignment vertical="top"/>
    </xf>
    <xf numFmtId="0" fontId="8" fillId="0" borderId="1" xfId="0" applyFont="1" applyBorder="1" applyAlignment="1">
      <alignment vertical="top"/>
    </xf>
    <xf numFmtId="0" fontId="9" fillId="15" borderId="1" xfId="0" applyFont="1" applyFill="1" applyBorder="1" applyAlignment="1">
      <alignment vertical="top" wrapText="1"/>
    </xf>
    <xf numFmtId="0" fontId="9" fillId="16" borderId="1" xfId="0" applyFont="1" applyFill="1" applyBorder="1" applyAlignment="1">
      <alignment vertical="top" wrapText="1"/>
    </xf>
    <xf numFmtId="168" fontId="6" fillId="0" borderId="0" xfId="0" applyNumberFormat="1" applyFont="1" applyAlignment="1">
      <alignment vertical="top"/>
    </xf>
    <xf numFmtId="168" fontId="8" fillId="0" borderId="0" xfId="0" applyNumberFormat="1" applyFont="1" applyAlignment="1">
      <alignment vertical="top"/>
    </xf>
    <xf numFmtId="168" fontId="8" fillId="0" borderId="1" xfId="0" applyNumberFormat="1" applyFont="1" applyBorder="1" applyAlignment="1">
      <alignment vertical="top"/>
    </xf>
    <xf numFmtId="168" fontId="6" fillId="0" borderId="1" xfId="0" applyNumberFormat="1" applyFont="1" applyBorder="1" applyAlignment="1">
      <alignment vertical="top"/>
    </xf>
    <xf numFmtId="0" fontId="9" fillId="11" borderId="1" xfId="0" applyFont="1" applyFill="1" applyBorder="1" applyAlignment="1">
      <alignment vertical="top" wrapText="1"/>
    </xf>
    <xf numFmtId="168" fontId="9" fillId="11" borderId="1" xfId="0" applyNumberFormat="1" applyFont="1" applyFill="1" applyBorder="1" applyAlignment="1">
      <alignment vertical="top" wrapText="1"/>
    </xf>
    <xf numFmtId="0" fontId="12" fillId="14" borderId="1" xfId="0" applyFont="1" applyFill="1" applyBorder="1" applyAlignment="1">
      <alignment vertical="top" wrapText="1"/>
    </xf>
    <xf numFmtId="0" fontId="13" fillId="0" borderId="0" xfId="0" applyFont="1" applyAlignment="1">
      <alignment vertical="top"/>
    </xf>
    <xf numFmtId="0" fontId="7" fillId="0" borderId="1" xfId="0" applyFont="1" applyFill="1" applyBorder="1" applyAlignment="1">
      <alignment horizontal="justify" vertical="top"/>
    </xf>
    <xf numFmtId="168" fontId="15" fillId="2" borderId="1" xfId="0" applyNumberFormat="1" applyFont="1" applyFill="1" applyBorder="1" applyAlignment="1">
      <alignment horizontal="center" vertical="top" wrapText="1"/>
    </xf>
    <xf numFmtId="168" fontId="16" fillId="0" borderId="1" xfId="0" applyNumberFormat="1" applyFont="1" applyFill="1" applyBorder="1" applyAlignment="1">
      <alignment horizontal="right" vertical="top" wrapText="1"/>
    </xf>
    <xf numFmtId="168" fontId="16" fillId="0" borderId="1" xfId="0" applyNumberFormat="1" applyFont="1" applyBorder="1" applyAlignment="1">
      <alignment horizontal="right" vertical="top" wrapText="1"/>
    </xf>
    <xf numFmtId="168" fontId="17" fillId="0" borderId="1" xfId="0" applyNumberFormat="1" applyFont="1" applyBorder="1" applyAlignment="1">
      <alignment horizontal="right" vertical="top" wrapText="1"/>
    </xf>
    <xf numFmtId="168" fontId="15" fillId="15" borderId="1" xfId="1" applyNumberFormat="1" applyFont="1" applyFill="1" applyBorder="1" applyAlignment="1">
      <alignment horizontal="right" vertical="top" wrapText="1"/>
    </xf>
    <xf numFmtId="168" fontId="18" fillId="14" borderId="1" xfId="0" applyNumberFormat="1" applyFont="1" applyFill="1" applyBorder="1" applyAlignment="1">
      <alignment horizontal="right" vertical="top" wrapText="1"/>
    </xf>
    <xf numFmtId="171" fontId="19" fillId="14" borderId="1" xfId="0" applyNumberFormat="1" applyFont="1" applyFill="1" applyBorder="1" applyAlignment="1">
      <alignment horizontal="right" vertical="top"/>
    </xf>
    <xf numFmtId="0" fontId="9" fillId="2" borderId="4" xfId="0" applyFont="1" applyFill="1" applyBorder="1" applyAlignment="1">
      <alignment horizontal="center" vertical="top" wrapText="1"/>
    </xf>
    <xf numFmtId="168" fontId="15" fillId="18" borderId="1" xfId="0" applyNumberFormat="1" applyFont="1" applyFill="1" applyBorder="1" applyAlignment="1">
      <alignment horizontal="center" vertical="top" wrapText="1"/>
    </xf>
    <xf numFmtId="168" fontId="15" fillId="19" borderId="1" xfId="0" applyNumberFormat="1" applyFont="1" applyFill="1" applyBorder="1" applyAlignment="1">
      <alignment horizontal="center" vertical="top" wrapText="1"/>
    </xf>
    <xf numFmtId="168" fontId="16" fillId="19" borderId="1" xfId="0" applyNumberFormat="1" applyFont="1" applyFill="1" applyBorder="1" applyAlignment="1">
      <alignment horizontal="right" vertical="top" wrapText="1"/>
    </xf>
    <xf numFmtId="171" fontId="15" fillId="19" borderId="1" xfId="0" applyNumberFormat="1" applyFont="1" applyFill="1" applyBorder="1" applyAlignment="1">
      <alignment horizontal="center" vertical="top" wrapText="1"/>
    </xf>
    <xf numFmtId="168" fontId="5" fillId="0" borderId="1" xfId="0" applyNumberFormat="1" applyFont="1" applyBorder="1" applyAlignment="1">
      <alignment vertical="top"/>
    </xf>
    <xf numFmtId="168" fontId="11" fillId="16" borderId="1" xfId="0" applyNumberFormat="1" applyFont="1" applyFill="1" applyBorder="1" applyAlignment="1">
      <alignment vertical="top"/>
    </xf>
    <xf numFmtId="168" fontId="6" fillId="0" borderId="0" xfId="0" applyNumberFormat="1" applyFont="1" applyBorder="1" applyAlignment="1">
      <alignment vertical="top"/>
    </xf>
    <xf numFmtId="171" fontId="6" fillId="0" borderId="0" xfId="0" applyNumberFormat="1" applyFont="1" applyBorder="1" applyAlignment="1">
      <alignment vertical="top"/>
    </xf>
    <xf numFmtId="168" fontId="16" fillId="0" borderId="0" xfId="0" applyNumberFormat="1" applyFont="1" applyFill="1" applyBorder="1" applyAlignment="1">
      <alignment horizontal="right" vertical="top" wrapText="1"/>
    </xf>
    <xf numFmtId="168" fontId="16" fillId="0" borderId="0" xfId="0" applyNumberFormat="1" applyFont="1" applyBorder="1" applyAlignment="1">
      <alignment horizontal="right" vertical="top" wrapText="1"/>
    </xf>
    <xf numFmtId="168" fontId="17" fillId="0" borderId="0" xfId="0" applyNumberFormat="1" applyFont="1" applyBorder="1" applyAlignment="1">
      <alignment horizontal="right" vertical="top" wrapText="1"/>
    </xf>
    <xf numFmtId="0" fontId="7" fillId="0" borderId="0" xfId="0" applyFont="1" applyBorder="1" applyAlignment="1">
      <alignment vertical="top"/>
    </xf>
    <xf numFmtId="0" fontId="14" fillId="0" borderId="0" xfId="0" applyFont="1" applyFill="1" applyBorder="1" applyAlignment="1">
      <alignment vertical="top"/>
    </xf>
    <xf numFmtId="0" fontId="8" fillId="0" borderId="0" xfId="0" applyFont="1" applyAlignment="1">
      <alignment horizontal="left" vertical="top"/>
    </xf>
    <xf numFmtId="0" fontId="6" fillId="0" borderId="0" xfId="0" applyFont="1" applyAlignment="1">
      <alignment horizontal="left" vertical="top" wrapText="1"/>
    </xf>
    <xf numFmtId="9" fontId="11" fillId="16" borderId="1" xfId="0" applyNumberFormat="1" applyFont="1" applyFill="1" applyBorder="1" applyAlignment="1">
      <alignment vertical="top"/>
    </xf>
    <xf numFmtId="10" fontId="21" fillId="19" borderId="1" xfId="3" applyNumberFormat="1" applyFont="1" applyFill="1" applyBorder="1" applyAlignment="1">
      <alignment horizontal="right" vertical="top" wrapText="1"/>
    </xf>
    <xf numFmtId="10" fontId="16" fillId="19" borderId="1" xfId="3" applyNumberFormat="1" applyFont="1" applyFill="1" applyBorder="1" applyAlignment="1">
      <alignment horizontal="right" vertical="top" wrapText="1"/>
    </xf>
    <xf numFmtId="168" fontId="21" fillId="19" borderId="1" xfId="3" applyNumberFormat="1" applyFont="1" applyFill="1" applyBorder="1" applyAlignment="1">
      <alignment horizontal="right" vertical="top" wrapText="1"/>
    </xf>
    <xf numFmtId="168" fontId="16" fillId="19" borderId="1" xfId="3" applyNumberFormat="1" applyFont="1" applyFill="1" applyBorder="1" applyAlignment="1">
      <alignment horizontal="right" vertical="top" wrapText="1"/>
    </xf>
    <xf numFmtId="168" fontId="15" fillId="15" borderId="1" xfId="3" applyNumberFormat="1" applyFont="1" applyFill="1" applyBorder="1" applyAlignment="1">
      <alignment horizontal="right" vertical="top" wrapText="1"/>
    </xf>
    <xf numFmtId="10" fontId="15" fillId="15" borderId="1" xfId="1" applyNumberFormat="1" applyFont="1" applyFill="1" applyBorder="1" applyAlignment="1">
      <alignment horizontal="right" vertical="top" wrapText="1"/>
    </xf>
    <xf numFmtId="10" fontId="15" fillId="15" borderId="1" xfId="3" applyNumberFormat="1" applyFont="1" applyFill="1" applyBorder="1" applyAlignment="1">
      <alignment horizontal="right" vertical="top" wrapText="1"/>
    </xf>
    <xf numFmtId="10" fontId="18" fillId="14" borderId="1" xfId="0" applyNumberFormat="1" applyFont="1" applyFill="1" applyBorder="1" applyAlignment="1">
      <alignment horizontal="right" vertical="top" wrapText="1"/>
    </xf>
    <xf numFmtId="168" fontId="18" fillId="14" borderId="1" xfId="3" applyNumberFormat="1" applyFont="1" applyFill="1" applyBorder="1" applyAlignment="1">
      <alignment horizontal="right" vertical="top" wrapText="1"/>
    </xf>
    <xf numFmtId="10" fontId="18" fillId="14" borderId="1" xfId="3" applyNumberFormat="1" applyFont="1" applyFill="1" applyBorder="1" applyAlignment="1">
      <alignment horizontal="right" vertical="top" wrapText="1"/>
    </xf>
    <xf numFmtId="10" fontId="20" fillId="14" borderId="1" xfId="0" applyNumberFormat="1" applyFont="1" applyFill="1" applyBorder="1" applyAlignment="1">
      <alignment horizontal="right" vertical="top"/>
    </xf>
    <xf numFmtId="10" fontId="11" fillId="16" borderId="1" xfId="0" applyNumberFormat="1" applyFont="1" applyFill="1" applyBorder="1" applyAlignment="1">
      <alignment vertical="top"/>
    </xf>
    <xf numFmtId="10" fontId="25" fillId="19" borderId="1" xfId="0" applyNumberFormat="1" applyFont="1" applyFill="1" applyBorder="1" applyAlignment="1">
      <alignment horizontal="right" vertical="top"/>
    </xf>
    <xf numFmtId="10" fontId="14" fillId="10" borderId="1" xfId="1" applyNumberFormat="1" applyFont="1" applyFill="1" applyBorder="1" applyAlignment="1">
      <alignment horizontal="right" vertical="top"/>
    </xf>
    <xf numFmtId="168" fontId="14" fillId="10" borderId="1" xfId="1" applyNumberFormat="1" applyFont="1" applyFill="1" applyBorder="1" applyAlignment="1">
      <alignment horizontal="right" vertical="top"/>
    </xf>
    <xf numFmtId="168" fontId="17" fillId="14" borderId="1" xfId="3" applyNumberFormat="1" applyFont="1" applyFill="1" applyBorder="1" applyAlignment="1">
      <alignment vertical="top"/>
    </xf>
    <xf numFmtId="168" fontId="6" fillId="19" borderId="1" xfId="0" applyNumberFormat="1" applyFont="1" applyFill="1" applyBorder="1" applyAlignment="1">
      <alignment horizontal="right" vertical="top"/>
    </xf>
    <xf numFmtId="168" fontId="16" fillId="7" borderId="1" xfId="0" applyNumberFormat="1" applyFont="1" applyFill="1" applyBorder="1" applyAlignment="1">
      <alignment horizontal="right" vertical="top" wrapText="1"/>
    </xf>
    <xf numFmtId="168" fontId="16" fillId="7" borderId="1" xfId="3" applyNumberFormat="1" applyFont="1" applyFill="1" applyBorder="1" applyAlignment="1">
      <alignment horizontal="right" vertical="top" wrapText="1"/>
    </xf>
    <xf numFmtId="10" fontId="21" fillId="19" borderId="1" xfId="0" applyNumberFormat="1" applyFont="1" applyFill="1" applyBorder="1" applyAlignment="1">
      <alignment horizontal="right" vertical="top" wrapText="1"/>
    </xf>
    <xf numFmtId="171" fontId="17" fillId="19" borderId="1" xfId="0" applyNumberFormat="1" applyFont="1" applyFill="1" applyBorder="1" applyAlignment="1">
      <alignment horizontal="right" vertical="top"/>
    </xf>
    <xf numFmtId="168" fontId="17" fillId="7" borderId="1" xfId="3" applyNumberFormat="1" applyFont="1" applyFill="1" applyBorder="1" applyAlignment="1">
      <alignment vertical="top"/>
    </xf>
    <xf numFmtId="168" fontId="6" fillId="7" borderId="1" xfId="0" applyNumberFormat="1" applyFont="1" applyFill="1" applyBorder="1" applyAlignment="1">
      <alignment horizontal="right" vertical="top"/>
    </xf>
    <xf numFmtId="0" fontId="15" fillId="18" borderId="1" xfId="0" applyFont="1" applyFill="1" applyBorder="1" applyAlignment="1">
      <alignment horizontal="center" vertical="top" wrapText="1"/>
    </xf>
    <xf numFmtId="10" fontId="11" fillId="19" borderId="1" xfId="0" applyNumberFormat="1" applyFont="1" applyFill="1" applyBorder="1" applyAlignment="1">
      <alignment horizontal="right" vertical="top"/>
    </xf>
    <xf numFmtId="0" fontId="8" fillId="18" borderId="1" xfId="0" applyFont="1" applyFill="1" applyBorder="1" applyAlignment="1">
      <alignment vertical="top" wrapText="1"/>
    </xf>
    <xf numFmtId="0" fontId="8" fillId="19" borderId="1" xfId="0" applyFont="1" applyFill="1" applyBorder="1" applyAlignment="1">
      <alignment vertical="top" wrapText="1"/>
    </xf>
    <xf numFmtId="0" fontId="8" fillId="19" borderId="1" xfId="0" applyFont="1" applyFill="1" applyBorder="1" applyAlignment="1">
      <alignment vertical="top"/>
    </xf>
    <xf numFmtId="168" fontId="5" fillId="17" borderId="7" xfId="3" applyNumberFormat="1" applyFont="1" applyFill="1" applyBorder="1" applyAlignment="1">
      <alignment vertical="top"/>
    </xf>
    <xf numFmtId="10" fontId="11" fillId="17" borderId="1" xfId="0" applyNumberFormat="1" applyFont="1" applyFill="1" applyBorder="1" applyAlignment="1">
      <alignment horizontal="right" vertical="top"/>
    </xf>
    <xf numFmtId="168" fontId="6" fillId="14" borderId="1" xfId="0" applyNumberFormat="1" applyFont="1" applyFill="1" applyBorder="1" applyAlignment="1">
      <alignment horizontal="right" vertical="top"/>
    </xf>
    <xf numFmtId="10" fontId="11" fillId="14" borderId="1" xfId="0" applyNumberFormat="1" applyFont="1" applyFill="1" applyBorder="1" applyAlignment="1">
      <alignment horizontal="right" vertical="top"/>
    </xf>
    <xf numFmtId="168" fontId="6" fillId="16" borderId="1" xfId="0" applyNumberFormat="1" applyFont="1" applyFill="1" applyBorder="1" applyAlignment="1">
      <alignment horizontal="right" vertical="top"/>
    </xf>
    <xf numFmtId="10" fontId="11" fillId="16" borderId="1" xfId="0" applyNumberFormat="1" applyFont="1" applyFill="1" applyBorder="1" applyAlignment="1">
      <alignment horizontal="right" vertical="top"/>
    </xf>
    <xf numFmtId="168" fontId="6" fillId="16" borderId="1" xfId="0" applyNumberFormat="1" applyFont="1" applyFill="1" applyBorder="1" applyAlignment="1">
      <alignment vertical="top"/>
    </xf>
    <xf numFmtId="168" fontId="8" fillId="17" borderId="1" xfId="0" applyNumberFormat="1" applyFont="1" applyFill="1" applyBorder="1" applyAlignment="1">
      <alignment horizontal="right" vertical="top"/>
    </xf>
    <xf numFmtId="168" fontId="8" fillId="17" borderId="1" xfId="0" applyNumberFormat="1" applyFont="1" applyFill="1" applyBorder="1" applyAlignment="1">
      <alignment horizontal="center" vertical="top"/>
    </xf>
    <xf numFmtId="171" fontId="8" fillId="17" borderId="1" xfId="0" applyNumberFormat="1" applyFont="1" applyFill="1" applyBorder="1" applyAlignment="1">
      <alignment horizontal="center" vertical="top"/>
    </xf>
    <xf numFmtId="171" fontId="8" fillId="17" borderId="5" xfId="0" applyNumberFormat="1" applyFont="1" applyFill="1" applyBorder="1" applyAlignment="1">
      <alignment horizontal="center" vertical="top"/>
    </xf>
    <xf numFmtId="0" fontId="8" fillId="17" borderId="0" xfId="0" applyFont="1" applyFill="1" applyAlignment="1">
      <alignment vertical="top"/>
    </xf>
    <xf numFmtId="10" fontId="6" fillId="0" borderId="1" xfId="3" applyNumberFormat="1" applyFont="1" applyBorder="1" applyAlignment="1">
      <alignment vertical="top"/>
    </xf>
    <xf numFmtId="10" fontId="8" fillId="0" borderId="1" xfId="3" applyNumberFormat="1" applyFont="1" applyBorder="1" applyAlignment="1">
      <alignment vertical="top"/>
    </xf>
    <xf numFmtId="168" fontId="11" fillId="0" borderId="1" xfId="1" applyNumberFormat="1" applyFont="1" applyBorder="1" applyAlignment="1">
      <alignment vertical="top" wrapText="1"/>
    </xf>
    <xf numFmtId="168" fontId="11" fillId="0" borderId="0" xfId="1" applyNumberFormat="1" applyFont="1" applyBorder="1" applyAlignment="1">
      <alignment vertical="top" wrapText="1"/>
    </xf>
    <xf numFmtId="168" fontId="26" fillId="0" borderId="0" xfId="0" applyNumberFormat="1" applyFont="1" applyBorder="1" applyAlignment="1">
      <alignment vertical="top" wrapText="1"/>
    </xf>
    <xf numFmtId="10" fontId="11" fillId="0" borderId="0" xfId="1" applyNumberFormat="1" applyFont="1" applyBorder="1" applyAlignment="1">
      <alignment vertical="top" wrapText="1"/>
    </xf>
    <xf numFmtId="10" fontId="11" fillId="0" borderId="1" xfId="1" applyNumberFormat="1" applyFont="1" applyBorder="1" applyAlignment="1">
      <alignment vertical="top" wrapText="1"/>
    </xf>
    <xf numFmtId="10" fontId="26" fillId="0" borderId="1" xfId="0" applyNumberFormat="1" applyFont="1" applyBorder="1" applyAlignment="1">
      <alignment vertical="top" wrapText="1"/>
    </xf>
    <xf numFmtId="168" fontId="6" fillId="0" borderId="1" xfId="1" applyNumberFormat="1" applyFont="1" applyBorder="1" applyAlignment="1">
      <alignment vertical="top" wrapText="1"/>
    </xf>
    <xf numFmtId="10" fontId="6" fillId="0" borderId="1" xfId="1" applyNumberFormat="1" applyFont="1" applyBorder="1" applyAlignment="1">
      <alignment vertical="top" wrapText="1"/>
    </xf>
    <xf numFmtId="168" fontId="8" fillId="0" borderId="1" xfId="0" applyNumberFormat="1" applyFont="1" applyBorder="1" applyAlignment="1">
      <alignment vertical="top" wrapText="1"/>
    </xf>
    <xf numFmtId="0" fontId="8" fillId="0" borderId="1" xfId="0" applyFont="1" applyBorder="1" applyAlignment="1">
      <alignment vertical="top" wrapText="1"/>
    </xf>
    <xf numFmtId="10" fontId="14" fillId="16" borderId="1" xfId="1" applyNumberFormat="1" applyFont="1" applyFill="1" applyBorder="1" applyAlignment="1">
      <alignment horizontal="right" vertical="top"/>
    </xf>
    <xf numFmtId="173" fontId="28" fillId="20" borderId="1" xfId="1" applyNumberFormat="1" applyFont="1" applyFill="1" applyBorder="1" applyAlignment="1">
      <alignment horizontal="center" vertical="center"/>
    </xf>
    <xf numFmtId="0" fontId="23" fillId="14" borderId="1" xfId="0" applyFont="1" applyFill="1" applyBorder="1" applyAlignment="1">
      <alignment vertical="center"/>
    </xf>
    <xf numFmtId="173" fontId="27" fillId="14" borderId="1" xfId="1" applyNumberFormat="1" applyFont="1" applyFill="1" applyBorder="1" applyAlignment="1">
      <alignment horizontal="center" vertical="center"/>
    </xf>
    <xf numFmtId="0" fontId="23" fillId="16" borderId="1" xfId="0" applyFont="1" applyFill="1" applyBorder="1" applyAlignment="1">
      <alignment vertical="center"/>
    </xf>
    <xf numFmtId="173" fontId="27" fillId="16" borderId="1" xfId="1" applyNumberFormat="1" applyFont="1" applyFill="1" applyBorder="1" applyAlignment="1">
      <alignment horizontal="center" vertical="center"/>
    </xf>
    <xf numFmtId="173" fontId="28" fillId="16" borderId="1" xfId="1" applyNumberFormat="1" applyFont="1" applyFill="1" applyBorder="1" applyAlignment="1">
      <alignment horizontal="center" vertical="center"/>
    </xf>
    <xf numFmtId="0" fontId="24" fillId="5" borderId="1" xfId="0" applyFont="1" applyFill="1" applyBorder="1"/>
    <xf numFmtId="43" fontId="24" fillId="5" borderId="1" xfId="0" applyNumberFormat="1" applyFont="1" applyFill="1" applyBorder="1"/>
    <xf numFmtId="43" fontId="29" fillId="5" borderId="1" xfId="0" applyNumberFormat="1" applyFont="1" applyFill="1" applyBorder="1"/>
    <xf numFmtId="168" fontId="6" fillId="0" borderId="0" xfId="0" applyNumberFormat="1" applyFont="1" applyFill="1" applyBorder="1" applyAlignment="1">
      <alignment vertical="top"/>
    </xf>
    <xf numFmtId="0" fontId="6" fillId="0" borderId="0" xfId="0" applyFont="1" applyFill="1" applyBorder="1" applyAlignment="1">
      <alignment vertical="top"/>
    </xf>
    <xf numFmtId="171" fontId="6" fillId="0" borderId="0" xfId="0" applyNumberFormat="1" applyFont="1" applyFill="1" applyBorder="1" applyAlignment="1">
      <alignment vertical="top"/>
    </xf>
    <xf numFmtId="166" fontId="23" fillId="0" borderId="0" xfId="1" applyFont="1" applyFill="1" applyBorder="1" applyAlignment="1">
      <alignment horizontal="center"/>
    </xf>
    <xf numFmtId="173" fontId="27" fillId="0" borderId="0" xfId="1" applyNumberFormat="1" applyFont="1" applyFill="1" applyBorder="1" applyAlignment="1">
      <alignment horizontal="center" vertical="center"/>
    </xf>
    <xf numFmtId="173" fontId="28" fillId="0" borderId="0" xfId="1" applyNumberFormat="1" applyFont="1" applyFill="1" applyBorder="1" applyAlignment="1">
      <alignment horizontal="center" vertical="center"/>
    </xf>
    <xf numFmtId="43" fontId="24" fillId="0" borderId="0" xfId="0" applyNumberFormat="1" applyFont="1" applyFill="1" applyBorder="1"/>
    <xf numFmtId="43" fontId="29" fillId="0" borderId="0" xfId="0" applyNumberFormat="1" applyFont="1" applyFill="1" applyBorder="1"/>
    <xf numFmtId="0" fontId="23" fillId="21" borderId="1" xfId="0" applyFont="1" applyFill="1" applyBorder="1" applyAlignment="1">
      <alignment vertical="center"/>
    </xf>
    <xf numFmtId="173" fontId="27" fillId="21" borderId="1" xfId="1" applyNumberFormat="1" applyFont="1" applyFill="1" applyBorder="1" applyAlignment="1">
      <alignment horizontal="center" vertical="center"/>
    </xf>
    <xf numFmtId="173" fontId="28" fillId="21" borderId="1" xfId="1" applyNumberFormat="1" applyFont="1" applyFill="1" applyBorder="1" applyAlignment="1">
      <alignment horizontal="center" vertical="center"/>
    </xf>
    <xf numFmtId="173" fontId="28" fillId="14" borderId="1" xfId="1" applyNumberFormat="1" applyFont="1" applyFill="1" applyBorder="1" applyAlignment="1">
      <alignment horizontal="center" vertical="center"/>
    </xf>
    <xf numFmtId="10" fontId="6" fillId="21" borderId="1" xfId="0" applyNumberFormat="1" applyFont="1" applyFill="1" applyBorder="1" applyAlignment="1">
      <alignment vertical="top"/>
    </xf>
    <xf numFmtId="10" fontId="6" fillId="14" borderId="1" xfId="0" applyNumberFormat="1" applyFont="1" applyFill="1" applyBorder="1" applyAlignment="1">
      <alignment vertical="top"/>
    </xf>
    <xf numFmtId="10" fontId="6" fillId="16" borderId="1" xfId="0" applyNumberFormat="1" applyFont="1" applyFill="1" applyBorder="1" applyAlignment="1">
      <alignment vertical="top"/>
    </xf>
    <xf numFmtId="10" fontId="6" fillId="0" borderId="1" xfId="0" applyNumberFormat="1" applyFont="1" applyBorder="1" applyAlignment="1">
      <alignment vertical="top"/>
    </xf>
    <xf numFmtId="166" fontId="23" fillId="18" borderId="1" xfId="1" applyFont="1" applyFill="1" applyBorder="1" applyAlignment="1">
      <alignment horizontal="center" vertical="center"/>
    </xf>
    <xf numFmtId="168" fontId="8" fillId="18" borderId="1" xfId="0" applyNumberFormat="1" applyFont="1" applyFill="1" applyBorder="1" applyAlignment="1">
      <alignment horizontal="center" vertical="center"/>
    </xf>
    <xf numFmtId="0" fontId="23" fillId="18" borderId="1" xfId="0" applyFont="1" applyFill="1" applyBorder="1" applyAlignment="1">
      <alignment horizontal="center" vertical="center"/>
    </xf>
    <xf numFmtId="172" fontId="31" fillId="0" borderId="1" xfId="0" applyNumberFormat="1" applyFont="1" applyFill="1" applyBorder="1" applyAlignment="1">
      <alignment horizontal="right" vertical="top"/>
    </xf>
    <xf numFmtId="168" fontId="31" fillId="0" borderId="1" xfId="0" applyNumberFormat="1" applyFont="1" applyBorder="1" applyAlignment="1">
      <alignment horizontal="right" vertical="top"/>
    </xf>
    <xf numFmtId="172" fontId="31" fillId="0" borderId="1" xfId="0" applyNumberFormat="1" applyFont="1" applyBorder="1" applyAlignment="1">
      <alignment horizontal="right" vertical="top"/>
    </xf>
    <xf numFmtId="10" fontId="31" fillId="0" borderId="1" xfId="0" applyNumberFormat="1" applyFont="1" applyBorder="1" applyAlignment="1">
      <alignment horizontal="right" vertical="top"/>
    </xf>
    <xf numFmtId="172" fontId="31" fillId="19" borderId="1" xfId="0" applyNumberFormat="1" applyFont="1" applyFill="1" applyBorder="1" applyAlignment="1">
      <alignment horizontal="right" vertical="top"/>
    </xf>
    <xf numFmtId="10" fontId="31" fillId="16" borderId="1" xfId="1" applyNumberFormat="1" applyFont="1" applyFill="1" applyBorder="1" applyAlignment="1">
      <alignment horizontal="right" vertical="top"/>
    </xf>
    <xf numFmtId="168" fontId="31" fillId="0" borderId="0" xfId="0" applyNumberFormat="1" applyFont="1" applyBorder="1" applyAlignment="1">
      <alignment horizontal="right" vertical="top"/>
    </xf>
    <xf numFmtId="168" fontId="31" fillId="18" borderId="1" xfId="0" applyNumberFormat="1" applyFont="1" applyFill="1" applyBorder="1" applyAlignment="1">
      <alignment horizontal="left" vertical="top"/>
    </xf>
    <xf numFmtId="0" fontId="32" fillId="0" borderId="0" xfId="0" applyFont="1" applyBorder="1" applyAlignment="1">
      <alignment vertical="top"/>
    </xf>
    <xf numFmtId="168" fontId="31" fillId="19" borderId="1" xfId="0" applyNumberFormat="1" applyFont="1" applyFill="1" applyBorder="1" applyAlignment="1">
      <alignment horizontal="right" vertical="top"/>
    </xf>
    <xf numFmtId="10" fontId="31" fillId="16" borderId="1" xfId="0" applyNumberFormat="1" applyFont="1" applyFill="1" applyBorder="1" applyAlignment="1">
      <alignment horizontal="right" vertical="top"/>
    </xf>
    <xf numFmtId="0" fontId="31" fillId="4" borderId="1" xfId="0" applyFont="1" applyFill="1" applyBorder="1" applyAlignment="1">
      <alignment horizontal="center" vertical="top" wrapText="1"/>
    </xf>
    <xf numFmtId="168" fontId="31" fillId="4" borderId="1" xfId="0" applyNumberFormat="1" applyFont="1" applyFill="1" applyBorder="1" applyAlignment="1">
      <alignment horizontal="center" vertical="top" wrapText="1"/>
    </xf>
    <xf numFmtId="168" fontId="31" fillId="4" borderId="1" xfId="2" applyNumberFormat="1" applyFont="1" applyFill="1" applyBorder="1" applyAlignment="1">
      <alignment horizontal="center" vertical="top" wrapText="1"/>
    </xf>
    <xf numFmtId="0" fontId="31" fillId="4" borderId="1" xfId="2" applyNumberFormat="1" applyFont="1" applyFill="1" applyBorder="1" applyAlignment="1">
      <alignment horizontal="center" vertical="top" wrapText="1"/>
    </xf>
    <xf numFmtId="168" fontId="31" fillId="16" borderId="1" xfId="2" applyNumberFormat="1" applyFont="1" applyFill="1" applyBorder="1" applyAlignment="1">
      <alignment horizontal="center" vertical="top" wrapText="1"/>
    </xf>
    <xf numFmtId="0" fontId="32" fillId="0" borderId="0" xfId="0" applyFont="1" applyBorder="1" applyAlignment="1">
      <alignment horizontal="center" vertical="top"/>
    </xf>
    <xf numFmtId="0" fontId="32" fillId="0" borderId="0" xfId="0" applyFont="1" applyBorder="1" applyAlignment="1">
      <alignment horizontal="justify" vertical="top"/>
    </xf>
    <xf numFmtId="0" fontId="32" fillId="0" borderId="0" xfId="0" applyFont="1" applyFill="1" applyBorder="1" applyAlignment="1">
      <alignment horizontal="justify" vertical="top"/>
    </xf>
    <xf numFmtId="0" fontId="31" fillId="0" borderId="0" xfId="0" applyFont="1" applyBorder="1" applyAlignment="1">
      <alignment vertical="top"/>
    </xf>
    <xf numFmtId="0" fontId="31" fillId="0" borderId="0" xfId="0" applyFont="1" applyBorder="1" applyAlignment="1">
      <alignment horizontal="right" vertical="top"/>
    </xf>
    <xf numFmtId="168" fontId="31" fillId="0" borderId="0" xfId="0" applyNumberFormat="1" applyFont="1" applyFill="1" applyBorder="1" applyAlignment="1">
      <alignment horizontal="right" vertical="top"/>
    </xf>
    <xf numFmtId="0" fontId="32" fillId="0" borderId="0" xfId="0" applyFont="1" applyFill="1" applyBorder="1" applyAlignment="1">
      <alignment horizontal="right" vertical="top"/>
    </xf>
    <xf numFmtId="168" fontId="32" fillId="0" borderId="0" xfId="0" applyNumberFormat="1" applyFont="1" applyFill="1" applyBorder="1" applyAlignment="1">
      <alignment horizontal="right" vertical="top"/>
    </xf>
    <xf numFmtId="0" fontId="32" fillId="0" borderId="0" xfId="0" applyFont="1" applyBorder="1" applyAlignment="1">
      <alignment horizontal="right" vertical="top"/>
    </xf>
    <xf numFmtId="168" fontId="32" fillId="0" borderId="0" xfId="0" applyNumberFormat="1" applyFont="1" applyBorder="1" applyAlignment="1">
      <alignment horizontal="right" vertical="top"/>
    </xf>
    <xf numFmtId="0" fontId="31" fillId="0" borderId="0" xfId="0" applyFont="1" applyBorder="1" applyAlignment="1">
      <alignment horizontal="left" vertical="top"/>
    </xf>
    <xf numFmtId="0" fontId="32" fillId="0" borderId="0" xfId="0" applyFont="1" applyBorder="1" applyAlignment="1">
      <alignment vertical="top" wrapText="1"/>
    </xf>
    <xf numFmtId="0" fontId="31" fillId="0" borderId="0" xfId="0" applyFont="1" applyFill="1" applyBorder="1" applyAlignment="1">
      <alignment horizontal="left" vertical="top"/>
    </xf>
    <xf numFmtId="0" fontId="31" fillId="0" borderId="0" xfId="0" applyFont="1" applyBorder="1" applyAlignment="1">
      <alignment horizontal="center" vertical="top"/>
    </xf>
    <xf numFmtId="170" fontId="31" fillId="0" borderId="0" xfId="0" applyNumberFormat="1" applyFont="1" applyBorder="1" applyAlignment="1">
      <alignment horizontal="justify" vertical="top"/>
    </xf>
    <xf numFmtId="0" fontId="31" fillId="0" borderId="0" xfId="0" applyFont="1" applyFill="1" applyBorder="1" applyAlignment="1">
      <alignment horizontal="right" vertical="top"/>
    </xf>
    <xf numFmtId="0" fontId="31" fillId="0" borderId="0" xfId="0" applyFont="1" applyBorder="1" applyAlignment="1">
      <alignment horizontal="justify" vertical="top"/>
    </xf>
    <xf numFmtId="168" fontId="31" fillId="0" borderId="0" xfId="0" applyNumberFormat="1" applyFont="1" applyFill="1" applyBorder="1" applyAlignment="1">
      <alignment horizontal="center" vertical="top"/>
    </xf>
    <xf numFmtId="0" fontId="31" fillId="18" borderId="1" xfId="0" applyFont="1" applyFill="1" applyBorder="1" applyAlignment="1">
      <alignment horizontal="left" vertical="top"/>
    </xf>
    <xf numFmtId="0" fontId="31" fillId="18" borderId="1" xfId="0" applyFont="1" applyFill="1" applyBorder="1" applyAlignment="1">
      <alignment horizontal="right" vertical="top"/>
    </xf>
    <xf numFmtId="168" fontId="31" fillId="0" borderId="0" xfId="0" applyNumberFormat="1" applyFont="1" applyBorder="1" applyAlignment="1">
      <alignment horizontal="center" vertical="top"/>
    </xf>
    <xf numFmtId="49" fontId="31" fillId="18" borderId="1" xfId="0" applyNumberFormat="1" applyFont="1" applyFill="1" applyBorder="1" applyAlignment="1">
      <alignment horizontal="left" vertical="top"/>
    </xf>
    <xf numFmtId="10" fontId="31" fillId="0" borderId="0" xfId="0" applyNumberFormat="1" applyFont="1" applyBorder="1" applyAlignment="1">
      <alignment horizontal="right" vertical="top"/>
    </xf>
    <xf numFmtId="10" fontId="32" fillId="0" borderId="0" xfId="0" applyNumberFormat="1" applyFont="1" applyFill="1" applyBorder="1" applyAlignment="1">
      <alignment horizontal="right" vertical="top"/>
    </xf>
    <xf numFmtId="0" fontId="31" fillId="7" borderId="0" xfId="0" applyFont="1" applyFill="1" applyBorder="1" applyAlignment="1">
      <alignment vertical="top" wrapText="1"/>
    </xf>
    <xf numFmtId="0" fontId="32" fillId="0" borderId="1" xfId="0" applyFont="1" applyFill="1" applyBorder="1" applyAlignment="1">
      <alignment horizontal="justify" vertical="top" wrapText="1"/>
    </xf>
    <xf numFmtId="0" fontId="32" fillId="0" borderId="1" xfId="0" applyFont="1" applyFill="1" applyBorder="1" applyAlignment="1">
      <alignment horizontal="left" vertical="top" wrapText="1"/>
    </xf>
    <xf numFmtId="0" fontId="32" fillId="0" borderId="1" xfId="0" applyFont="1" applyFill="1" applyBorder="1" applyAlignment="1">
      <alignment horizontal="right" vertical="top" wrapText="1"/>
    </xf>
    <xf numFmtId="168" fontId="32" fillId="0" borderId="1" xfId="0" applyNumberFormat="1" applyFont="1" applyFill="1" applyBorder="1" applyAlignment="1">
      <alignment horizontal="right" vertical="top" wrapText="1"/>
    </xf>
    <xf numFmtId="168" fontId="31" fillId="0" borderId="1" xfId="1" applyNumberFormat="1" applyFont="1" applyFill="1" applyBorder="1" applyAlignment="1">
      <alignment horizontal="right" vertical="top"/>
    </xf>
    <xf numFmtId="10" fontId="32" fillId="0" borderId="1" xfId="1" applyNumberFormat="1" applyFont="1" applyFill="1" applyBorder="1" applyAlignment="1">
      <alignment horizontal="right" vertical="top"/>
    </xf>
    <xf numFmtId="10" fontId="32" fillId="16" borderId="1" xfId="1" applyNumberFormat="1" applyFont="1" applyFill="1" applyBorder="1" applyAlignment="1">
      <alignment horizontal="right" vertical="top"/>
    </xf>
    <xf numFmtId="168" fontId="32" fillId="0" borderId="1" xfId="1" applyNumberFormat="1" applyFont="1" applyFill="1" applyBorder="1" applyAlignment="1">
      <alignment horizontal="right" vertical="top"/>
    </xf>
    <xf numFmtId="0" fontId="32" fillId="0" borderId="1" xfId="1" applyNumberFormat="1" applyFont="1" applyFill="1" applyBorder="1" applyAlignment="1">
      <alignment horizontal="right" vertical="top"/>
    </xf>
    <xf numFmtId="0" fontId="32" fillId="0" borderId="1" xfId="0" applyFont="1" applyFill="1" applyBorder="1" applyAlignment="1">
      <alignment vertical="top" wrapText="1"/>
    </xf>
    <xf numFmtId="0" fontId="32" fillId="0" borderId="1" xfId="0" applyFont="1" applyFill="1" applyBorder="1" applyAlignment="1">
      <alignment horizontal="justify" vertical="top"/>
    </xf>
    <xf numFmtId="0" fontId="32" fillId="0" borderId="1" xfId="0" applyFont="1" applyFill="1" applyBorder="1" applyAlignment="1">
      <alignment horizontal="right" vertical="top"/>
    </xf>
    <xf numFmtId="168" fontId="31" fillId="10" borderId="1" xfId="1" applyNumberFormat="1" applyFont="1" applyFill="1" applyBorder="1" applyAlignment="1">
      <alignment horizontal="right" vertical="top"/>
    </xf>
    <xf numFmtId="10" fontId="31" fillId="10" borderId="1" xfId="1" applyNumberFormat="1" applyFont="1" applyFill="1" applyBorder="1" applyAlignment="1">
      <alignment horizontal="right" vertical="top"/>
    </xf>
    <xf numFmtId="10" fontId="32" fillId="10" borderId="1" xfId="1" applyNumberFormat="1" applyFont="1" applyFill="1" applyBorder="1" applyAlignment="1">
      <alignment horizontal="right" vertical="top"/>
    </xf>
    <xf numFmtId="39" fontId="31" fillId="10" borderId="1" xfId="1" applyNumberFormat="1" applyFont="1" applyFill="1" applyBorder="1" applyAlignment="1">
      <alignment horizontal="right" vertical="top"/>
    </xf>
    <xf numFmtId="0" fontId="33" fillId="16" borderId="1" xfId="5" applyNumberFormat="1" applyFont="1" applyFill="1" applyBorder="1" applyAlignment="1">
      <alignment vertical="top"/>
    </xf>
    <xf numFmtId="0" fontId="32" fillId="16" borderId="1" xfId="1" applyNumberFormat="1" applyFont="1" applyFill="1" applyBorder="1" applyAlignment="1">
      <alignment horizontal="right" vertical="top"/>
    </xf>
    <xf numFmtId="9" fontId="34" fillId="10" borderId="1" xfId="3" applyFont="1" applyFill="1" applyBorder="1" applyAlignment="1">
      <alignment vertical="top"/>
    </xf>
    <xf numFmtId="168" fontId="32" fillId="9" borderId="1" xfId="1" applyNumberFormat="1" applyFont="1" applyFill="1" applyBorder="1" applyAlignment="1">
      <alignment horizontal="right" vertical="top"/>
    </xf>
    <xf numFmtId="10" fontId="32" fillId="9" borderId="1" xfId="1" applyNumberFormat="1" applyFont="1" applyFill="1" applyBorder="1" applyAlignment="1">
      <alignment horizontal="right" vertical="top"/>
    </xf>
    <xf numFmtId="168" fontId="34" fillId="9" borderId="1" xfId="1" applyNumberFormat="1" applyFont="1" applyFill="1" applyBorder="1" applyAlignment="1">
      <alignment horizontal="right" vertical="top"/>
    </xf>
    <xf numFmtId="168" fontId="34" fillId="11" borderId="1" xfId="1" applyNumberFormat="1" applyFont="1" applyFill="1" applyBorder="1" applyAlignment="1">
      <alignment horizontal="right" vertical="top"/>
    </xf>
    <xf numFmtId="168" fontId="34" fillId="8" borderId="1" xfId="1" applyNumberFormat="1" applyFont="1" applyFill="1" applyBorder="1" applyAlignment="1">
      <alignment horizontal="right" vertical="top"/>
    </xf>
    <xf numFmtId="10" fontId="32" fillId="8" borderId="1" xfId="1" applyNumberFormat="1" applyFont="1" applyFill="1" applyBorder="1" applyAlignment="1">
      <alignment horizontal="right" vertical="top"/>
    </xf>
    <xf numFmtId="39" fontId="34" fillId="11" borderId="1" xfId="1" applyNumberFormat="1" applyFont="1" applyFill="1" applyBorder="1" applyAlignment="1">
      <alignment horizontal="right" vertical="top"/>
    </xf>
    <xf numFmtId="9" fontId="34" fillId="11" borderId="1" xfId="3" applyFont="1" applyFill="1" applyBorder="1" applyAlignment="1">
      <alignment horizontal="left" vertical="top"/>
    </xf>
    <xf numFmtId="0" fontId="34" fillId="0" borderId="0" xfId="0" applyFont="1" applyFill="1" applyBorder="1" applyAlignment="1">
      <alignment vertical="top"/>
    </xf>
    <xf numFmtId="9" fontId="32" fillId="0" borderId="1" xfId="3" applyFont="1" applyFill="1" applyBorder="1" applyAlignment="1">
      <alignment horizontal="right" vertical="top"/>
    </xf>
    <xf numFmtId="39" fontId="32" fillId="16" borderId="1" xfId="1" applyNumberFormat="1" applyFont="1" applyFill="1" applyBorder="1" applyAlignment="1">
      <alignment horizontal="right" vertical="top"/>
    </xf>
    <xf numFmtId="39" fontId="32" fillId="0" borderId="1" xfId="1" applyNumberFormat="1" applyFont="1" applyFill="1" applyBorder="1" applyAlignment="1">
      <alignment horizontal="right" vertical="top"/>
    </xf>
    <xf numFmtId="168" fontId="32" fillId="0" borderId="1" xfId="0" applyNumberFormat="1" applyFont="1" applyFill="1" applyBorder="1" applyAlignment="1">
      <alignment horizontal="right" vertical="top"/>
    </xf>
    <xf numFmtId="0" fontId="32" fillId="0" borderId="0" xfId="0" applyFont="1" applyFill="1" applyBorder="1" applyAlignment="1">
      <alignment vertical="top"/>
    </xf>
    <xf numFmtId="10" fontId="31" fillId="10" borderId="1" xfId="3" applyNumberFormat="1" applyFont="1" applyFill="1" applyBorder="1" applyAlignment="1">
      <alignment horizontal="right" vertical="top"/>
    </xf>
    <xf numFmtId="168" fontId="32" fillId="10" borderId="1" xfId="1" applyNumberFormat="1" applyFont="1" applyFill="1" applyBorder="1" applyAlignment="1">
      <alignment horizontal="right" vertical="top"/>
    </xf>
    <xf numFmtId="168" fontId="34" fillId="10" borderId="1" xfId="1" applyNumberFormat="1" applyFont="1" applyFill="1" applyBorder="1" applyAlignment="1">
      <alignment horizontal="right" vertical="top"/>
    </xf>
    <xf numFmtId="39" fontId="27" fillId="16" borderId="1" xfId="1" applyNumberFormat="1" applyFont="1" applyFill="1" applyBorder="1" applyAlignment="1">
      <alignment vertical="top"/>
    </xf>
    <xf numFmtId="10" fontId="34" fillId="8" borderId="1" xfId="1" applyNumberFormat="1" applyFont="1" applyFill="1" applyBorder="1" applyAlignment="1">
      <alignment horizontal="right" vertical="top"/>
    </xf>
    <xf numFmtId="0" fontId="31" fillId="0" borderId="0" xfId="0" applyFont="1" applyFill="1" applyBorder="1" applyAlignment="1">
      <alignment vertical="top"/>
    </xf>
    <xf numFmtId="170" fontId="31" fillId="0" borderId="1" xfId="1" applyNumberFormat="1" applyFont="1" applyFill="1" applyBorder="1" applyAlignment="1">
      <alignment vertical="top"/>
    </xf>
    <xf numFmtId="9" fontId="32" fillId="0" borderId="1" xfId="3" applyFont="1" applyFill="1" applyBorder="1" applyAlignment="1">
      <alignment vertical="top"/>
    </xf>
    <xf numFmtId="170" fontId="31" fillId="16" borderId="1" xfId="1" applyNumberFormat="1" applyFont="1" applyFill="1" applyBorder="1" applyAlignment="1">
      <alignment vertical="top"/>
    </xf>
    <xf numFmtId="39" fontId="32" fillId="0" borderId="1" xfId="1" applyNumberFormat="1" applyFont="1" applyFill="1" applyBorder="1" applyAlignment="1">
      <alignment vertical="top"/>
    </xf>
    <xf numFmtId="39" fontId="31" fillId="0" borderId="1" xfId="1" applyNumberFormat="1" applyFont="1" applyFill="1" applyBorder="1" applyAlignment="1">
      <alignment vertical="top"/>
    </xf>
    <xf numFmtId="170" fontId="32" fillId="0" borderId="1" xfId="1" applyNumberFormat="1" applyFont="1" applyFill="1" applyBorder="1" applyAlignment="1">
      <alignment vertical="top"/>
    </xf>
    <xf numFmtId="0" fontId="32" fillId="0" borderId="1" xfId="0" applyFont="1" applyFill="1" applyBorder="1" applyAlignment="1">
      <alignment vertical="top"/>
    </xf>
    <xf numFmtId="0" fontId="32" fillId="0" borderId="0" xfId="0" applyFont="1" applyAlignment="1">
      <alignment vertical="top"/>
    </xf>
    <xf numFmtId="0" fontId="32" fillId="0" borderId="2" xfId="0" applyFont="1" applyFill="1" applyBorder="1" applyAlignment="1">
      <alignment vertical="top" wrapText="1"/>
    </xf>
    <xf numFmtId="170" fontId="31" fillId="10" borderId="1" xfId="1" applyNumberFormat="1" applyFont="1" applyFill="1" applyBorder="1" applyAlignment="1">
      <alignment vertical="top"/>
    </xf>
    <xf numFmtId="10" fontId="31" fillId="10" borderId="1" xfId="1" applyNumberFormat="1" applyFont="1" applyFill="1" applyBorder="1" applyAlignment="1">
      <alignment vertical="top"/>
    </xf>
    <xf numFmtId="39" fontId="31" fillId="10" borderId="1" xfId="1" applyNumberFormat="1" applyFont="1" applyFill="1" applyBorder="1" applyAlignment="1">
      <alignment vertical="top"/>
    </xf>
    <xf numFmtId="0" fontId="32" fillId="0" borderId="1" xfId="0" applyFont="1" applyBorder="1" applyAlignment="1">
      <alignment horizontal="justify" vertical="top" wrapText="1"/>
    </xf>
    <xf numFmtId="9" fontId="32" fillId="9" borderId="1" xfId="3" applyFont="1" applyFill="1" applyBorder="1" applyAlignment="1">
      <alignment vertical="top"/>
    </xf>
    <xf numFmtId="0" fontId="32" fillId="9" borderId="1" xfId="0" applyFont="1" applyFill="1" applyBorder="1" applyAlignment="1">
      <alignment vertical="top"/>
    </xf>
    <xf numFmtId="0" fontId="32" fillId="0" borderId="1" xfId="0" applyFont="1" applyBorder="1" applyAlignment="1">
      <alignment vertical="top" wrapText="1"/>
    </xf>
    <xf numFmtId="9" fontId="32" fillId="8" borderId="1" xfId="3" applyFont="1" applyFill="1" applyBorder="1" applyAlignment="1">
      <alignment vertical="top"/>
    </xf>
    <xf numFmtId="0" fontId="32" fillId="0" borderId="7" xfId="0" applyNumberFormat="1" applyFont="1" applyFill="1" applyBorder="1" applyAlignment="1">
      <alignment vertical="top"/>
    </xf>
    <xf numFmtId="168" fontId="32" fillId="0" borderId="7" xfId="0" applyNumberFormat="1" applyFont="1" applyFill="1" applyBorder="1" applyAlignment="1">
      <alignment vertical="top"/>
    </xf>
    <xf numFmtId="3" fontId="32" fillId="0" borderId="1" xfId="0" applyNumberFormat="1" applyFont="1" applyFill="1" applyBorder="1" applyAlignment="1">
      <alignment vertical="top"/>
    </xf>
    <xf numFmtId="0" fontId="32" fillId="0" borderId="1" xfId="0" applyFont="1" applyBorder="1" applyAlignment="1">
      <alignment horizontal="justify" vertical="top"/>
    </xf>
    <xf numFmtId="0" fontId="32" fillId="0" borderId="1" xfId="0" applyFont="1" applyBorder="1" applyAlignment="1">
      <alignment horizontal="justify"/>
    </xf>
    <xf numFmtId="39" fontId="32" fillId="8" borderId="1" xfId="1" applyNumberFormat="1" applyFont="1" applyFill="1" applyBorder="1" applyAlignment="1">
      <alignment vertical="top"/>
    </xf>
    <xf numFmtId="0" fontId="32" fillId="0" borderId="0" xfId="0" applyFont="1" applyAlignment="1">
      <alignment horizontal="justify"/>
    </xf>
    <xf numFmtId="170" fontId="34" fillId="11" borderId="1" xfId="1" applyNumberFormat="1" applyFont="1" applyFill="1" applyBorder="1" applyAlignment="1">
      <alignment vertical="top"/>
    </xf>
    <xf numFmtId="39" fontId="35" fillId="11" borderId="1" xfId="1" applyNumberFormat="1" applyFont="1" applyFill="1" applyBorder="1" applyAlignment="1">
      <alignment vertical="top"/>
    </xf>
    <xf numFmtId="39" fontId="34" fillId="11" borderId="1" xfId="1" applyNumberFormat="1" applyFont="1" applyFill="1" applyBorder="1" applyAlignment="1">
      <alignment vertical="top"/>
    </xf>
    <xf numFmtId="170" fontId="35" fillId="11" borderId="1" xfId="1" applyNumberFormat="1" applyFont="1" applyFill="1" applyBorder="1" applyAlignment="1">
      <alignment vertical="top"/>
    </xf>
    <xf numFmtId="0" fontId="34" fillId="7" borderId="0" xfId="0" applyFont="1" applyFill="1" applyAlignment="1">
      <alignment vertical="top"/>
    </xf>
    <xf numFmtId="0" fontId="35" fillId="11" borderId="1" xfId="0" applyFont="1" applyFill="1" applyBorder="1" applyAlignment="1">
      <alignment horizontal="justify" vertical="top"/>
    </xf>
    <xf numFmtId="0" fontId="35" fillId="11" borderId="1" xfId="0" applyFont="1" applyFill="1" applyBorder="1" applyAlignment="1">
      <alignment horizontal="left" vertical="top" wrapText="1"/>
    </xf>
    <xf numFmtId="0" fontId="35" fillId="11" borderId="1" xfId="0" applyFont="1" applyFill="1" applyBorder="1" applyAlignment="1">
      <alignment horizontal="right" vertical="top" wrapText="1"/>
    </xf>
    <xf numFmtId="168" fontId="35" fillId="11" borderId="1" xfId="0" applyNumberFormat="1" applyFont="1" applyFill="1" applyBorder="1" applyAlignment="1">
      <alignment horizontal="right" vertical="top" wrapText="1"/>
    </xf>
    <xf numFmtId="168" fontId="35" fillId="11" borderId="1" xfId="1" applyNumberFormat="1" applyFont="1" applyFill="1" applyBorder="1" applyAlignment="1">
      <alignment horizontal="right" vertical="top"/>
    </xf>
    <xf numFmtId="39" fontId="35" fillId="11" borderId="1" xfId="1" applyNumberFormat="1" applyFont="1" applyFill="1" applyBorder="1" applyAlignment="1">
      <alignment horizontal="right" vertical="top"/>
    </xf>
    <xf numFmtId="9" fontId="35" fillId="11" borderId="1" xfId="3" applyFont="1" applyFill="1" applyBorder="1" applyAlignment="1">
      <alignment horizontal="left" vertical="top"/>
    </xf>
    <xf numFmtId="168" fontId="32" fillId="0" borderId="1" xfId="0" applyNumberFormat="1" applyFont="1" applyBorder="1" applyAlignment="1">
      <alignment horizontal="right" vertical="top"/>
    </xf>
    <xf numFmtId="9" fontId="31" fillId="0" borderId="1" xfId="3" applyFont="1" applyBorder="1" applyAlignment="1">
      <alignment horizontal="right" vertical="top"/>
    </xf>
    <xf numFmtId="0" fontId="32" fillId="0" borderId="1" xfId="0" applyFont="1" applyBorder="1" applyAlignment="1">
      <alignment vertical="top"/>
    </xf>
    <xf numFmtId="0" fontId="32" fillId="0" borderId="1" xfId="0" applyFont="1" applyBorder="1" applyAlignment="1">
      <alignment horizontal="right" vertical="top" wrapText="1"/>
    </xf>
    <xf numFmtId="168" fontId="32" fillId="0" borderId="1" xfId="0" applyNumberFormat="1" applyFont="1" applyBorder="1" applyAlignment="1">
      <alignment horizontal="right" vertical="top" wrapText="1"/>
    </xf>
    <xf numFmtId="168" fontId="31" fillId="0" borderId="1" xfId="0" applyNumberFormat="1" applyFont="1" applyBorder="1" applyAlignment="1">
      <alignment horizontal="right" vertical="top" wrapText="1"/>
    </xf>
    <xf numFmtId="169" fontId="31" fillId="10" borderId="1" xfId="1" applyNumberFormat="1" applyFont="1" applyFill="1" applyBorder="1" applyAlignment="1">
      <alignment horizontal="right" vertical="top"/>
    </xf>
    <xf numFmtId="9" fontId="31" fillId="10" borderId="1" xfId="3" applyFont="1" applyFill="1" applyBorder="1" applyAlignment="1">
      <alignment horizontal="right" vertical="top"/>
    </xf>
    <xf numFmtId="169" fontId="31" fillId="10" borderId="1" xfId="1" applyNumberFormat="1" applyFont="1" applyFill="1" applyBorder="1" applyAlignment="1">
      <alignment vertical="top"/>
    </xf>
    <xf numFmtId="168" fontId="34" fillId="11" borderId="1" xfId="0" applyNumberFormat="1" applyFont="1" applyFill="1" applyBorder="1" applyAlignment="1">
      <alignment horizontal="right" vertical="top"/>
    </xf>
    <xf numFmtId="169" fontId="34" fillId="11" borderId="1" xfId="0" applyNumberFormat="1" applyFont="1" applyFill="1" applyBorder="1" applyAlignment="1">
      <alignment horizontal="right" vertical="top"/>
    </xf>
    <xf numFmtId="0" fontId="34" fillId="11" borderId="1" xfId="0" applyFont="1" applyFill="1" applyBorder="1" applyAlignment="1">
      <alignment horizontal="right" vertical="top"/>
    </xf>
    <xf numFmtId="0" fontId="31" fillId="7" borderId="0" xfId="0" applyFont="1" applyFill="1" applyBorder="1" applyAlignment="1">
      <alignment vertical="top"/>
    </xf>
    <xf numFmtId="168" fontId="31" fillId="6" borderId="1" xfId="1" applyNumberFormat="1" applyFont="1" applyFill="1" applyBorder="1" applyAlignment="1">
      <alignment horizontal="right" vertical="top"/>
    </xf>
    <xf numFmtId="10" fontId="31" fillId="6" borderId="1" xfId="1" applyNumberFormat="1" applyFont="1" applyFill="1" applyBorder="1" applyAlignment="1">
      <alignment horizontal="right" vertical="top"/>
    </xf>
    <xf numFmtId="39" fontId="31" fillId="6" borderId="1" xfId="1" applyNumberFormat="1" applyFont="1" applyFill="1" applyBorder="1" applyAlignment="1">
      <alignment vertical="top"/>
    </xf>
    <xf numFmtId="0" fontId="32" fillId="12" borderId="1" xfId="0" applyFont="1" applyFill="1" applyBorder="1" applyAlignment="1">
      <alignment vertical="top"/>
    </xf>
    <xf numFmtId="0" fontId="32" fillId="12" borderId="1" xfId="0" applyFont="1" applyFill="1" applyBorder="1" applyAlignment="1">
      <alignment vertical="top" wrapText="1"/>
    </xf>
    <xf numFmtId="0" fontId="32" fillId="12" borderId="1" xfId="0" applyFont="1" applyFill="1" applyBorder="1" applyAlignment="1">
      <alignment horizontal="right" vertical="top" wrapText="1"/>
    </xf>
    <xf numFmtId="168" fontId="32" fillId="12" borderId="1" xfId="0" applyNumberFormat="1" applyFont="1" applyFill="1" applyBorder="1" applyAlignment="1">
      <alignment horizontal="right" vertical="top" wrapText="1"/>
    </xf>
    <xf numFmtId="168" fontId="31" fillId="12" borderId="1" xfId="0" applyNumberFormat="1" applyFont="1" applyFill="1" applyBorder="1" applyAlignment="1">
      <alignment horizontal="right" vertical="top" wrapText="1"/>
    </xf>
    <xf numFmtId="0" fontId="31" fillId="0" borderId="0" xfId="0" applyFont="1" applyFill="1" applyBorder="1" applyAlignment="1">
      <alignment vertical="top" wrapText="1"/>
    </xf>
    <xf numFmtId="0" fontId="32" fillId="0" borderId="1" xfId="0" applyFont="1" applyFill="1" applyBorder="1" applyAlignment="1">
      <alignment horizontal="left" vertical="top"/>
    </xf>
    <xf numFmtId="0" fontId="16" fillId="0" borderId="0" xfId="0" applyFont="1" applyAlignment="1">
      <alignment wrapText="1"/>
    </xf>
    <xf numFmtId="0" fontId="16" fillId="0" borderId="1" xfId="0" applyFont="1" applyFill="1" applyBorder="1" applyAlignment="1">
      <alignment vertical="top" wrapText="1"/>
    </xf>
    <xf numFmtId="0" fontId="32" fillId="0" borderId="0" xfId="0" applyFont="1" applyFill="1" applyBorder="1" applyAlignment="1">
      <alignment horizontal="left" vertical="top"/>
    </xf>
    <xf numFmtId="39" fontId="32" fillId="9" borderId="1" xfId="1" applyNumberFormat="1" applyFont="1" applyFill="1" applyBorder="1" applyAlignment="1">
      <alignment horizontal="right" vertical="top"/>
    </xf>
    <xf numFmtId="10" fontId="32" fillId="10" borderId="1" xfId="3" applyNumberFormat="1" applyFont="1" applyFill="1" applyBorder="1" applyAlignment="1">
      <alignment horizontal="right" vertical="top"/>
    </xf>
    <xf numFmtId="39" fontId="32" fillId="0" borderId="1" xfId="1" applyNumberFormat="1" applyFont="1" applyFill="1" applyBorder="1" applyAlignment="1">
      <alignment vertical="top" wrapText="1"/>
    </xf>
    <xf numFmtId="168" fontId="31" fillId="13" borderId="1" xfId="1" applyNumberFormat="1" applyFont="1" applyFill="1" applyBorder="1" applyAlignment="1">
      <alignment horizontal="right" vertical="top"/>
    </xf>
    <xf numFmtId="10" fontId="32" fillId="13" borderId="1" xfId="1" applyNumberFormat="1" applyFont="1" applyFill="1" applyBorder="1" applyAlignment="1">
      <alignment horizontal="right" vertical="top"/>
    </xf>
    <xf numFmtId="168" fontId="32" fillId="13" borderId="1" xfId="1" applyNumberFormat="1" applyFont="1" applyFill="1" applyBorder="1" applyAlignment="1">
      <alignment horizontal="right" vertical="top"/>
    </xf>
    <xf numFmtId="39" fontId="32" fillId="13" borderId="1" xfId="1" applyNumberFormat="1" applyFont="1" applyFill="1" applyBorder="1" applyAlignment="1">
      <alignment horizontal="right" vertical="top"/>
    </xf>
    <xf numFmtId="9" fontId="32" fillId="13" borderId="1" xfId="3" applyFont="1" applyFill="1" applyBorder="1" applyAlignment="1">
      <alignment horizontal="right" vertical="top"/>
    </xf>
    <xf numFmtId="39" fontId="32" fillId="13" borderId="1" xfId="1" applyNumberFormat="1" applyFont="1" applyFill="1" applyBorder="1" applyAlignment="1">
      <alignment horizontal="left" vertical="top"/>
    </xf>
    <xf numFmtId="0" fontId="31" fillId="7" borderId="0" xfId="0" applyFont="1" applyFill="1" applyBorder="1" applyAlignment="1">
      <alignment horizontal="left" vertical="top"/>
    </xf>
    <xf numFmtId="0" fontId="31" fillId="8" borderId="1" xfId="0" applyFont="1" applyFill="1" applyBorder="1" applyAlignment="1">
      <alignment horizontal="right" vertical="top"/>
    </xf>
    <xf numFmtId="168" fontId="31" fillId="8" borderId="1" xfId="0" applyNumberFormat="1" applyFont="1" applyFill="1" applyBorder="1" applyAlignment="1">
      <alignment horizontal="right" vertical="top"/>
    </xf>
    <xf numFmtId="168" fontId="31" fillId="8" borderId="1" xfId="0" applyNumberFormat="1" applyFont="1" applyFill="1" applyBorder="1" applyAlignment="1">
      <alignment horizontal="right" vertical="top" wrapText="1"/>
    </xf>
    <xf numFmtId="0" fontId="31" fillId="8" borderId="1" xfId="0" applyFont="1" applyFill="1" applyBorder="1" applyAlignment="1">
      <alignment horizontal="right" vertical="top" wrapText="1"/>
    </xf>
    <xf numFmtId="0" fontId="31" fillId="8" borderId="1" xfId="0" applyFont="1" applyFill="1" applyBorder="1" applyAlignment="1">
      <alignment horizontal="center" vertical="top" wrapText="1"/>
    </xf>
    <xf numFmtId="0" fontId="32" fillId="7" borderId="0" xfId="0" applyFont="1" applyFill="1" applyBorder="1" applyAlignment="1">
      <alignment vertical="top"/>
    </xf>
    <xf numFmtId="167" fontId="31" fillId="8" borderId="1" xfId="0" applyNumberFormat="1" applyFont="1" applyFill="1" applyBorder="1" applyAlignment="1">
      <alignment horizontal="right" vertical="top" wrapText="1"/>
    </xf>
    <xf numFmtId="9" fontId="32" fillId="10" borderId="1" xfId="3" applyFont="1" applyFill="1" applyBorder="1" applyAlignment="1">
      <alignment horizontal="right" vertical="top"/>
    </xf>
    <xf numFmtId="168" fontId="31" fillId="0" borderId="1" xfId="0" applyNumberFormat="1" applyFont="1" applyFill="1" applyBorder="1" applyAlignment="1">
      <alignment horizontal="right" vertical="top"/>
    </xf>
    <xf numFmtId="168" fontId="31" fillId="16" borderId="1" xfId="0" applyNumberFormat="1" applyFont="1" applyFill="1" applyBorder="1" applyAlignment="1">
      <alignment horizontal="right" vertical="top"/>
    </xf>
    <xf numFmtId="39" fontId="32" fillId="0" borderId="1" xfId="0" applyNumberFormat="1" applyFont="1" applyFill="1" applyBorder="1" applyAlignment="1">
      <alignment horizontal="right" vertical="top"/>
    </xf>
    <xf numFmtId="39" fontId="32" fillId="0" borderId="1" xfId="0" applyNumberFormat="1" applyFont="1" applyFill="1" applyBorder="1" applyAlignment="1">
      <alignment vertical="top"/>
    </xf>
    <xf numFmtId="0" fontId="32" fillId="0" borderId="4" xfId="0" applyFont="1" applyFill="1" applyBorder="1" applyAlignment="1">
      <alignment horizontal="right" vertical="top" wrapText="1"/>
    </xf>
    <xf numFmtId="168" fontId="31" fillId="5" borderId="1" xfId="0" applyNumberFormat="1" applyFont="1" applyFill="1" applyBorder="1" applyAlignment="1">
      <alignment horizontal="right" vertical="top"/>
    </xf>
    <xf numFmtId="10" fontId="32" fillId="5" borderId="1" xfId="1" applyNumberFormat="1" applyFont="1" applyFill="1" applyBorder="1" applyAlignment="1">
      <alignment horizontal="right" vertical="top"/>
    </xf>
    <xf numFmtId="39" fontId="31" fillId="5" borderId="1" xfId="0" applyNumberFormat="1" applyFont="1" applyFill="1" applyBorder="1" applyAlignment="1">
      <alignment horizontal="right" vertical="top"/>
    </xf>
    <xf numFmtId="39" fontId="31" fillId="5" borderId="1" xfId="0" applyNumberFormat="1" applyFont="1" applyFill="1" applyBorder="1" applyAlignment="1">
      <alignment vertical="top"/>
    </xf>
    <xf numFmtId="39" fontId="31" fillId="0" borderId="1" xfId="0" applyNumberFormat="1" applyFont="1" applyFill="1" applyBorder="1" applyAlignment="1">
      <alignment horizontal="right" vertical="top"/>
    </xf>
    <xf numFmtId="39" fontId="31" fillId="16" borderId="1" xfId="0" applyNumberFormat="1" applyFont="1" applyFill="1" applyBorder="1" applyAlignment="1">
      <alignment horizontal="right" vertical="top"/>
    </xf>
    <xf numFmtId="39" fontId="31" fillId="0" borderId="1" xfId="0" applyNumberFormat="1" applyFont="1" applyFill="1" applyBorder="1" applyAlignment="1">
      <alignment vertical="top"/>
    </xf>
    <xf numFmtId="0" fontId="31" fillId="0" borderId="1" xfId="0" applyFont="1" applyFill="1" applyBorder="1" applyAlignment="1">
      <alignment horizontal="right" vertical="top"/>
    </xf>
    <xf numFmtId="9" fontId="32" fillId="0" borderId="0" xfId="3" applyNumberFormat="1" applyFont="1" applyBorder="1" applyAlignment="1">
      <alignment vertical="top"/>
    </xf>
    <xf numFmtId="168" fontId="32" fillId="0" borderId="0" xfId="0" applyNumberFormat="1" applyFont="1" applyBorder="1" applyAlignment="1">
      <alignment horizontal="left" vertical="top"/>
    </xf>
    <xf numFmtId="168" fontId="31" fillId="0" borderId="0" xfId="0" applyNumberFormat="1" applyFont="1" applyBorder="1" applyAlignment="1">
      <alignment horizontal="left" vertical="top"/>
    </xf>
    <xf numFmtId="0" fontId="14" fillId="0" borderId="0" xfId="0" applyFont="1" applyBorder="1" applyAlignment="1">
      <alignment vertical="top"/>
    </xf>
    <xf numFmtId="10" fontId="7" fillId="0" borderId="1" xfId="1" applyNumberFormat="1" applyFont="1" applyFill="1" applyBorder="1" applyAlignment="1">
      <alignment horizontal="right" vertical="top"/>
    </xf>
    <xf numFmtId="0" fontId="7" fillId="0" borderId="0" xfId="0" applyFont="1" applyFill="1" applyBorder="1" applyAlignment="1">
      <alignment vertical="top"/>
    </xf>
    <xf numFmtId="10" fontId="34" fillId="10" borderId="1" xfId="1" applyNumberFormat="1" applyFont="1" applyFill="1" applyBorder="1" applyAlignment="1">
      <alignment vertical="top"/>
    </xf>
    <xf numFmtId="170" fontId="34" fillId="10" borderId="1" xfId="1" applyNumberFormat="1" applyFont="1" applyFill="1" applyBorder="1" applyAlignment="1">
      <alignment vertical="top"/>
    </xf>
    <xf numFmtId="168" fontId="35" fillId="10" borderId="1" xfId="1" applyNumberFormat="1" applyFont="1" applyFill="1" applyBorder="1" applyAlignment="1">
      <alignment horizontal="right" vertical="top"/>
    </xf>
    <xf numFmtId="39" fontId="34" fillId="10" borderId="1" xfId="1" applyNumberFormat="1" applyFont="1" applyFill="1" applyBorder="1" applyAlignment="1">
      <alignment vertical="top"/>
    </xf>
    <xf numFmtId="172" fontId="31" fillId="16" borderId="1" xfId="1" applyNumberFormat="1" applyFont="1" applyFill="1" applyBorder="1" applyAlignment="1">
      <alignment horizontal="right" vertical="center" wrapText="1"/>
    </xf>
    <xf numFmtId="10" fontId="34" fillId="10" borderId="1" xfId="0" applyNumberFormat="1" applyFont="1" applyFill="1" applyBorder="1" applyAlignment="1">
      <alignment horizontal="right" vertical="top"/>
    </xf>
    <xf numFmtId="168" fontId="34" fillId="10" borderId="1" xfId="0" applyNumberFormat="1" applyFont="1" applyFill="1" applyBorder="1" applyAlignment="1">
      <alignment horizontal="right" vertical="top"/>
    </xf>
    <xf numFmtId="9" fontId="32" fillId="22" borderId="1" xfId="3" applyFont="1" applyFill="1" applyBorder="1" applyAlignment="1">
      <alignment horizontal="right" vertical="top"/>
    </xf>
    <xf numFmtId="0" fontId="31" fillId="16" borderId="1" xfId="2" applyNumberFormat="1" applyFont="1" applyFill="1" applyBorder="1" applyAlignment="1">
      <alignment horizontal="right" vertical="top" wrapText="1"/>
    </xf>
    <xf numFmtId="9" fontId="32" fillId="16" borderId="1" xfId="3" applyFont="1" applyFill="1" applyBorder="1" applyAlignment="1">
      <alignment horizontal="right" vertical="top"/>
    </xf>
    <xf numFmtId="9" fontId="32" fillId="6" borderId="1" xfId="3" applyFont="1" applyFill="1" applyBorder="1" applyAlignment="1">
      <alignment horizontal="right" vertical="top"/>
    </xf>
    <xf numFmtId="10" fontId="32" fillId="22" borderId="1" xfId="1" applyNumberFormat="1" applyFont="1" applyFill="1" applyBorder="1" applyAlignment="1">
      <alignment horizontal="right" vertical="top"/>
    </xf>
    <xf numFmtId="0" fontId="32" fillId="22" borderId="1" xfId="0" applyFont="1" applyFill="1" applyBorder="1" applyAlignment="1">
      <alignment horizontal="right" vertical="top"/>
    </xf>
    <xf numFmtId="9" fontId="14" fillId="10" borderId="1" xfId="3" applyFont="1" applyFill="1" applyBorder="1" applyAlignment="1">
      <alignment horizontal="right" vertical="top"/>
    </xf>
    <xf numFmtId="0" fontId="32" fillId="22" borderId="1" xfId="0" applyFont="1" applyFill="1" applyBorder="1" applyAlignment="1">
      <alignment horizontal="right" vertical="top" wrapText="1"/>
    </xf>
    <xf numFmtId="168" fontId="32" fillId="22" borderId="1" xfId="0" applyNumberFormat="1" applyFont="1" applyFill="1" applyBorder="1" applyAlignment="1">
      <alignment horizontal="right" vertical="top"/>
    </xf>
    <xf numFmtId="168" fontId="32" fillId="22" borderId="1" xfId="0" applyNumberFormat="1" applyFont="1" applyFill="1" applyBorder="1" applyAlignment="1">
      <alignment horizontal="right" vertical="top" wrapText="1"/>
    </xf>
    <xf numFmtId="172" fontId="31" fillId="16" borderId="1" xfId="5" applyNumberFormat="1" applyFont="1" applyFill="1" applyBorder="1" applyAlignment="1">
      <alignment horizontal="right" vertical="top"/>
    </xf>
    <xf numFmtId="172" fontId="36" fillId="16" borderId="1" xfId="5" applyNumberFormat="1" applyFont="1" applyFill="1" applyBorder="1" applyAlignment="1">
      <alignment vertical="top"/>
    </xf>
    <xf numFmtId="172" fontId="36" fillId="16" borderId="1" xfId="5" applyNumberFormat="1" applyFont="1" applyFill="1" applyBorder="1"/>
    <xf numFmtId="172" fontId="32" fillId="16" borderId="1" xfId="0" applyNumberFormat="1" applyFont="1" applyFill="1" applyBorder="1" applyAlignment="1">
      <alignment horizontal="right" vertical="top"/>
    </xf>
    <xf numFmtId="172" fontId="32" fillId="16" borderId="1" xfId="0" applyNumberFormat="1" applyFont="1" applyFill="1" applyBorder="1" applyAlignment="1">
      <alignment horizontal="right" vertical="top" wrapText="1"/>
    </xf>
    <xf numFmtId="172" fontId="31" fillId="16" borderId="1" xfId="1" applyNumberFormat="1" applyFont="1" applyFill="1" applyBorder="1" applyAlignment="1">
      <alignment horizontal="right" vertical="top"/>
    </xf>
    <xf numFmtId="39" fontId="32" fillId="22" borderId="1" xfId="1" applyNumberFormat="1" applyFont="1" applyFill="1" applyBorder="1" applyAlignment="1">
      <alignment horizontal="right" vertical="top"/>
    </xf>
    <xf numFmtId="168" fontId="32" fillId="22" borderId="1" xfId="1" applyNumberFormat="1" applyFont="1" applyFill="1" applyBorder="1" applyAlignment="1">
      <alignment horizontal="right" vertical="top"/>
    </xf>
    <xf numFmtId="172" fontId="32" fillId="16" borderId="1" xfId="5" applyNumberFormat="1" applyFont="1" applyFill="1" applyBorder="1" applyAlignment="1">
      <alignment horizontal="right" vertical="top"/>
    </xf>
    <xf numFmtId="172" fontId="32" fillId="16" borderId="1" xfId="5" applyNumberFormat="1" applyFont="1" applyFill="1" applyBorder="1" applyAlignment="1">
      <alignment horizontal="right" vertical="top" wrapText="1"/>
    </xf>
    <xf numFmtId="0" fontId="14" fillId="0" borderId="0" xfId="0" applyFont="1" applyBorder="1" applyAlignment="1">
      <alignment horizontal="right" vertical="top"/>
    </xf>
    <xf numFmtId="168" fontId="31" fillId="10" borderId="1" xfId="0" applyNumberFormat="1" applyFont="1" applyFill="1" applyBorder="1" applyAlignment="1">
      <alignment horizontal="right" vertical="top"/>
    </xf>
    <xf numFmtId="168" fontId="14" fillId="0" borderId="1" xfId="0" applyNumberFormat="1" applyFont="1" applyFill="1" applyBorder="1" applyAlignment="1">
      <alignment horizontal="right" vertical="top"/>
    </xf>
    <xf numFmtId="168" fontId="14" fillId="0" borderId="0" xfId="0" applyNumberFormat="1" applyFont="1" applyFill="1" applyBorder="1" applyAlignment="1">
      <alignment horizontal="right" vertical="top"/>
    </xf>
    <xf numFmtId="9" fontId="14" fillId="0" borderId="1" xfId="3" applyFont="1" applyFill="1" applyBorder="1" applyAlignment="1">
      <alignment horizontal="right" vertical="top"/>
    </xf>
    <xf numFmtId="168" fontId="14" fillId="0" borderId="0" xfId="0" applyNumberFormat="1" applyFont="1" applyBorder="1" applyAlignment="1">
      <alignment horizontal="left" vertical="top"/>
    </xf>
    <xf numFmtId="0" fontId="7" fillId="0" borderId="0" xfId="0" applyFont="1" applyFill="1" applyBorder="1" applyAlignment="1">
      <alignment horizontal="right" vertical="top"/>
    </xf>
    <xf numFmtId="168" fontId="7" fillId="0" borderId="0" xfId="0" applyNumberFormat="1" applyFont="1" applyFill="1" applyBorder="1" applyAlignment="1">
      <alignment horizontal="right" vertical="top"/>
    </xf>
    <xf numFmtId="168" fontId="14" fillId="0" borderId="0" xfId="0" applyNumberFormat="1" applyFont="1" applyBorder="1" applyAlignment="1">
      <alignment horizontal="right" vertical="top"/>
    </xf>
    <xf numFmtId="168" fontId="7" fillId="0" borderId="0" xfId="0" applyNumberFormat="1" applyFont="1" applyBorder="1" applyAlignment="1">
      <alignment horizontal="right" vertical="top"/>
    </xf>
    <xf numFmtId="0" fontId="7" fillId="0" borderId="0" xfId="0" applyFont="1" applyBorder="1" applyAlignment="1">
      <alignment horizontal="right" vertical="top"/>
    </xf>
    <xf numFmtId="0" fontId="14" fillId="0" borderId="0" xfId="0" applyFont="1" applyFill="1" applyBorder="1" applyAlignment="1">
      <alignment vertical="top" wrapText="1"/>
    </xf>
    <xf numFmtId="39" fontId="14" fillId="16" borderId="1" xfId="1" applyNumberFormat="1" applyFont="1" applyFill="1" applyBorder="1" applyAlignment="1">
      <alignment horizontal="right" vertical="top"/>
    </xf>
    <xf numFmtId="39" fontId="38" fillId="16" borderId="1" xfId="1" applyNumberFormat="1" applyFont="1" applyFill="1" applyBorder="1" applyAlignment="1">
      <alignment vertical="top"/>
    </xf>
    <xf numFmtId="0" fontId="14" fillId="7" borderId="0" xfId="0" applyFont="1" applyFill="1" applyBorder="1" applyAlignment="1">
      <alignment vertical="top"/>
    </xf>
    <xf numFmtId="0" fontId="39" fillId="0" borderId="0" xfId="0" applyFont="1" applyFill="1" applyBorder="1" applyAlignment="1">
      <alignment vertical="top"/>
    </xf>
    <xf numFmtId="0" fontId="7" fillId="0" borderId="0" xfId="0" applyFont="1" applyAlignment="1">
      <alignment vertical="top"/>
    </xf>
    <xf numFmtId="0" fontId="39" fillId="7" borderId="0" xfId="0" applyFont="1" applyFill="1" applyAlignment="1">
      <alignment vertical="top"/>
    </xf>
    <xf numFmtId="0" fontId="7" fillId="0" borderId="0" xfId="0" applyFont="1" applyFill="1" applyBorder="1" applyAlignment="1">
      <alignment horizontal="left" vertical="top"/>
    </xf>
    <xf numFmtId="0" fontId="14" fillId="7" borderId="0" xfId="0" applyFont="1" applyFill="1" applyBorder="1" applyAlignment="1">
      <alignment horizontal="left" vertical="top"/>
    </xf>
    <xf numFmtId="0" fontId="7" fillId="7" borderId="0" xfId="0" applyFont="1" applyFill="1" applyBorder="1" applyAlignment="1">
      <alignment vertical="top"/>
    </xf>
    <xf numFmtId="0" fontId="7" fillId="0" borderId="8" xfId="0" applyFont="1" applyBorder="1" applyAlignment="1">
      <alignment vertical="top" wrapText="1"/>
    </xf>
    <xf numFmtId="0" fontId="0" fillId="0" borderId="8" xfId="0" applyBorder="1" applyAlignment="1">
      <alignment vertical="top" wrapText="1"/>
    </xf>
    <xf numFmtId="0" fontId="2" fillId="0" borderId="8" xfId="0" applyFont="1" applyBorder="1" applyAlignment="1">
      <alignment vertical="top" wrapText="1"/>
    </xf>
    <xf numFmtId="0" fontId="14" fillId="7" borderId="0" xfId="0" applyFont="1" applyFill="1" applyBorder="1" applyAlignment="1">
      <alignment vertical="top" wrapText="1"/>
    </xf>
    <xf numFmtId="0" fontId="7" fillId="0" borderId="0" xfId="0" applyFont="1" applyBorder="1" applyAlignment="1">
      <alignment vertical="top" wrapText="1"/>
    </xf>
    <xf numFmtId="172" fontId="7" fillId="0" borderId="0" xfId="5" applyNumberFormat="1" applyFont="1" applyBorder="1" applyAlignment="1">
      <alignment vertical="top"/>
    </xf>
    <xf numFmtId="172" fontId="14" fillId="18" borderId="1" xfId="5" applyNumberFormat="1" applyFont="1" applyFill="1" applyBorder="1" applyAlignment="1">
      <alignment horizontal="left" vertical="top"/>
    </xf>
    <xf numFmtId="172" fontId="14" fillId="19" borderId="1" xfId="5" applyNumberFormat="1" applyFont="1" applyFill="1" applyBorder="1" applyAlignment="1">
      <alignment horizontal="right" vertical="top"/>
    </xf>
    <xf numFmtId="172" fontId="14" fillId="7" borderId="0" xfId="5" applyNumberFormat="1" applyFont="1" applyFill="1" applyBorder="1" applyAlignment="1">
      <alignment vertical="top" wrapText="1"/>
    </xf>
    <xf numFmtId="172" fontId="14" fillId="0" borderId="0" xfId="5" applyNumberFormat="1" applyFont="1" applyBorder="1" applyAlignment="1">
      <alignment vertical="top"/>
    </xf>
    <xf numFmtId="172" fontId="39" fillId="0" borderId="0" xfId="5" applyNumberFormat="1" applyFont="1" applyFill="1" applyBorder="1" applyAlignment="1">
      <alignment vertical="top"/>
    </xf>
    <xf numFmtId="172" fontId="7" fillId="0" borderId="0" xfId="5" applyNumberFormat="1" applyFont="1" applyAlignment="1">
      <alignment vertical="top"/>
    </xf>
    <xf numFmtId="172" fontId="39" fillId="7" borderId="0" xfId="5" applyNumberFormat="1" applyFont="1" applyFill="1" applyAlignment="1">
      <alignment vertical="top"/>
    </xf>
    <xf numFmtId="172" fontId="14" fillId="7" borderId="0" xfId="5" applyNumberFormat="1" applyFont="1" applyFill="1" applyBorder="1" applyAlignment="1">
      <alignment vertical="top"/>
    </xf>
    <xf numFmtId="172" fontId="14" fillId="0" borderId="0" xfId="5" applyNumberFormat="1" applyFont="1" applyFill="1" applyBorder="1" applyAlignment="1">
      <alignment vertical="top" wrapText="1"/>
    </xf>
    <xf numFmtId="172" fontId="14" fillId="0" borderId="0" xfId="5" applyNumberFormat="1" applyFont="1" applyFill="1" applyBorder="1" applyAlignment="1">
      <alignment vertical="top"/>
    </xf>
    <xf numFmtId="172" fontId="7" fillId="0" borderId="0" xfId="5" applyNumberFormat="1" applyFont="1" applyFill="1" applyBorder="1" applyAlignment="1">
      <alignment horizontal="left" vertical="top"/>
    </xf>
    <xf numFmtId="172" fontId="14" fillId="7" borderId="0" xfId="5" applyNumberFormat="1" applyFont="1" applyFill="1" applyBorder="1" applyAlignment="1">
      <alignment horizontal="left" vertical="top"/>
    </xf>
    <xf numFmtId="172" fontId="7" fillId="7" borderId="0" xfId="5" applyNumberFormat="1" applyFont="1" applyFill="1" applyBorder="1" applyAlignment="1">
      <alignment vertical="top"/>
    </xf>
    <xf numFmtId="172" fontId="7" fillId="0" borderId="0" xfId="5" applyNumberFormat="1" applyFont="1" applyFill="1" applyBorder="1" applyAlignment="1">
      <alignment vertical="top"/>
    </xf>
    <xf numFmtId="0" fontId="14" fillId="0" borderId="0" xfId="0" applyFont="1" applyBorder="1" applyAlignment="1">
      <alignment vertical="top" wrapText="1"/>
    </xf>
    <xf numFmtId="0" fontId="7" fillId="0" borderId="0" xfId="0" applyFont="1" applyBorder="1" applyAlignment="1">
      <alignment horizontal="center" vertical="top" wrapText="1"/>
    </xf>
    <xf numFmtId="172" fontId="7" fillId="0" borderId="0" xfId="0" applyNumberFormat="1" applyFont="1" applyBorder="1" applyAlignment="1">
      <alignment vertical="top"/>
    </xf>
    <xf numFmtId="172" fontId="14" fillId="18" borderId="1" xfId="0" applyNumberFormat="1" applyFont="1" applyFill="1" applyBorder="1" applyAlignment="1">
      <alignment horizontal="right" vertical="top"/>
    </xf>
    <xf numFmtId="172" fontId="14" fillId="0" borderId="1" xfId="0" applyNumberFormat="1" applyFont="1" applyFill="1" applyBorder="1" applyAlignment="1">
      <alignment horizontal="right" vertical="top"/>
    </xf>
    <xf numFmtId="172" fontId="14" fillId="0" borderId="1" xfId="0" applyNumberFormat="1" applyFont="1" applyBorder="1" applyAlignment="1">
      <alignment horizontal="right" vertical="top"/>
    </xf>
    <xf numFmtId="172" fontId="14" fillId="0" borderId="0" xfId="0" applyNumberFormat="1" applyFont="1" applyBorder="1" applyAlignment="1">
      <alignment vertical="top"/>
    </xf>
    <xf numFmtId="172" fontId="39" fillId="0" borderId="0" xfId="0" applyNumberFormat="1" applyFont="1" applyFill="1" applyBorder="1" applyAlignment="1">
      <alignment vertical="top"/>
    </xf>
    <xf numFmtId="172" fontId="7" fillId="0" borderId="0" xfId="0" applyNumberFormat="1" applyFont="1" applyAlignment="1">
      <alignment vertical="top"/>
    </xf>
    <xf numFmtId="172" fontId="39" fillId="7" borderId="0" xfId="0" applyNumberFormat="1" applyFont="1" applyFill="1" applyAlignment="1">
      <alignment vertical="top"/>
    </xf>
    <xf numFmtId="172" fontId="14" fillId="7" borderId="0" xfId="0" applyNumberFormat="1" applyFont="1" applyFill="1" applyBorder="1" applyAlignment="1">
      <alignment vertical="top"/>
    </xf>
    <xf numFmtId="172" fontId="14" fillId="7" borderId="0" xfId="0" applyNumberFormat="1" applyFont="1" applyFill="1" applyBorder="1" applyAlignment="1">
      <alignment vertical="top" wrapText="1"/>
    </xf>
    <xf numFmtId="172" fontId="14" fillId="0" borderId="0" xfId="0" applyNumberFormat="1" applyFont="1" applyFill="1" applyBorder="1" applyAlignment="1">
      <alignment vertical="top" wrapText="1"/>
    </xf>
    <xf numFmtId="172" fontId="14" fillId="0" borderId="0" xfId="0" applyNumberFormat="1" applyFont="1" applyFill="1" applyBorder="1" applyAlignment="1">
      <alignment vertical="top"/>
    </xf>
    <xf numFmtId="172" fontId="7" fillId="0" borderId="0" xfId="0" applyNumberFormat="1" applyFont="1" applyFill="1" applyBorder="1" applyAlignment="1">
      <alignment horizontal="left" vertical="top"/>
    </xf>
    <xf numFmtId="172" fontId="14" fillId="7" borderId="0" xfId="0" applyNumberFormat="1" applyFont="1" applyFill="1" applyBorder="1" applyAlignment="1">
      <alignment horizontal="left" vertical="top"/>
    </xf>
    <xf numFmtId="172" fontId="7" fillId="7" borderId="0" xfId="0" applyNumberFormat="1" applyFont="1" applyFill="1" applyBorder="1" applyAlignment="1">
      <alignment vertical="top"/>
    </xf>
    <xf numFmtId="172" fontId="7" fillId="0" borderId="0" xfId="0" applyNumberFormat="1" applyFont="1" applyFill="1" applyBorder="1" applyAlignment="1">
      <alignment vertical="top"/>
    </xf>
    <xf numFmtId="0" fontId="39" fillId="0" borderId="0" xfId="0" applyFont="1" applyFill="1" applyBorder="1" applyAlignment="1">
      <alignment vertical="top" wrapText="1"/>
    </xf>
    <xf numFmtId="0" fontId="7" fillId="0" borderId="0" xfId="0" applyFont="1" applyFill="1" applyBorder="1" applyAlignment="1">
      <alignment vertical="top" wrapText="1"/>
    </xf>
    <xf numFmtId="0" fontId="7" fillId="0" borderId="0" xfId="0" applyFont="1" applyAlignment="1">
      <alignment vertical="top" wrapText="1"/>
    </xf>
    <xf numFmtId="0" fontId="39" fillId="7" borderId="0" xfId="0" applyFont="1" applyFill="1" applyAlignment="1">
      <alignment vertical="top" wrapText="1"/>
    </xf>
    <xf numFmtId="0" fontId="7" fillId="0" borderId="0" xfId="0" applyFont="1" applyFill="1" applyBorder="1" applyAlignment="1">
      <alignment horizontal="left" vertical="top" wrapText="1"/>
    </xf>
    <xf numFmtId="0" fontId="14" fillId="7" borderId="0" xfId="0" applyFont="1" applyFill="1" applyBorder="1" applyAlignment="1">
      <alignment horizontal="left" vertical="top" wrapText="1"/>
    </xf>
    <xf numFmtId="0" fontId="7" fillId="7" borderId="0" xfId="0" applyFont="1" applyFill="1" applyBorder="1" applyAlignment="1">
      <alignment vertical="top" wrapText="1"/>
    </xf>
    <xf numFmtId="10" fontId="7" fillId="10" borderId="1" xfId="1" applyNumberFormat="1" applyFont="1" applyFill="1" applyBorder="1" applyAlignment="1">
      <alignment horizontal="right" vertical="top"/>
    </xf>
    <xf numFmtId="10" fontId="7" fillId="0" borderId="0" xfId="3" applyNumberFormat="1" applyFont="1" applyBorder="1" applyAlignment="1">
      <alignment horizontal="center" vertical="top"/>
    </xf>
    <xf numFmtId="10" fontId="7" fillId="0" borderId="0" xfId="3" applyNumberFormat="1" applyFont="1" applyBorder="1" applyAlignment="1">
      <alignment vertical="top"/>
    </xf>
    <xf numFmtId="10" fontId="14" fillId="18" borderId="1" xfId="3" applyNumberFormat="1" applyFont="1" applyFill="1" applyBorder="1" applyAlignment="1">
      <alignment horizontal="left" vertical="top"/>
    </xf>
    <xf numFmtId="10" fontId="14" fillId="16" borderId="1" xfId="3" applyNumberFormat="1" applyFont="1" applyFill="1" applyBorder="1" applyAlignment="1">
      <alignment horizontal="right" vertical="top"/>
    </xf>
    <xf numFmtId="10" fontId="14" fillId="7" borderId="0" xfId="3" applyNumberFormat="1" applyFont="1" applyFill="1" applyBorder="1" applyAlignment="1">
      <alignment vertical="top" wrapText="1"/>
    </xf>
    <xf numFmtId="10" fontId="39" fillId="0" borderId="0" xfId="3" applyNumberFormat="1" applyFont="1" applyFill="1" applyBorder="1" applyAlignment="1">
      <alignment vertical="top"/>
    </xf>
    <xf numFmtId="10" fontId="14" fillId="0" borderId="0" xfId="3" applyNumberFormat="1" applyFont="1" applyBorder="1" applyAlignment="1">
      <alignment vertical="top"/>
    </xf>
    <xf numFmtId="10" fontId="7" fillId="0" borderId="0" xfId="3" applyNumberFormat="1" applyFont="1" applyAlignment="1">
      <alignment vertical="top"/>
    </xf>
    <xf numFmtId="10" fontId="39" fillId="7" borderId="0" xfId="3" applyNumberFormat="1" applyFont="1" applyFill="1" applyAlignment="1">
      <alignment vertical="top"/>
    </xf>
    <xf numFmtId="10" fontId="14" fillId="7" borderId="0" xfId="3" applyNumberFormat="1" applyFont="1" applyFill="1" applyBorder="1" applyAlignment="1">
      <alignment vertical="top"/>
    </xf>
    <xf numFmtId="10" fontId="14" fillId="0" borderId="0" xfId="3" applyNumberFormat="1" applyFont="1" applyFill="1" applyBorder="1" applyAlignment="1">
      <alignment vertical="top" wrapText="1"/>
    </xf>
    <xf numFmtId="10" fontId="14" fillId="0" borderId="0" xfId="3" applyNumberFormat="1" applyFont="1" applyFill="1" applyBorder="1" applyAlignment="1">
      <alignment vertical="top"/>
    </xf>
    <xf numFmtId="10" fontId="7" fillId="0" borderId="0" xfId="3" applyNumberFormat="1" applyFont="1" applyFill="1" applyBorder="1" applyAlignment="1">
      <alignment horizontal="left" vertical="top"/>
    </xf>
    <xf numFmtId="10" fontId="14" fillId="7" borderId="0" xfId="3" applyNumberFormat="1" applyFont="1" applyFill="1" applyBorder="1" applyAlignment="1">
      <alignment horizontal="left" vertical="top"/>
    </xf>
    <xf numFmtId="10" fontId="7" fillId="7" borderId="0" xfId="3" applyNumberFormat="1" applyFont="1" applyFill="1" applyBorder="1" applyAlignment="1">
      <alignment vertical="top"/>
    </xf>
    <xf numFmtId="10" fontId="7" fillId="0" borderId="0" xfId="3" applyNumberFormat="1" applyFont="1" applyFill="1" applyBorder="1" applyAlignment="1">
      <alignment vertical="top"/>
    </xf>
    <xf numFmtId="0" fontId="7" fillId="10" borderId="0" xfId="0" applyFont="1" applyFill="1" applyBorder="1" applyAlignment="1">
      <alignment vertical="top" wrapText="1"/>
    </xf>
    <xf numFmtId="0" fontId="31" fillId="10" borderId="0" xfId="0" applyFont="1" applyFill="1" applyBorder="1" applyAlignment="1">
      <alignment vertical="top"/>
    </xf>
    <xf numFmtId="172" fontId="14" fillId="10" borderId="0" xfId="5" applyNumberFormat="1" applyFont="1" applyFill="1" applyBorder="1" applyAlignment="1">
      <alignment vertical="top"/>
    </xf>
    <xf numFmtId="10" fontId="14" fillId="10" borderId="0" xfId="5" applyNumberFormat="1" applyFont="1" applyFill="1" applyBorder="1" applyAlignment="1">
      <alignment vertical="top"/>
    </xf>
    <xf numFmtId="0" fontId="32" fillId="10" borderId="0" xfId="0" applyFont="1" applyFill="1" applyBorder="1" applyAlignment="1">
      <alignment vertical="top"/>
    </xf>
    <xf numFmtId="172" fontId="14" fillId="10" borderId="0" xfId="0" applyNumberFormat="1" applyFont="1" applyFill="1" applyBorder="1" applyAlignment="1">
      <alignment vertical="top"/>
    </xf>
    <xf numFmtId="10" fontId="14" fillId="10" borderId="0" xfId="3" applyNumberFormat="1" applyFont="1" applyFill="1" applyBorder="1" applyAlignment="1">
      <alignment vertical="top"/>
    </xf>
    <xf numFmtId="168" fontId="42" fillId="0" borderId="0" xfId="0" applyNumberFormat="1" applyFont="1" applyFill="1" applyBorder="1" applyAlignment="1">
      <alignment horizontal="left" vertical="top"/>
    </xf>
    <xf numFmtId="0" fontId="43" fillId="0" borderId="1" xfId="0" applyFont="1" applyFill="1" applyBorder="1" applyAlignment="1">
      <alignment horizontal="justify" vertical="top" wrapText="1"/>
    </xf>
    <xf numFmtId="0" fontId="43" fillId="0" borderId="0" xfId="0" applyFont="1" applyBorder="1" applyAlignment="1">
      <alignment vertical="top" wrapText="1"/>
    </xf>
    <xf numFmtId="0" fontId="43" fillId="0" borderId="1" xfId="0" applyFont="1" applyFill="1" applyBorder="1" applyAlignment="1">
      <alignment horizontal="justify" vertical="top"/>
    </xf>
    <xf numFmtId="0" fontId="31" fillId="0" borderId="1" xfId="0" applyFont="1" applyFill="1" applyBorder="1" applyAlignment="1">
      <alignment vertical="top" wrapText="1"/>
    </xf>
    <xf numFmtId="168" fontId="6" fillId="0" borderId="0" xfId="0" applyNumberFormat="1" applyFont="1" applyAlignment="1">
      <alignment horizontal="left" vertical="top" wrapText="1"/>
    </xf>
    <xf numFmtId="0" fontId="46" fillId="0" borderId="1" xfId="0" applyFont="1" applyFill="1" applyBorder="1" applyAlignment="1">
      <alignment horizontal="justify" vertical="top" wrapText="1"/>
    </xf>
    <xf numFmtId="0" fontId="46" fillId="0" borderId="1" xfId="0" applyFont="1" applyFill="1" applyBorder="1" applyAlignment="1">
      <alignment horizontal="left" vertical="top" wrapText="1"/>
    </xf>
    <xf numFmtId="0" fontId="47" fillId="0" borderId="1" xfId="0" applyFont="1" applyFill="1" applyBorder="1" applyAlignment="1">
      <alignment horizontal="right" vertical="top" wrapText="1"/>
    </xf>
    <xf numFmtId="168" fontId="48" fillId="0" borderId="1" xfId="1" applyNumberFormat="1" applyFont="1" applyFill="1" applyBorder="1" applyAlignment="1">
      <alignment horizontal="right" vertical="top"/>
    </xf>
    <xf numFmtId="10" fontId="47" fillId="0" borderId="1" xfId="1" applyNumberFormat="1" applyFont="1" applyFill="1" applyBorder="1" applyAlignment="1">
      <alignment horizontal="right" vertical="top"/>
    </xf>
    <xf numFmtId="10" fontId="47" fillId="16" borderId="1" xfId="1" applyNumberFormat="1" applyFont="1" applyFill="1" applyBorder="1" applyAlignment="1">
      <alignment horizontal="right" vertical="top"/>
    </xf>
    <xf numFmtId="168" fontId="47" fillId="0" borderId="1" xfId="1" applyNumberFormat="1" applyFont="1" applyFill="1" applyBorder="1" applyAlignment="1">
      <alignment horizontal="right" vertical="top"/>
    </xf>
    <xf numFmtId="168" fontId="47" fillId="0" borderId="1" xfId="0" applyNumberFormat="1" applyFont="1" applyFill="1" applyBorder="1" applyAlignment="1">
      <alignment horizontal="right" vertical="top" wrapText="1"/>
    </xf>
    <xf numFmtId="9" fontId="47" fillId="0" borderId="1" xfId="3" applyFont="1" applyFill="1" applyBorder="1" applyAlignment="1">
      <alignment horizontal="right" vertical="top" wrapText="1"/>
    </xf>
    <xf numFmtId="0" fontId="47" fillId="0" borderId="1" xfId="0" applyFont="1" applyFill="1" applyBorder="1" applyAlignment="1">
      <alignment horizontal="justify" vertical="top"/>
    </xf>
    <xf numFmtId="168" fontId="42" fillId="0" borderId="1" xfId="1" applyNumberFormat="1" applyFont="1" applyFill="1" applyBorder="1" applyAlignment="1">
      <alignment horizontal="right" vertical="top"/>
    </xf>
    <xf numFmtId="0" fontId="46" fillId="0" borderId="1" xfId="0" applyFont="1" applyFill="1" applyBorder="1" applyAlignment="1">
      <alignment horizontal="right" vertical="top" wrapText="1"/>
    </xf>
    <xf numFmtId="10" fontId="46" fillId="0" borderId="1" xfId="1" applyNumberFormat="1" applyFont="1" applyFill="1" applyBorder="1" applyAlignment="1">
      <alignment horizontal="right" vertical="top"/>
    </xf>
    <xf numFmtId="165" fontId="49" fillId="16" borderId="1" xfId="5" applyNumberFormat="1" applyFont="1" applyFill="1" applyBorder="1" applyAlignment="1">
      <alignment vertical="top"/>
    </xf>
    <xf numFmtId="10" fontId="46" fillId="16" borderId="1" xfId="1" applyNumberFormat="1" applyFont="1" applyFill="1" applyBorder="1" applyAlignment="1">
      <alignment horizontal="right" vertical="top"/>
    </xf>
    <xf numFmtId="168" fontId="46" fillId="0" borderId="1" xfId="1" applyNumberFormat="1" applyFont="1" applyFill="1" applyBorder="1" applyAlignment="1">
      <alignment horizontal="right" vertical="top"/>
    </xf>
    <xf numFmtId="0" fontId="46" fillId="0" borderId="1" xfId="1" applyNumberFormat="1" applyFont="1" applyFill="1" applyBorder="1" applyAlignment="1">
      <alignment horizontal="right" vertical="top"/>
    </xf>
    <xf numFmtId="0" fontId="46" fillId="0" borderId="1" xfId="0" applyFont="1" applyFill="1" applyBorder="1" applyAlignment="1">
      <alignment vertical="top" wrapText="1"/>
    </xf>
    <xf numFmtId="165" fontId="46" fillId="0" borderId="1" xfId="5" applyNumberFormat="1" applyFont="1" applyFill="1" applyBorder="1" applyAlignment="1">
      <alignment horizontal="right" vertical="top" wrapText="1"/>
    </xf>
    <xf numFmtId="0" fontId="17" fillId="0" borderId="1" xfId="8" applyFont="1" applyFill="1" applyBorder="1" applyAlignment="1">
      <alignment horizontal="right" vertical="top" wrapText="1"/>
    </xf>
    <xf numFmtId="168" fontId="17" fillId="0" borderId="1" xfId="8" applyNumberFormat="1" applyFont="1" applyFill="1" applyBorder="1" applyAlignment="1">
      <alignment horizontal="right" vertical="top" wrapText="1"/>
    </xf>
    <xf numFmtId="10" fontId="42" fillId="0" borderId="1" xfId="1" applyNumberFormat="1" applyFont="1" applyFill="1" applyBorder="1" applyAlignment="1">
      <alignment horizontal="right" vertical="top"/>
    </xf>
    <xf numFmtId="168" fontId="42" fillId="10" borderId="1" xfId="1" applyNumberFormat="1" applyFont="1" applyFill="1" applyBorder="1" applyAlignment="1">
      <alignment horizontal="right" vertical="top"/>
    </xf>
    <xf numFmtId="10" fontId="42" fillId="10" borderId="1" xfId="1" applyNumberFormat="1" applyFont="1" applyFill="1" applyBorder="1" applyAlignment="1">
      <alignment horizontal="right" vertical="top"/>
    </xf>
    <xf numFmtId="10" fontId="42" fillId="9" borderId="1" xfId="1" applyNumberFormat="1" applyFont="1" applyFill="1" applyBorder="1" applyAlignment="1">
      <alignment horizontal="right" vertical="top"/>
    </xf>
    <xf numFmtId="168" fontId="42" fillId="9" borderId="1" xfId="1" applyNumberFormat="1" applyFont="1" applyFill="1" applyBorder="1" applyAlignment="1">
      <alignment horizontal="right" vertical="top"/>
    </xf>
    <xf numFmtId="9" fontId="42" fillId="10" borderId="1" xfId="3" applyFont="1" applyFill="1" applyBorder="1" applyAlignment="1">
      <alignment vertical="top"/>
    </xf>
    <xf numFmtId="9" fontId="50" fillId="10" borderId="1" xfId="3" applyFont="1" applyFill="1" applyBorder="1" applyAlignment="1">
      <alignment vertical="top"/>
    </xf>
    <xf numFmtId="0" fontId="14" fillId="0" borderId="0" xfId="0" applyFont="1" applyFill="1" applyBorder="1" applyAlignment="1">
      <alignment horizontal="left" vertical="top"/>
    </xf>
    <xf numFmtId="0" fontId="42" fillId="0" borderId="0" xfId="0" applyFont="1" applyFill="1" applyBorder="1" applyAlignment="1">
      <alignment horizontal="left" vertical="top"/>
    </xf>
    <xf numFmtId="0" fontId="0" fillId="0" borderId="0" xfId="0" applyAlignment="1">
      <alignment vertical="top"/>
    </xf>
    <xf numFmtId="172" fontId="41" fillId="0" borderId="0" xfId="0" applyNumberFormat="1" applyFont="1" applyAlignment="1">
      <alignment vertical="top"/>
    </xf>
    <xf numFmtId="0" fontId="7" fillId="0" borderId="1" xfId="0" applyFont="1" applyFill="1" applyBorder="1" applyAlignment="1">
      <alignment horizontal="justify" vertical="top" wrapText="1"/>
    </xf>
    <xf numFmtId="0" fontId="7" fillId="0" borderId="1" xfId="0" applyFont="1" applyFill="1" applyBorder="1" applyAlignment="1">
      <alignment horizontal="left" vertical="top" wrapText="1"/>
    </xf>
    <xf numFmtId="0" fontId="40" fillId="0" borderId="1" xfId="0" applyFont="1" applyFill="1" applyBorder="1" applyAlignment="1">
      <alignment horizontal="right" vertical="top" wrapText="1"/>
    </xf>
    <xf numFmtId="168" fontId="53" fillId="0" borderId="1" xfId="0" applyNumberFormat="1" applyFont="1" applyFill="1" applyBorder="1" applyAlignment="1">
      <alignment horizontal="right" vertical="top" wrapText="1"/>
    </xf>
    <xf numFmtId="168" fontId="53" fillId="0" borderId="1" xfId="1" applyNumberFormat="1" applyFont="1" applyFill="1" applyBorder="1" applyAlignment="1">
      <alignment horizontal="right" vertical="top"/>
    </xf>
    <xf numFmtId="10" fontId="40" fillId="0" borderId="1" xfId="1" applyNumberFormat="1" applyFont="1" applyFill="1" applyBorder="1" applyAlignment="1">
      <alignment horizontal="right" vertical="top"/>
    </xf>
    <xf numFmtId="10" fontId="40" fillId="16" borderId="1" xfId="1" applyNumberFormat="1" applyFont="1" applyFill="1" applyBorder="1" applyAlignment="1">
      <alignment horizontal="right" vertical="top"/>
    </xf>
    <xf numFmtId="168" fontId="40" fillId="0" borderId="1" xfId="1" applyNumberFormat="1" applyFont="1" applyFill="1" applyBorder="1" applyAlignment="1">
      <alignment horizontal="right" vertical="top"/>
    </xf>
    <xf numFmtId="0" fontId="40" fillId="0" borderId="1" xfId="1" applyNumberFormat="1" applyFont="1" applyFill="1" applyBorder="1" applyAlignment="1">
      <alignment horizontal="right" vertical="top"/>
    </xf>
    <xf numFmtId="0" fontId="40" fillId="0" borderId="1" xfId="0" applyFont="1" applyFill="1" applyBorder="1" applyAlignment="1">
      <alignment vertical="top" wrapText="1"/>
    </xf>
    <xf numFmtId="0" fontId="40" fillId="0" borderId="1" xfId="0" applyFont="1" applyFill="1" applyBorder="1" applyAlignment="1">
      <alignment horizontal="justify" wrapText="1"/>
    </xf>
    <xf numFmtId="0" fontId="40" fillId="0" borderId="1" xfId="0" applyFont="1" applyFill="1" applyBorder="1" applyAlignment="1">
      <alignment horizontal="justify" vertical="top" wrapText="1"/>
    </xf>
    <xf numFmtId="0" fontId="40" fillId="0" borderId="1" xfId="0" applyFont="1" applyFill="1" applyBorder="1" applyAlignment="1">
      <alignment horizontal="left" vertical="top" wrapText="1"/>
    </xf>
    <xf numFmtId="168" fontId="40" fillId="0" borderId="1" xfId="0" applyNumberFormat="1" applyFont="1" applyFill="1" applyBorder="1" applyAlignment="1">
      <alignment horizontal="right" vertical="top" wrapText="1"/>
    </xf>
    <xf numFmtId="9" fontId="40" fillId="0" borderId="1" xfId="3" applyFont="1" applyFill="1" applyBorder="1" applyAlignment="1">
      <alignment horizontal="right" vertical="top" wrapText="1"/>
    </xf>
    <xf numFmtId="0" fontId="40" fillId="0" borderId="1" xfId="0" applyFont="1" applyFill="1" applyBorder="1" applyAlignment="1">
      <alignment horizontal="justify" vertical="top"/>
    </xf>
    <xf numFmtId="0" fontId="46" fillId="0" borderId="1" xfId="0" applyNumberFormat="1" applyFont="1" applyFill="1" applyBorder="1" applyAlignment="1">
      <alignment horizontal="right" vertical="top" wrapText="1"/>
    </xf>
    <xf numFmtId="168" fontId="46" fillId="0" borderId="1" xfId="0" applyNumberFormat="1" applyFont="1" applyFill="1" applyBorder="1" applyAlignment="1">
      <alignment horizontal="right" vertical="top" wrapText="1"/>
    </xf>
    <xf numFmtId="0" fontId="55" fillId="10" borderId="1" xfId="1" applyNumberFormat="1" applyFont="1" applyFill="1" applyBorder="1" applyAlignment="1">
      <alignment horizontal="right" vertical="top"/>
    </xf>
    <xf numFmtId="168" fontId="55" fillId="10" borderId="1" xfId="1" applyNumberFormat="1" applyFont="1" applyFill="1" applyBorder="1" applyAlignment="1">
      <alignment horizontal="right" vertical="top"/>
    </xf>
    <xf numFmtId="0" fontId="46" fillId="23" borderId="1" xfId="1" applyNumberFormat="1" applyFont="1" applyFill="1" applyBorder="1" applyAlignment="1">
      <alignment horizontal="right" vertical="top"/>
    </xf>
    <xf numFmtId="168" fontId="46" fillId="23" borderId="1" xfId="1" applyNumberFormat="1" applyFont="1" applyFill="1" applyBorder="1" applyAlignment="1">
      <alignment horizontal="right" vertical="top"/>
    </xf>
    <xf numFmtId="0" fontId="46" fillId="23" borderId="1" xfId="0" applyNumberFormat="1" applyFont="1" applyFill="1" applyBorder="1" applyAlignment="1">
      <alignment horizontal="right" vertical="top" wrapText="1"/>
    </xf>
    <xf numFmtId="168" fontId="46" fillId="23" borderId="1" xfId="0" applyNumberFormat="1" applyFont="1" applyFill="1" applyBorder="1" applyAlignment="1">
      <alignment horizontal="right" vertical="top" wrapText="1"/>
    </xf>
    <xf numFmtId="39" fontId="46" fillId="0" borderId="1" xfId="1" applyNumberFormat="1" applyFont="1" applyFill="1" applyBorder="1" applyAlignment="1">
      <alignment horizontal="right" vertical="top"/>
    </xf>
    <xf numFmtId="39" fontId="46" fillId="20" borderId="1" xfId="1" applyNumberFormat="1" applyFont="1" applyFill="1" applyBorder="1" applyAlignment="1">
      <alignment vertical="top"/>
    </xf>
    <xf numFmtId="39" fontId="55" fillId="10" borderId="1" xfId="1" applyNumberFormat="1" applyFont="1" applyFill="1" applyBorder="1" applyAlignment="1">
      <alignment vertical="top"/>
    </xf>
    <xf numFmtId="0" fontId="46" fillId="8" borderId="1" xfId="0" applyFont="1" applyFill="1" applyBorder="1" applyAlignment="1">
      <alignment vertical="top" wrapText="1"/>
    </xf>
    <xf numFmtId="0" fontId="46" fillId="8" borderId="7" xfId="0" applyNumberFormat="1" applyFont="1" applyFill="1" applyBorder="1" applyAlignment="1">
      <alignment vertical="top"/>
    </xf>
    <xf numFmtId="168" fontId="46" fillId="8" borderId="7" xfId="0" applyNumberFormat="1" applyFont="1" applyFill="1" applyBorder="1" applyAlignment="1">
      <alignment vertical="top"/>
    </xf>
    <xf numFmtId="3" fontId="46" fillId="8" borderId="1" xfId="0" applyNumberFormat="1" applyFont="1" applyFill="1" applyBorder="1" applyAlignment="1">
      <alignment vertical="top"/>
    </xf>
    <xf numFmtId="0" fontId="46" fillId="0" borderId="1" xfId="0" applyFont="1" applyBorder="1" applyAlignment="1">
      <alignment horizontal="right" vertical="top" wrapText="1"/>
    </xf>
    <xf numFmtId="168" fontId="46" fillId="0" borderId="1" xfId="0" applyNumberFormat="1" applyFont="1" applyBorder="1" applyAlignment="1">
      <alignment horizontal="right" vertical="top" wrapText="1"/>
    </xf>
    <xf numFmtId="169" fontId="55" fillId="10" borderId="1" xfId="1" applyNumberFormat="1" applyFont="1" applyFill="1" applyBorder="1" applyAlignment="1">
      <alignment horizontal="right" vertical="top"/>
    </xf>
    <xf numFmtId="168" fontId="56" fillId="11" borderId="1" xfId="0" applyNumberFormat="1" applyFont="1" applyFill="1" applyBorder="1" applyAlignment="1">
      <alignment horizontal="right" vertical="top"/>
    </xf>
    <xf numFmtId="168" fontId="57" fillId="6" borderId="1" xfId="1" applyNumberFormat="1" applyFont="1" applyFill="1" applyBorder="1" applyAlignment="1">
      <alignment horizontal="right" vertical="top"/>
    </xf>
    <xf numFmtId="0" fontId="46" fillId="0" borderId="1" xfId="0" applyFont="1" applyFill="1" applyBorder="1" applyAlignment="1">
      <alignment horizontal="right" vertical="top"/>
    </xf>
    <xf numFmtId="168" fontId="46" fillId="0" borderId="1" xfId="0" applyNumberFormat="1" applyFont="1" applyFill="1" applyBorder="1" applyAlignment="1">
      <alignment horizontal="right" vertical="top"/>
    </xf>
    <xf numFmtId="0" fontId="7" fillId="0" borderId="1" xfId="0" applyFont="1" applyFill="1" applyBorder="1" applyAlignment="1">
      <alignment horizontal="right" vertical="top"/>
    </xf>
    <xf numFmtId="168" fontId="7" fillId="0" borderId="1" xfId="0" applyNumberFormat="1" applyFont="1" applyFill="1" applyBorder="1" applyAlignment="1">
      <alignment horizontal="right" vertical="top"/>
    </xf>
    <xf numFmtId="0" fontId="7" fillId="0" borderId="1" xfId="0" applyFont="1" applyFill="1" applyBorder="1" applyAlignment="1">
      <alignment horizontal="right" vertical="top" wrapText="1"/>
    </xf>
    <xf numFmtId="168" fontId="7" fillId="0" borderId="1" xfId="0" applyNumberFormat="1" applyFont="1" applyFill="1" applyBorder="1" applyAlignment="1">
      <alignment horizontal="right" vertical="top" wrapText="1"/>
    </xf>
    <xf numFmtId="0" fontId="2" fillId="0" borderId="0" xfId="0" applyFont="1"/>
    <xf numFmtId="168" fontId="0" fillId="0" borderId="0" xfId="0" applyNumberFormat="1"/>
    <xf numFmtId="0" fontId="37" fillId="0" borderId="0" xfId="0" applyFont="1"/>
    <xf numFmtId="168" fontId="37" fillId="0" borderId="0" xfId="0" applyNumberFormat="1" applyFont="1"/>
    <xf numFmtId="168" fontId="0" fillId="16" borderId="0" xfId="0" applyNumberFormat="1" applyFill="1"/>
    <xf numFmtId="0" fontId="30" fillId="0" borderId="0" xfId="0" applyFont="1" applyBorder="1" applyAlignment="1">
      <alignment horizontal="center" vertical="top"/>
    </xf>
    <xf numFmtId="0" fontId="31" fillId="18" borderId="0" xfId="0" applyFont="1" applyFill="1" applyBorder="1" applyAlignment="1">
      <alignment horizontal="left" vertical="top"/>
    </xf>
    <xf numFmtId="10" fontId="31" fillId="16" borderId="0" xfId="1" applyNumberFormat="1" applyFont="1" applyFill="1" applyBorder="1" applyAlignment="1">
      <alignment horizontal="right" vertical="top"/>
    </xf>
    <xf numFmtId="10" fontId="14" fillId="16" borderId="0" xfId="1" applyNumberFormat="1" applyFont="1" applyFill="1" applyBorder="1" applyAlignment="1">
      <alignment horizontal="right" vertical="top"/>
    </xf>
    <xf numFmtId="10" fontId="31" fillId="16" borderId="0" xfId="0" applyNumberFormat="1" applyFont="1" applyFill="1" applyBorder="1" applyAlignment="1">
      <alignment horizontal="right" vertical="top"/>
    </xf>
    <xf numFmtId="0" fontId="40" fillId="16" borderId="1" xfId="1" applyNumberFormat="1" applyFont="1" applyFill="1" applyBorder="1" applyAlignment="1">
      <alignment horizontal="right" vertical="top"/>
    </xf>
    <xf numFmtId="165" fontId="58" fillId="16" borderId="1" xfId="5" applyNumberFormat="1" applyFont="1" applyFill="1" applyBorder="1" applyAlignment="1">
      <alignment vertical="top"/>
    </xf>
    <xf numFmtId="0" fontId="46" fillId="0" borderId="1" xfId="0" applyFont="1" applyFill="1" applyBorder="1" applyAlignment="1">
      <alignment horizontal="justify" vertical="top"/>
    </xf>
    <xf numFmtId="0" fontId="49" fillId="16" borderId="1" xfId="5" applyNumberFormat="1" applyFont="1" applyFill="1" applyBorder="1" applyAlignment="1">
      <alignment vertical="top"/>
    </xf>
    <xf numFmtId="0" fontId="46" fillId="16" borderId="1" xfId="1" applyNumberFormat="1" applyFont="1" applyFill="1" applyBorder="1" applyAlignment="1">
      <alignment horizontal="right" vertical="top"/>
    </xf>
    <xf numFmtId="0" fontId="58" fillId="16" borderId="1" xfId="5" applyNumberFormat="1" applyFont="1" applyFill="1" applyBorder="1" applyAlignment="1">
      <alignment vertical="top"/>
    </xf>
    <xf numFmtId="39" fontId="7" fillId="16" borderId="1" xfId="1" applyNumberFormat="1" applyFont="1" applyFill="1" applyBorder="1" applyAlignment="1">
      <alignment horizontal="right" vertical="top"/>
    </xf>
    <xf numFmtId="9" fontId="40" fillId="16" borderId="1" xfId="3" applyFont="1" applyFill="1" applyBorder="1" applyAlignment="1">
      <alignment horizontal="right" vertical="top"/>
    </xf>
    <xf numFmtId="0" fontId="31" fillId="10" borderId="1" xfId="3" applyNumberFormat="1" applyFont="1" applyFill="1" applyBorder="1" applyAlignment="1">
      <alignment horizontal="right" vertical="top"/>
    </xf>
    <xf numFmtId="0" fontId="32" fillId="12" borderId="1" xfId="0" applyNumberFormat="1" applyFont="1" applyFill="1" applyBorder="1" applyAlignment="1">
      <alignment horizontal="right" vertical="top" wrapText="1"/>
    </xf>
    <xf numFmtId="0" fontId="31" fillId="8" borderId="1" xfId="0" applyNumberFormat="1" applyFont="1" applyFill="1" applyBorder="1" applyAlignment="1">
      <alignment horizontal="right" vertical="top" wrapText="1"/>
    </xf>
    <xf numFmtId="172" fontId="7" fillId="16" borderId="1" xfId="5" applyNumberFormat="1" applyFont="1" applyFill="1" applyBorder="1" applyAlignment="1">
      <alignment horizontal="right" vertical="top" wrapText="1"/>
    </xf>
    <xf numFmtId="0" fontId="31" fillId="0" borderId="1" xfId="0" applyFont="1" applyFill="1" applyBorder="1" applyAlignment="1">
      <alignment horizontal="left" vertical="top"/>
    </xf>
    <xf numFmtId="0" fontId="31" fillId="0" borderId="0" xfId="0" applyFont="1" applyBorder="1" applyAlignment="1">
      <alignment horizontal="justify" vertical="top"/>
    </xf>
    <xf numFmtId="0" fontId="32" fillId="0" borderId="4" xfId="0" applyFont="1" applyFill="1" applyBorder="1" applyAlignment="1">
      <alignment horizontal="right" vertical="top" wrapText="1"/>
    </xf>
    <xf numFmtId="0" fontId="31" fillId="0" borderId="1" xfId="0" applyFont="1" applyFill="1" applyBorder="1" applyAlignment="1">
      <alignment horizontal="right" vertical="top"/>
    </xf>
    <xf numFmtId="0" fontId="0" fillId="0" borderId="0" xfId="0" applyAlignment="1">
      <alignment vertical="top"/>
    </xf>
    <xf numFmtId="9" fontId="31" fillId="8" borderId="1" xfId="3" applyFont="1" applyFill="1" applyBorder="1" applyAlignment="1">
      <alignment horizontal="right" vertical="top" wrapText="1"/>
    </xf>
    <xf numFmtId="9" fontId="31" fillId="5" borderId="1" xfId="3" applyFont="1" applyFill="1" applyBorder="1" applyAlignment="1">
      <alignment horizontal="right" vertical="top"/>
    </xf>
    <xf numFmtId="9" fontId="34" fillId="11" borderId="1" xfId="3" applyFont="1" applyFill="1" applyBorder="1" applyAlignment="1">
      <alignment horizontal="right" vertical="top"/>
    </xf>
    <xf numFmtId="9" fontId="31" fillId="13" borderId="1" xfId="3" applyFont="1" applyFill="1" applyBorder="1" applyAlignment="1">
      <alignment horizontal="right" vertical="top"/>
    </xf>
    <xf numFmtId="9" fontId="31" fillId="10" borderId="1" xfId="3" applyFont="1" applyFill="1" applyBorder="1" applyAlignment="1">
      <alignment vertical="top"/>
    </xf>
    <xf numFmtId="9" fontId="31" fillId="6" borderId="1" xfId="3" applyFont="1" applyFill="1" applyBorder="1" applyAlignment="1">
      <alignment horizontal="right" vertical="top"/>
    </xf>
    <xf numFmtId="9" fontId="34" fillId="11" borderId="1" xfId="3" applyFont="1" applyFill="1" applyBorder="1" applyAlignment="1">
      <alignment vertical="top"/>
    </xf>
    <xf numFmtId="9" fontId="40" fillId="24" borderId="1" xfId="3" applyFont="1" applyFill="1" applyBorder="1" applyAlignment="1">
      <alignment horizontal="right" vertical="top"/>
    </xf>
    <xf numFmtId="0" fontId="32" fillId="0" borderId="0" xfId="0" applyFont="1" applyFill="1" applyBorder="1" applyAlignment="1">
      <alignment horizontal="center" vertical="top"/>
    </xf>
    <xf numFmtId="1" fontId="42" fillId="0" borderId="1" xfId="3" applyNumberFormat="1" applyFont="1" applyBorder="1" applyAlignment="1">
      <alignment horizontal="right" vertical="top"/>
    </xf>
    <xf numFmtId="168" fontId="42" fillId="0" borderId="1" xfId="0" applyNumberFormat="1" applyFont="1" applyFill="1" applyBorder="1" applyAlignment="1">
      <alignment horizontal="left" vertical="top" wrapText="1"/>
    </xf>
    <xf numFmtId="0" fontId="42" fillId="14" borderId="1" xfId="0" applyFont="1" applyFill="1" applyBorder="1" applyAlignment="1">
      <alignment horizontal="right" vertical="top" wrapText="1"/>
    </xf>
    <xf numFmtId="0" fontId="46" fillId="0" borderId="1" xfId="0" applyFont="1" applyBorder="1" applyAlignment="1">
      <alignment horizontal="left" vertical="top"/>
    </xf>
    <xf numFmtId="168" fontId="46" fillId="0" borderId="1" xfId="0" applyNumberFormat="1" applyFont="1" applyBorder="1" applyAlignment="1">
      <alignment horizontal="right" vertical="top"/>
    </xf>
    <xf numFmtId="0" fontId="46" fillId="0" borderId="1" xfId="0" applyFont="1" applyBorder="1" applyAlignment="1">
      <alignment horizontal="right" vertical="top"/>
    </xf>
    <xf numFmtId="168" fontId="42" fillId="14" borderId="1" xfId="0" applyNumberFormat="1" applyFont="1" applyFill="1" applyBorder="1" applyAlignment="1">
      <alignment horizontal="right" vertical="top"/>
    </xf>
    <xf numFmtId="0" fontId="46" fillId="0" borderId="1" xfId="0" applyFont="1" applyFill="1" applyBorder="1" applyAlignment="1">
      <alignment horizontal="left" vertical="top"/>
    </xf>
    <xf numFmtId="0" fontId="42" fillId="0" borderId="1" xfId="0" applyFont="1" applyFill="1" applyBorder="1" applyAlignment="1">
      <alignment horizontal="right" vertical="top"/>
    </xf>
    <xf numFmtId="0" fontId="8" fillId="0" borderId="1" xfId="0" applyFont="1" applyFill="1" applyBorder="1" applyAlignment="1">
      <alignment horizontal="right" vertical="top"/>
    </xf>
    <xf numFmtId="168" fontId="6" fillId="0" borderId="1" xfId="0" applyNumberFormat="1" applyFont="1" applyFill="1" applyBorder="1" applyAlignment="1">
      <alignment horizontal="right" vertical="top" wrapText="1"/>
    </xf>
    <xf numFmtId="0" fontId="6" fillId="0" borderId="1" xfId="0" applyFont="1" applyFill="1" applyBorder="1" applyAlignment="1">
      <alignment horizontal="right" vertical="top" wrapText="1"/>
    </xf>
    <xf numFmtId="168" fontId="8" fillId="0" borderId="1" xfId="0" applyNumberFormat="1" applyFont="1" applyFill="1" applyBorder="1" applyAlignment="1">
      <alignment horizontal="left" vertical="top" wrapText="1"/>
    </xf>
    <xf numFmtId="0" fontId="8" fillId="0" borderId="1" xfId="0" applyFont="1" applyFill="1" applyBorder="1" applyAlignment="1">
      <alignment horizontal="left" vertical="top"/>
    </xf>
    <xf numFmtId="168" fontId="6" fillId="0" borderId="1" xfId="0" applyNumberFormat="1" applyFont="1" applyFill="1" applyBorder="1" applyAlignment="1">
      <alignment horizontal="right" vertical="top"/>
    </xf>
    <xf numFmtId="0" fontId="6" fillId="0" borderId="1" xfId="0" applyFont="1" applyFill="1" applyBorder="1" applyAlignment="1">
      <alignment horizontal="right" vertical="top"/>
    </xf>
    <xf numFmtId="168" fontId="8" fillId="0" borderId="1" xfId="0" applyNumberFormat="1" applyFont="1" applyFill="1" applyBorder="1" applyAlignment="1">
      <alignment horizontal="right" vertical="top"/>
    </xf>
    <xf numFmtId="168" fontId="42" fillId="14" borderId="1" xfId="0" applyNumberFormat="1" applyFont="1" applyFill="1" applyBorder="1" applyAlignment="1">
      <alignment horizontal="left" vertical="top"/>
    </xf>
    <xf numFmtId="168" fontId="60" fillId="14" borderId="0" xfId="0" applyNumberFormat="1" applyFont="1" applyFill="1" applyBorder="1" applyAlignment="1">
      <alignment horizontal="left" vertical="top"/>
    </xf>
    <xf numFmtId="10" fontId="60" fillId="14" borderId="0" xfId="0" applyNumberFormat="1" applyFont="1" applyFill="1" applyBorder="1" applyAlignment="1">
      <alignment horizontal="right" vertical="top"/>
    </xf>
    <xf numFmtId="10" fontId="61" fillId="14" borderId="0" xfId="0" applyNumberFormat="1" applyFont="1" applyFill="1" applyBorder="1" applyAlignment="1">
      <alignment horizontal="right" vertical="top"/>
    </xf>
    <xf numFmtId="0" fontId="31" fillId="14" borderId="0" xfId="0" applyFont="1" applyFill="1" applyBorder="1" applyAlignment="1">
      <alignment horizontal="right" vertical="top"/>
    </xf>
    <xf numFmtId="168" fontId="48" fillId="0" borderId="1" xfId="0" applyNumberFormat="1" applyFont="1" applyFill="1" applyBorder="1" applyAlignment="1">
      <alignment horizontal="right" vertical="top" wrapText="1"/>
    </xf>
    <xf numFmtId="165" fontId="62" fillId="16" borderId="1" xfId="5" applyNumberFormat="1" applyFont="1" applyFill="1" applyBorder="1" applyAlignment="1">
      <alignment vertical="top"/>
    </xf>
    <xf numFmtId="0" fontId="47" fillId="0" borderId="1" xfId="1" applyNumberFormat="1" applyFont="1" applyFill="1" applyBorder="1" applyAlignment="1">
      <alignment horizontal="right" vertical="top"/>
    </xf>
    <xf numFmtId="0" fontId="47" fillId="16" borderId="1" xfId="1" applyNumberFormat="1" applyFont="1" applyFill="1" applyBorder="1" applyAlignment="1">
      <alignment horizontal="right" vertical="top"/>
    </xf>
    <xf numFmtId="9" fontId="47" fillId="16" borderId="1" xfId="3" applyFont="1" applyFill="1" applyBorder="1" applyAlignment="1">
      <alignment horizontal="right" vertical="top"/>
    </xf>
    <xf numFmtId="0" fontId="47" fillId="0" borderId="1" xfId="0" applyFont="1" applyFill="1" applyBorder="1" applyAlignment="1">
      <alignment vertical="top" wrapText="1"/>
    </xf>
    <xf numFmtId="0" fontId="47" fillId="0" borderId="0" xfId="0" applyFont="1" applyBorder="1" applyAlignment="1">
      <alignment vertical="top" wrapText="1"/>
    </xf>
    <xf numFmtId="0" fontId="47" fillId="0" borderId="0" xfId="0" applyFont="1" applyBorder="1" applyAlignment="1">
      <alignment vertical="top"/>
    </xf>
    <xf numFmtId="172" fontId="46" fillId="0" borderId="0" xfId="5" applyNumberFormat="1" applyFont="1" applyBorder="1" applyAlignment="1">
      <alignment vertical="top"/>
    </xf>
    <xf numFmtId="10" fontId="46" fillId="0" borderId="0" xfId="3" applyNumberFormat="1" applyFont="1" applyBorder="1" applyAlignment="1">
      <alignment vertical="top"/>
    </xf>
    <xf numFmtId="172" fontId="46" fillId="0" borderId="0" xfId="0" applyNumberFormat="1" applyFont="1" applyBorder="1" applyAlignment="1">
      <alignment vertical="top"/>
    </xf>
    <xf numFmtId="0" fontId="46" fillId="0" borderId="0" xfId="0" applyFont="1" applyBorder="1" applyAlignment="1">
      <alignment vertical="top"/>
    </xf>
    <xf numFmtId="0" fontId="47" fillId="0" borderId="1" xfId="0" applyFont="1" applyFill="1" applyBorder="1" applyAlignment="1">
      <alignment horizontal="justify" wrapText="1"/>
    </xf>
    <xf numFmtId="0" fontId="47" fillId="0" borderId="1" xfId="0" applyFont="1" applyFill="1" applyBorder="1" applyAlignment="1">
      <alignment horizontal="justify" vertical="top" wrapText="1"/>
    </xf>
    <xf numFmtId="0" fontId="47" fillId="0" borderId="1" xfId="0" applyFont="1" applyFill="1" applyBorder="1" applyAlignment="1">
      <alignment horizontal="left" vertical="top" wrapText="1"/>
    </xf>
    <xf numFmtId="172" fontId="47" fillId="0" borderId="0" xfId="5" applyNumberFormat="1" applyFont="1" applyBorder="1" applyAlignment="1">
      <alignment vertical="top"/>
    </xf>
    <xf numFmtId="172" fontId="47" fillId="0" borderId="0" xfId="0" applyNumberFormat="1" applyFont="1" applyBorder="1" applyAlignment="1">
      <alignment vertical="top"/>
    </xf>
    <xf numFmtId="10" fontId="47" fillId="0" borderId="0" xfId="3" applyNumberFormat="1" applyFont="1" applyBorder="1" applyAlignment="1">
      <alignment vertical="top"/>
    </xf>
    <xf numFmtId="0" fontId="2" fillId="0" borderId="0" xfId="0" applyFont="1" applyAlignment="1">
      <alignment vertical="top"/>
    </xf>
    <xf numFmtId="168" fontId="42" fillId="0" borderId="1" xfId="0" applyNumberFormat="1" applyFont="1" applyFill="1" applyBorder="1" applyAlignment="1">
      <alignment horizontal="right" vertical="top" wrapText="1"/>
    </xf>
    <xf numFmtId="0" fontId="42" fillId="0" borderId="1" xfId="0" applyFont="1" applyFill="1" applyBorder="1" applyAlignment="1">
      <alignment horizontal="right" vertical="top" wrapText="1"/>
    </xf>
    <xf numFmtId="0" fontId="31" fillId="0" borderId="1" xfId="0" applyFont="1" applyFill="1" applyBorder="1" applyAlignment="1">
      <alignment horizontal="center" vertical="top" wrapText="1"/>
    </xf>
    <xf numFmtId="168" fontId="31" fillId="0" borderId="1" xfId="0" applyNumberFormat="1" applyFont="1" applyFill="1" applyBorder="1" applyAlignment="1">
      <alignment horizontal="center" vertical="top" wrapText="1"/>
    </xf>
    <xf numFmtId="168" fontId="31" fillId="0" borderId="1" xfId="2" applyNumberFormat="1" applyFont="1" applyFill="1" applyBorder="1" applyAlignment="1">
      <alignment horizontal="center" vertical="top" wrapText="1"/>
    </xf>
    <xf numFmtId="0" fontId="31" fillId="0" borderId="1" xfId="2" applyNumberFormat="1" applyFont="1" applyFill="1" applyBorder="1" applyAlignment="1">
      <alignment horizontal="center" vertical="top" wrapText="1"/>
    </xf>
    <xf numFmtId="0" fontId="31" fillId="0" borderId="1" xfId="2" applyNumberFormat="1" applyFont="1" applyFill="1" applyBorder="1" applyAlignment="1">
      <alignment horizontal="right" vertical="top" wrapText="1"/>
    </xf>
    <xf numFmtId="0" fontId="7" fillId="0" borderId="0" xfId="0" applyFont="1" applyFill="1" applyBorder="1" applyAlignment="1">
      <alignment horizontal="center" vertical="top" wrapText="1"/>
    </xf>
    <xf numFmtId="0" fontId="0" fillId="0" borderId="0" xfId="0" applyFill="1" applyAlignment="1">
      <alignment vertical="top"/>
    </xf>
    <xf numFmtId="172" fontId="41" fillId="0" borderId="0" xfId="0" applyNumberFormat="1" applyFont="1" applyFill="1" applyAlignment="1">
      <alignment vertical="top"/>
    </xf>
    <xf numFmtId="10" fontId="7" fillId="0" borderId="0" xfId="3" applyNumberFormat="1" applyFont="1" applyFill="1" applyBorder="1" applyAlignment="1">
      <alignment horizontal="center" vertical="top"/>
    </xf>
    <xf numFmtId="165" fontId="54" fillId="0" borderId="1" xfId="5" applyNumberFormat="1" applyFont="1" applyFill="1" applyBorder="1" applyAlignment="1">
      <alignment vertical="top"/>
    </xf>
    <xf numFmtId="9" fontId="40" fillId="0" borderId="1" xfId="3" applyFont="1" applyFill="1" applyBorder="1" applyAlignment="1">
      <alignment horizontal="right" vertical="top"/>
    </xf>
    <xf numFmtId="0" fontId="40" fillId="0" borderId="0" xfId="0" applyFont="1" applyFill="1" applyBorder="1" applyAlignment="1">
      <alignment vertical="top" wrapText="1"/>
    </xf>
    <xf numFmtId="0" fontId="40" fillId="0" borderId="0" xfId="0" applyFont="1" applyFill="1" applyBorder="1" applyAlignment="1">
      <alignment vertical="top"/>
    </xf>
    <xf numFmtId="172" fontId="40" fillId="0" borderId="0" xfId="5" applyNumberFormat="1" applyFont="1" applyFill="1" applyBorder="1" applyAlignment="1">
      <alignment vertical="top"/>
    </xf>
    <xf numFmtId="172" fontId="40" fillId="0" borderId="0" xfId="0" applyNumberFormat="1" applyFont="1" applyFill="1" applyBorder="1" applyAlignment="1">
      <alignment vertical="top"/>
    </xf>
    <xf numFmtId="10" fontId="40" fillId="0" borderId="0" xfId="3" applyNumberFormat="1" applyFont="1" applyFill="1" applyBorder="1" applyAlignment="1">
      <alignment vertical="top"/>
    </xf>
    <xf numFmtId="165" fontId="58" fillId="0" borderId="1" xfId="5" applyNumberFormat="1" applyFont="1" applyFill="1" applyBorder="1" applyAlignment="1">
      <alignment vertical="top"/>
    </xf>
    <xf numFmtId="0" fontId="43" fillId="0" borderId="0" xfId="0" applyFont="1" applyFill="1" applyBorder="1" applyAlignment="1">
      <alignment vertical="top" wrapText="1"/>
    </xf>
    <xf numFmtId="165" fontId="49" fillId="0" borderId="1" xfId="5" applyNumberFormat="1" applyFont="1" applyFill="1" applyBorder="1" applyAlignment="1">
      <alignment vertical="top"/>
    </xf>
    <xf numFmtId="9" fontId="42" fillId="0" borderId="1" xfId="3" applyFont="1" applyFill="1" applyBorder="1" applyAlignment="1">
      <alignment vertical="top"/>
    </xf>
    <xf numFmtId="10" fontId="14" fillId="0" borderId="0" xfId="5" applyNumberFormat="1" applyFont="1" applyFill="1" applyBorder="1" applyAlignment="1">
      <alignment vertical="top"/>
    </xf>
    <xf numFmtId="0" fontId="49" fillId="0" borderId="1" xfId="5" applyNumberFormat="1" applyFont="1" applyFill="1" applyBorder="1" applyAlignment="1">
      <alignment vertical="top"/>
    </xf>
    <xf numFmtId="0" fontId="45" fillId="0" borderId="1" xfId="0" applyFont="1" applyFill="1" applyBorder="1" applyAlignment="1">
      <alignment vertical="top" wrapText="1"/>
    </xf>
    <xf numFmtId="168" fontId="14" fillId="0" borderId="1" xfId="1" applyNumberFormat="1" applyFont="1" applyFill="1" applyBorder="1" applyAlignment="1">
      <alignment horizontal="right" vertical="top"/>
    </xf>
    <xf numFmtId="10" fontId="14" fillId="0" borderId="1" xfId="1" applyNumberFormat="1" applyFont="1" applyFill="1" applyBorder="1" applyAlignment="1">
      <alignment horizontal="right" vertical="top"/>
    </xf>
    <xf numFmtId="9" fontId="31" fillId="0" borderId="1" xfId="3" applyFont="1" applyFill="1" applyBorder="1" applyAlignment="1">
      <alignment horizontal="right" vertical="top"/>
    </xf>
    <xf numFmtId="9" fontId="34" fillId="0" borderId="1" xfId="3" applyFont="1" applyFill="1" applyBorder="1" applyAlignment="1">
      <alignment vertical="top"/>
    </xf>
    <xf numFmtId="0" fontId="33" fillId="0" borderId="1" xfId="5" applyNumberFormat="1" applyFont="1" applyFill="1" applyBorder="1" applyAlignment="1">
      <alignment vertical="top"/>
    </xf>
    <xf numFmtId="10" fontId="31" fillId="0" borderId="1" xfId="1" applyNumberFormat="1" applyFont="1" applyFill="1" applyBorder="1" applyAlignment="1">
      <alignment horizontal="right" vertical="top"/>
    </xf>
    <xf numFmtId="0" fontId="55" fillId="0" borderId="1" xfId="1" applyNumberFormat="1" applyFont="1" applyFill="1" applyBorder="1" applyAlignment="1">
      <alignment horizontal="right" vertical="top"/>
    </xf>
    <xf numFmtId="168" fontId="55" fillId="0" borderId="1" xfId="1" applyNumberFormat="1" applyFont="1" applyFill="1" applyBorder="1" applyAlignment="1">
      <alignment horizontal="right" vertical="top"/>
    </xf>
    <xf numFmtId="0" fontId="58" fillId="0" borderId="1" xfId="5" applyNumberFormat="1" applyFont="1" applyFill="1" applyBorder="1" applyAlignment="1">
      <alignment vertical="top"/>
    </xf>
    <xf numFmtId="39" fontId="31" fillId="0" borderId="1" xfId="1" applyNumberFormat="1" applyFont="1" applyFill="1" applyBorder="1" applyAlignment="1">
      <alignment horizontal="right" vertical="top"/>
    </xf>
    <xf numFmtId="9" fontId="50" fillId="0" borderId="1" xfId="3" applyFont="1" applyFill="1" applyBorder="1" applyAlignment="1">
      <alignment vertical="top"/>
    </xf>
    <xf numFmtId="168" fontId="34" fillId="0" borderId="1" xfId="1" applyNumberFormat="1" applyFont="1" applyFill="1" applyBorder="1" applyAlignment="1">
      <alignment horizontal="right" vertical="top"/>
    </xf>
    <xf numFmtId="9" fontId="34" fillId="0" borderId="1" xfId="3" applyFont="1" applyFill="1" applyBorder="1" applyAlignment="1">
      <alignment horizontal="right" vertical="top"/>
    </xf>
    <xf numFmtId="39" fontId="34" fillId="0" borderId="1" xfId="1" applyNumberFormat="1" applyFont="1" applyFill="1" applyBorder="1" applyAlignment="1">
      <alignment horizontal="right" vertical="top"/>
    </xf>
    <xf numFmtId="9" fontId="34" fillId="0" borderId="1" xfId="3" applyFont="1" applyFill="1" applyBorder="1" applyAlignment="1">
      <alignment horizontal="left" vertical="top"/>
    </xf>
    <xf numFmtId="39" fontId="7" fillId="0" borderId="1" xfId="1" applyNumberFormat="1" applyFont="1" applyFill="1" applyBorder="1" applyAlignment="1">
      <alignment horizontal="right" vertical="top"/>
    </xf>
    <xf numFmtId="10" fontId="31" fillId="0" borderId="1" xfId="3" applyNumberFormat="1" applyFont="1" applyFill="1" applyBorder="1" applyAlignment="1">
      <alignment horizontal="right" vertical="top"/>
    </xf>
    <xf numFmtId="39" fontId="14" fillId="0" borderId="1" xfId="1" applyNumberFormat="1" applyFont="1" applyFill="1" applyBorder="1" applyAlignment="1">
      <alignment horizontal="right" vertical="top"/>
    </xf>
    <xf numFmtId="0" fontId="7" fillId="0" borderId="8" xfId="0" applyFont="1" applyFill="1" applyBorder="1" applyAlignment="1">
      <alignment vertical="top" wrapText="1"/>
    </xf>
    <xf numFmtId="0" fontId="0" fillId="0" borderId="8" xfId="0" applyFill="1" applyBorder="1" applyAlignment="1">
      <alignment vertical="top" wrapText="1"/>
    </xf>
    <xf numFmtId="39" fontId="38" fillId="0" borderId="1" xfId="1" applyNumberFormat="1" applyFont="1" applyFill="1" applyBorder="1" applyAlignment="1">
      <alignment vertical="top"/>
    </xf>
    <xf numFmtId="0" fontId="2" fillId="0" borderId="8" xfId="0" applyFont="1" applyFill="1" applyBorder="1" applyAlignment="1">
      <alignment vertical="top" wrapText="1"/>
    </xf>
    <xf numFmtId="39" fontId="27" fillId="0" borderId="1" xfId="1" applyNumberFormat="1" applyFont="1" applyFill="1" applyBorder="1" applyAlignment="1">
      <alignment vertical="top"/>
    </xf>
    <xf numFmtId="10" fontId="34" fillId="0" borderId="1" xfId="1" applyNumberFormat="1" applyFont="1" applyFill="1" applyBorder="1" applyAlignment="1">
      <alignment horizontal="right" vertical="top"/>
    </xf>
    <xf numFmtId="39" fontId="46" fillId="0" borderId="1" xfId="1" applyNumberFormat="1" applyFont="1" applyFill="1" applyBorder="1" applyAlignment="1">
      <alignment vertical="top"/>
    </xf>
    <xf numFmtId="0" fontId="7" fillId="0" borderId="0" xfId="0" applyFont="1" applyFill="1" applyAlignment="1">
      <alignment vertical="top" wrapText="1"/>
    </xf>
    <xf numFmtId="0" fontId="32" fillId="0" borderId="0" xfId="0" applyFont="1" applyFill="1" applyAlignment="1">
      <alignment vertical="top"/>
    </xf>
    <xf numFmtId="172" fontId="7" fillId="0" borderId="0" xfId="5" applyNumberFormat="1" applyFont="1" applyFill="1" applyAlignment="1">
      <alignment vertical="top"/>
    </xf>
    <xf numFmtId="172" fontId="7" fillId="0" borderId="0" xfId="0" applyNumberFormat="1" applyFont="1" applyFill="1" applyAlignment="1">
      <alignment vertical="top"/>
    </xf>
    <xf numFmtId="10" fontId="7" fillId="0" borderId="0" xfId="3" applyNumberFormat="1" applyFont="1" applyFill="1" applyAlignment="1">
      <alignment vertical="top"/>
    </xf>
    <xf numFmtId="0" fontId="7" fillId="0" borderId="0" xfId="0" applyFont="1" applyFill="1" applyAlignment="1">
      <alignment vertical="top"/>
    </xf>
    <xf numFmtId="10" fontId="31" fillId="0" borderId="1" xfId="1" applyNumberFormat="1" applyFont="1" applyFill="1" applyBorder="1" applyAlignment="1">
      <alignment vertical="top"/>
    </xf>
    <xf numFmtId="39" fontId="55" fillId="0" borderId="1" xfId="1" applyNumberFormat="1" applyFont="1" applyFill="1" applyBorder="1" applyAlignment="1">
      <alignment vertical="top"/>
    </xf>
    <xf numFmtId="0" fontId="46" fillId="0" borderId="7" xfId="0" applyNumberFormat="1" applyFont="1" applyFill="1" applyBorder="1" applyAlignment="1">
      <alignment vertical="top"/>
    </xf>
    <xf numFmtId="168" fontId="46" fillId="0" borderId="7" xfId="0" applyNumberFormat="1" applyFont="1" applyFill="1" applyBorder="1" applyAlignment="1">
      <alignment vertical="top"/>
    </xf>
    <xf numFmtId="3" fontId="46" fillId="0" borderId="1" xfId="0" applyNumberFormat="1" applyFont="1" applyFill="1" applyBorder="1" applyAlignment="1">
      <alignment vertical="top"/>
    </xf>
    <xf numFmtId="0" fontId="32" fillId="0" borderId="1" xfId="0" applyFont="1" applyFill="1" applyBorder="1" applyAlignment="1">
      <alignment horizontal="justify"/>
    </xf>
    <xf numFmtId="0" fontId="32" fillId="0" borderId="0" xfId="0" applyFont="1" applyFill="1" applyAlignment="1">
      <alignment horizontal="justify"/>
    </xf>
    <xf numFmtId="9" fontId="31" fillId="0" borderId="1" xfId="3" applyFont="1" applyFill="1" applyBorder="1" applyAlignment="1">
      <alignment vertical="top"/>
    </xf>
    <xf numFmtId="170" fontId="34" fillId="0" borderId="1" xfId="1" applyNumberFormat="1" applyFont="1" applyFill="1" applyBorder="1" applyAlignment="1">
      <alignment vertical="top"/>
    </xf>
    <xf numFmtId="10" fontId="34" fillId="0" borderId="1" xfId="1" applyNumberFormat="1" applyFont="1" applyFill="1" applyBorder="1" applyAlignment="1">
      <alignment vertical="top"/>
    </xf>
    <xf numFmtId="39" fontId="34" fillId="0" borderId="1" xfId="1" applyNumberFormat="1" applyFont="1" applyFill="1" applyBorder="1" applyAlignment="1">
      <alignment vertical="top"/>
    </xf>
    <xf numFmtId="39" fontId="35" fillId="0" borderId="1" xfId="1" applyNumberFormat="1" applyFont="1" applyFill="1" applyBorder="1" applyAlignment="1">
      <alignment vertical="top"/>
    </xf>
    <xf numFmtId="170" fontId="35" fillId="0" borderId="1" xfId="1" applyNumberFormat="1" applyFont="1" applyFill="1" applyBorder="1" applyAlignment="1">
      <alignment vertical="top"/>
    </xf>
    <xf numFmtId="0" fontId="39" fillId="0" borderId="0" xfId="0" applyFont="1" applyFill="1" applyAlignment="1">
      <alignment vertical="top" wrapText="1"/>
    </xf>
    <xf numFmtId="0" fontId="34" fillId="0" borderId="0" xfId="0" applyFont="1" applyFill="1" applyAlignment="1">
      <alignment vertical="top"/>
    </xf>
    <xf numFmtId="172" fontId="39" fillId="0" borderId="0" xfId="5" applyNumberFormat="1" applyFont="1" applyFill="1" applyAlignment="1">
      <alignment vertical="top"/>
    </xf>
    <xf numFmtId="172" fontId="39" fillId="0" borderId="0" xfId="0" applyNumberFormat="1" applyFont="1" applyFill="1" applyAlignment="1">
      <alignment vertical="top"/>
    </xf>
    <xf numFmtId="10" fontId="39" fillId="0" borderId="0" xfId="3" applyNumberFormat="1" applyFont="1" applyFill="1" applyAlignment="1">
      <alignment vertical="top"/>
    </xf>
    <xf numFmtId="0" fontId="39" fillId="0" borderId="0" xfId="0" applyFont="1" applyFill="1" applyAlignment="1">
      <alignment vertical="top"/>
    </xf>
    <xf numFmtId="0" fontId="35" fillId="0" borderId="1" xfId="0" applyFont="1" applyFill="1" applyBorder="1" applyAlignment="1">
      <alignment horizontal="justify" vertical="top"/>
    </xf>
    <xf numFmtId="0" fontId="35" fillId="0" borderId="1" xfId="0" applyFont="1" applyFill="1" applyBorder="1" applyAlignment="1">
      <alignment horizontal="left" vertical="top" wrapText="1"/>
    </xf>
    <xf numFmtId="0" fontId="35" fillId="0" borderId="1" xfId="0" applyFont="1" applyFill="1" applyBorder="1" applyAlignment="1">
      <alignment horizontal="right" vertical="top" wrapText="1"/>
    </xf>
    <xf numFmtId="168" fontId="35" fillId="0" borderId="1" xfId="0" applyNumberFormat="1" applyFont="1" applyFill="1" applyBorder="1" applyAlignment="1">
      <alignment horizontal="right" vertical="top" wrapText="1"/>
    </xf>
    <xf numFmtId="168" fontId="35" fillId="0" borderId="1" xfId="1" applyNumberFormat="1" applyFont="1" applyFill="1" applyBorder="1" applyAlignment="1">
      <alignment horizontal="right" vertical="top"/>
    </xf>
    <xf numFmtId="39" fontId="35" fillId="0" borderId="1" xfId="1" applyNumberFormat="1" applyFont="1" applyFill="1" applyBorder="1" applyAlignment="1">
      <alignment horizontal="right" vertical="top"/>
    </xf>
    <xf numFmtId="9" fontId="35" fillId="0" borderId="1" xfId="3" applyFont="1" applyFill="1" applyBorder="1" applyAlignment="1">
      <alignment horizontal="left" vertical="top"/>
    </xf>
    <xf numFmtId="172" fontId="31" fillId="0" borderId="1" xfId="1" applyNumberFormat="1" applyFont="1" applyFill="1" applyBorder="1" applyAlignment="1">
      <alignment horizontal="right" vertical="center" wrapText="1"/>
    </xf>
    <xf numFmtId="168" fontId="31" fillId="0" borderId="1" xfId="0" applyNumberFormat="1" applyFont="1" applyFill="1" applyBorder="1" applyAlignment="1">
      <alignment horizontal="right" vertical="top" wrapText="1"/>
    </xf>
    <xf numFmtId="169" fontId="55" fillId="0" borderId="1" xfId="1" applyNumberFormat="1" applyFont="1" applyFill="1" applyBorder="1" applyAlignment="1">
      <alignment horizontal="right" vertical="top"/>
    </xf>
    <xf numFmtId="169" fontId="31" fillId="0" borderId="1" xfId="1" applyNumberFormat="1" applyFont="1" applyFill="1" applyBorder="1" applyAlignment="1">
      <alignment horizontal="right" vertical="top"/>
    </xf>
    <xf numFmtId="169" fontId="31" fillId="0" borderId="1" xfId="1" applyNumberFormat="1" applyFont="1" applyFill="1" applyBorder="1" applyAlignment="1">
      <alignment vertical="top"/>
    </xf>
    <xf numFmtId="168" fontId="34" fillId="0" borderId="1" xfId="0" applyNumberFormat="1" applyFont="1" applyFill="1" applyBorder="1" applyAlignment="1">
      <alignment horizontal="right" vertical="top"/>
    </xf>
    <xf numFmtId="10" fontId="34" fillId="0" borderId="1" xfId="0" applyNumberFormat="1" applyFont="1" applyFill="1" applyBorder="1" applyAlignment="1">
      <alignment horizontal="right" vertical="top"/>
    </xf>
    <xf numFmtId="168" fontId="56" fillId="0" borderId="1" xfId="0" applyNumberFormat="1" applyFont="1" applyFill="1" applyBorder="1" applyAlignment="1">
      <alignment horizontal="right" vertical="top"/>
    </xf>
    <xf numFmtId="169" fontId="34" fillId="0" borderId="1" xfId="0" applyNumberFormat="1" applyFont="1" applyFill="1" applyBorder="1" applyAlignment="1">
      <alignment horizontal="right" vertical="top"/>
    </xf>
    <xf numFmtId="0" fontId="34" fillId="0" borderId="1" xfId="0" applyFont="1" applyFill="1" applyBorder="1" applyAlignment="1">
      <alignment horizontal="right" vertical="top"/>
    </xf>
    <xf numFmtId="168" fontId="57" fillId="0" borderId="1" xfId="1" applyNumberFormat="1" applyFont="1" applyFill="1" applyBorder="1" applyAlignment="1">
      <alignment horizontal="right" vertical="top"/>
    </xf>
    <xf numFmtId="172" fontId="31" fillId="0" borderId="1" xfId="5" applyNumberFormat="1" applyFont="1" applyFill="1" applyBorder="1" applyAlignment="1">
      <alignment horizontal="right" vertical="top"/>
    </xf>
    <xf numFmtId="0" fontId="16" fillId="0" borderId="0" xfId="0" applyFont="1" applyFill="1" applyAlignment="1">
      <alignment wrapText="1"/>
    </xf>
    <xf numFmtId="172" fontId="36" fillId="0" borderId="1" xfId="5" applyNumberFormat="1" applyFont="1" applyFill="1" applyBorder="1" applyAlignment="1">
      <alignment vertical="top"/>
    </xf>
    <xf numFmtId="172" fontId="36" fillId="0" borderId="1" xfId="5" applyNumberFormat="1" applyFont="1" applyFill="1" applyBorder="1"/>
    <xf numFmtId="172" fontId="32" fillId="0" borderId="1" xfId="0" applyNumberFormat="1" applyFont="1" applyFill="1" applyBorder="1" applyAlignment="1">
      <alignment horizontal="right" vertical="top"/>
    </xf>
    <xf numFmtId="172" fontId="32" fillId="0" borderId="1" xfId="0" applyNumberFormat="1" applyFont="1" applyFill="1" applyBorder="1" applyAlignment="1">
      <alignment horizontal="right" vertical="top" wrapText="1"/>
    </xf>
    <xf numFmtId="172" fontId="31" fillId="0" borderId="1" xfId="1" applyNumberFormat="1" applyFont="1" applyFill="1" applyBorder="1" applyAlignment="1">
      <alignment horizontal="right" vertical="top"/>
    </xf>
    <xf numFmtId="0" fontId="31" fillId="0" borderId="1" xfId="3" applyNumberFormat="1" applyFont="1" applyFill="1" applyBorder="1" applyAlignment="1">
      <alignment horizontal="right" vertical="top"/>
    </xf>
    <xf numFmtId="0" fontId="32" fillId="0" borderId="1" xfId="0" applyNumberFormat="1" applyFont="1" applyFill="1" applyBorder="1" applyAlignment="1">
      <alignment horizontal="right" vertical="top" wrapText="1"/>
    </xf>
    <xf numFmtId="172" fontId="32" fillId="0" borderId="1" xfId="5" applyNumberFormat="1" applyFont="1" applyFill="1" applyBorder="1" applyAlignment="1">
      <alignment horizontal="right" vertical="top"/>
    </xf>
    <xf numFmtId="172" fontId="32" fillId="0" borderId="1" xfId="5" applyNumberFormat="1" applyFont="1" applyFill="1" applyBorder="1" applyAlignment="1">
      <alignment horizontal="right" vertical="top" wrapText="1"/>
    </xf>
    <xf numFmtId="172" fontId="7" fillId="0" borderId="1" xfId="5" applyNumberFormat="1" applyFont="1" applyFill="1" applyBorder="1" applyAlignment="1">
      <alignment horizontal="right" vertical="top" wrapText="1"/>
    </xf>
    <xf numFmtId="10" fontId="32" fillId="0" borderId="1" xfId="3" applyNumberFormat="1" applyFont="1" applyFill="1" applyBorder="1" applyAlignment="1">
      <alignment horizontal="right" vertical="top"/>
    </xf>
    <xf numFmtId="39" fontId="32" fillId="0" borderId="1" xfId="1" applyNumberFormat="1" applyFont="1" applyFill="1" applyBorder="1" applyAlignment="1">
      <alignment horizontal="left" vertical="top"/>
    </xf>
    <xf numFmtId="0" fontId="14" fillId="0" borderId="0" xfId="0" applyFont="1" applyFill="1" applyBorder="1" applyAlignment="1">
      <alignment horizontal="left" vertical="top" wrapText="1"/>
    </xf>
    <xf numFmtId="172" fontId="14" fillId="0" borderId="0" xfId="5" applyNumberFormat="1" applyFont="1" applyFill="1" applyBorder="1" applyAlignment="1">
      <alignment horizontal="left" vertical="top"/>
    </xf>
    <xf numFmtId="172" fontId="14" fillId="0" borderId="0" xfId="0" applyNumberFormat="1" applyFont="1" applyFill="1" applyBorder="1" applyAlignment="1">
      <alignment horizontal="left" vertical="top"/>
    </xf>
    <xf numFmtId="10" fontId="14" fillId="0" borderId="0" xfId="3" applyNumberFormat="1" applyFont="1" applyFill="1" applyBorder="1" applyAlignment="1">
      <alignment horizontal="left" vertical="top"/>
    </xf>
    <xf numFmtId="0" fontId="31" fillId="0" borderId="1" xfId="0" applyFont="1" applyFill="1" applyBorder="1" applyAlignment="1">
      <alignment horizontal="right" vertical="top" wrapText="1"/>
    </xf>
    <xf numFmtId="0" fontId="31" fillId="0" borderId="1" xfId="0" applyNumberFormat="1" applyFont="1" applyFill="1" applyBorder="1" applyAlignment="1">
      <alignment horizontal="right" vertical="top" wrapText="1"/>
    </xf>
    <xf numFmtId="167" fontId="31" fillId="0" borderId="1" xfId="0" applyNumberFormat="1" applyFont="1" applyFill="1" applyBorder="1" applyAlignment="1">
      <alignment horizontal="right" vertical="top" wrapText="1"/>
    </xf>
    <xf numFmtId="9" fontId="31" fillId="0" borderId="1" xfId="3" applyFont="1" applyFill="1" applyBorder="1" applyAlignment="1">
      <alignment horizontal="right" vertical="top" wrapText="1"/>
    </xf>
    <xf numFmtId="0" fontId="31" fillId="0" borderId="0" xfId="0" applyFont="1" applyFill="1" applyBorder="1" applyAlignment="1">
      <alignment horizontal="justify" vertical="top"/>
    </xf>
    <xf numFmtId="0" fontId="14" fillId="0" borderId="0" xfId="0" applyFont="1" applyFill="1" applyBorder="1" applyAlignment="1">
      <alignment horizontal="right" vertical="top"/>
    </xf>
    <xf numFmtId="9" fontId="32" fillId="0" borderId="0" xfId="3" applyNumberFormat="1" applyFont="1" applyFill="1" applyBorder="1" applyAlignment="1">
      <alignment vertical="top"/>
    </xf>
    <xf numFmtId="168" fontId="32" fillId="0" borderId="0" xfId="0" applyNumberFormat="1" applyFont="1" applyFill="1" applyBorder="1" applyAlignment="1">
      <alignment horizontal="left" vertical="top"/>
    </xf>
    <xf numFmtId="1" fontId="8" fillId="0" borderId="1" xfId="3" applyNumberFormat="1" applyFont="1" applyFill="1" applyBorder="1" applyAlignment="1">
      <alignment horizontal="left" vertical="top"/>
    </xf>
    <xf numFmtId="0" fontId="8" fillId="0" borderId="1" xfId="0" applyFont="1" applyFill="1" applyBorder="1" applyAlignment="1">
      <alignment horizontal="right" vertical="top" wrapText="1"/>
    </xf>
    <xf numFmtId="168" fontId="31" fillId="0" borderId="0" xfId="0" applyNumberFormat="1" applyFont="1" applyFill="1" applyBorder="1" applyAlignment="1">
      <alignment horizontal="left" vertical="top"/>
    </xf>
    <xf numFmtId="0" fontId="46" fillId="0" borderId="1" xfId="0" applyFont="1" applyBorder="1" applyAlignment="1">
      <alignment horizontal="center" vertical="top"/>
    </xf>
    <xf numFmtId="0" fontId="46" fillId="0" borderId="1" xfId="0" applyFont="1" applyFill="1" applyBorder="1" applyAlignment="1">
      <alignment horizontal="center" vertical="top"/>
    </xf>
    <xf numFmtId="0" fontId="42" fillId="0" borderId="1" xfId="0" applyFont="1" applyBorder="1" applyAlignment="1">
      <alignment horizontal="center" vertical="center" wrapText="1"/>
    </xf>
    <xf numFmtId="0" fontId="63" fillId="16" borderId="9" xfId="0" applyFont="1" applyFill="1" applyBorder="1" applyAlignment="1">
      <alignment horizontal="center" vertical="top"/>
    </xf>
    <xf numFmtId="168" fontId="31" fillId="0" borderId="4" xfId="0" applyNumberFormat="1" applyFont="1" applyFill="1" applyBorder="1" applyAlignment="1">
      <alignment horizontal="center" vertical="top"/>
    </xf>
    <xf numFmtId="168" fontId="31" fillId="0" borderId="3" xfId="0" applyNumberFormat="1" applyFont="1" applyFill="1" applyBorder="1" applyAlignment="1">
      <alignment horizontal="center" vertical="top"/>
    </xf>
    <xf numFmtId="168" fontId="31" fillId="0" borderId="2" xfId="0" applyNumberFormat="1" applyFont="1" applyFill="1" applyBorder="1" applyAlignment="1">
      <alignment horizontal="center" vertical="top"/>
    </xf>
    <xf numFmtId="168" fontId="15" fillId="0" borderId="1" xfId="0" applyNumberFormat="1" applyFont="1" applyFill="1" applyBorder="1" applyAlignment="1">
      <alignment horizontal="center" vertical="top" textRotation="3"/>
    </xf>
    <xf numFmtId="0" fontId="31" fillId="16" borderId="1" xfId="0" applyNumberFormat="1" applyFont="1" applyFill="1" applyBorder="1" applyAlignment="1">
      <alignment horizontal="center" vertical="top"/>
    </xf>
    <xf numFmtId="0" fontId="30" fillId="16" borderId="1" xfId="0" applyFont="1" applyFill="1" applyBorder="1" applyAlignment="1">
      <alignment horizontal="center" vertical="top"/>
    </xf>
    <xf numFmtId="0" fontId="30" fillId="0" borderId="1" xfId="0" applyFont="1" applyBorder="1" applyAlignment="1">
      <alignment horizontal="center" vertical="top"/>
    </xf>
    <xf numFmtId="0" fontId="31" fillId="0" borderId="0" xfId="0" applyFont="1" applyBorder="1" applyAlignment="1">
      <alignment horizontal="justify" vertical="top"/>
    </xf>
    <xf numFmtId="0" fontId="31" fillId="18" borderId="4" xfId="0" applyFont="1" applyFill="1" applyBorder="1" applyAlignment="1">
      <alignment horizontal="center" vertical="top"/>
    </xf>
    <xf numFmtId="0" fontId="31" fillId="18" borderId="3" xfId="0" applyFont="1" applyFill="1" applyBorder="1" applyAlignment="1">
      <alignment horizontal="center" vertical="top"/>
    </xf>
    <xf numFmtId="0" fontId="31" fillId="18" borderId="2" xfId="0" applyFont="1" applyFill="1" applyBorder="1" applyAlignment="1">
      <alignment horizontal="center" vertical="top"/>
    </xf>
    <xf numFmtId="168" fontId="31" fillId="18" borderId="5" xfId="0" applyNumberFormat="1" applyFont="1" applyFill="1" applyBorder="1" applyAlignment="1">
      <alignment horizontal="center" vertical="top"/>
    </xf>
    <xf numFmtId="168" fontId="31" fillId="18" borderId="7" xfId="0" applyNumberFormat="1" applyFont="1" applyFill="1" applyBorder="1" applyAlignment="1">
      <alignment horizontal="center" vertical="top"/>
    </xf>
    <xf numFmtId="0" fontId="32" fillId="0" borderId="1" xfId="0" applyFont="1" applyBorder="1" applyAlignment="1">
      <alignment horizontal="justify" vertical="top" wrapText="1"/>
    </xf>
    <xf numFmtId="0" fontId="31" fillId="10" borderId="1" xfId="0" applyFont="1" applyFill="1" applyBorder="1" applyAlignment="1">
      <alignment horizontal="center" vertical="top" wrapText="1"/>
    </xf>
    <xf numFmtId="0" fontId="31" fillId="0" borderId="1" xfId="0" applyFont="1" applyBorder="1" applyAlignment="1">
      <alignment horizontal="justify" vertical="top" wrapText="1"/>
    </xf>
    <xf numFmtId="0" fontId="42" fillId="0" borderId="1" xfId="0" applyFont="1" applyBorder="1" applyAlignment="1">
      <alignment horizontal="justify" vertical="top" wrapText="1"/>
    </xf>
    <xf numFmtId="0" fontId="42" fillId="0" borderId="1" xfId="0" applyFont="1" applyFill="1" applyBorder="1" applyAlignment="1">
      <alignment horizontal="center" vertical="top" wrapText="1"/>
    </xf>
    <xf numFmtId="0" fontId="31" fillId="0" borderId="5" xfId="0" applyFont="1" applyBorder="1" applyAlignment="1">
      <alignment horizontal="justify" vertical="top" wrapText="1"/>
    </xf>
    <xf numFmtId="0" fontId="31" fillId="0" borderId="6" xfId="0" applyFont="1" applyBorder="1" applyAlignment="1">
      <alignment horizontal="justify" vertical="top" wrapText="1"/>
    </xf>
    <xf numFmtId="0" fontId="31" fillId="0" borderId="7" xfId="0" applyFont="1" applyBorder="1" applyAlignment="1">
      <alignment horizontal="justify" vertical="top" wrapText="1"/>
    </xf>
    <xf numFmtId="0" fontId="31" fillId="10" borderId="4" xfId="0" applyFont="1" applyFill="1" applyBorder="1" applyAlignment="1">
      <alignment horizontal="center" vertical="top" wrapText="1"/>
    </xf>
    <xf numFmtId="0" fontId="31" fillId="10" borderId="3" xfId="0" applyFont="1" applyFill="1" applyBorder="1" applyAlignment="1">
      <alignment horizontal="center" vertical="top" wrapText="1"/>
    </xf>
    <xf numFmtId="0" fontId="31" fillId="10" borderId="2" xfId="0" applyFont="1" applyFill="1" applyBorder="1" applyAlignment="1">
      <alignment horizontal="center" vertical="top" wrapText="1"/>
    </xf>
    <xf numFmtId="0" fontId="31" fillId="0" borderId="5" xfId="0" applyFont="1" applyBorder="1" applyAlignment="1">
      <alignment horizontal="left" vertical="top" wrapText="1"/>
    </xf>
    <xf numFmtId="0" fontId="31" fillId="0" borderId="6" xfId="0" applyFont="1" applyBorder="1" applyAlignment="1">
      <alignment horizontal="left" vertical="top" wrapText="1"/>
    </xf>
    <xf numFmtId="0" fontId="31" fillId="0" borderId="7" xfId="0" applyFont="1" applyBorder="1" applyAlignment="1">
      <alignment horizontal="left" vertical="top" wrapText="1"/>
    </xf>
    <xf numFmtId="0" fontId="34" fillId="11" borderId="1" xfId="0" applyFont="1" applyFill="1" applyBorder="1" applyAlignment="1">
      <alignment horizontal="center" vertical="top"/>
    </xf>
    <xf numFmtId="0" fontId="31" fillId="3" borderId="1" xfId="0" applyFont="1" applyFill="1" applyBorder="1" applyAlignment="1">
      <alignment horizontal="left" vertical="top" wrapText="1"/>
    </xf>
    <xf numFmtId="169" fontId="34" fillId="11" borderId="1" xfId="0" applyNumberFormat="1" applyFont="1" applyFill="1" applyBorder="1" applyAlignment="1">
      <alignment horizontal="left" vertical="top"/>
    </xf>
    <xf numFmtId="0" fontId="34" fillId="11" borderId="1" xfId="0" applyFont="1" applyFill="1" applyBorder="1" applyAlignment="1">
      <alignment horizontal="left" vertical="top"/>
    </xf>
    <xf numFmtId="0" fontId="31" fillId="6" borderId="1" xfId="0" applyFont="1" applyFill="1" applyBorder="1" applyAlignment="1">
      <alignment horizontal="left" vertical="top"/>
    </xf>
    <xf numFmtId="0" fontId="31" fillId="6" borderId="1" xfId="0" applyFont="1" applyFill="1" applyBorder="1" applyAlignment="1">
      <alignment horizontal="left" vertical="top" wrapText="1"/>
    </xf>
    <xf numFmtId="0" fontId="14" fillId="10" borderId="1" xfId="0" applyFont="1" applyFill="1" applyBorder="1" applyAlignment="1">
      <alignment horizontal="center" vertical="top" wrapText="1"/>
    </xf>
    <xf numFmtId="0" fontId="32" fillId="0" borderId="0" xfId="0" applyFont="1" applyBorder="1" applyAlignment="1">
      <alignment horizontal="left" vertical="top" wrapText="1"/>
    </xf>
    <xf numFmtId="0" fontId="32" fillId="0" borderId="4" xfId="0" applyFont="1" applyFill="1" applyBorder="1" applyAlignment="1">
      <alignment horizontal="right" vertical="top" wrapText="1"/>
    </xf>
    <xf numFmtId="0" fontId="32" fillId="0" borderId="3" xfId="0" applyFont="1" applyFill="1" applyBorder="1" applyAlignment="1">
      <alignment horizontal="right" vertical="top" wrapText="1"/>
    </xf>
    <xf numFmtId="0" fontId="32" fillId="0" borderId="2" xfId="0" applyFont="1" applyFill="1" applyBorder="1" applyAlignment="1">
      <alignment horizontal="right" vertical="top" wrapText="1"/>
    </xf>
    <xf numFmtId="0" fontId="31" fillId="5" borderId="4" xfId="0" applyFont="1" applyFill="1" applyBorder="1" applyAlignment="1">
      <alignment horizontal="left" vertical="top"/>
    </xf>
    <xf numFmtId="0" fontId="31" fillId="5" borderId="3" xfId="0" applyFont="1" applyFill="1" applyBorder="1" applyAlignment="1">
      <alignment horizontal="left" vertical="top"/>
    </xf>
    <xf numFmtId="0" fontId="31" fillId="5" borderId="2" xfId="0" applyFont="1" applyFill="1" applyBorder="1" applyAlignment="1">
      <alignment horizontal="left" vertical="top"/>
    </xf>
    <xf numFmtId="0" fontId="31" fillId="0" borderId="4" xfId="0" applyFont="1" applyFill="1" applyBorder="1" applyAlignment="1">
      <alignment horizontal="right" vertical="top" wrapText="1"/>
    </xf>
    <xf numFmtId="0" fontId="31" fillId="0" borderId="3" xfId="0" applyFont="1" applyFill="1" applyBorder="1" applyAlignment="1">
      <alignment horizontal="right" vertical="top" wrapText="1"/>
    </xf>
    <xf numFmtId="0" fontId="31" fillId="0" borderId="2" xfId="0" applyFont="1" applyFill="1" applyBorder="1" applyAlignment="1">
      <alignment horizontal="right" vertical="top" wrapText="1"/>
    </xf>
    <xf numFmtId="0" fontId="31" fillId="0" borderId="1" xfId="0" applyFont="1" applyFill="1" applyBorder="1" applyAlignment="1">
      <alignment horizontal="right" vertical="top"/>
    </xf>
    <xf numFmtId="0" fontId="7" fillId="0" borderId="3" xfId="0" applyFont="1" applyFill="1" applyBorder="1" applyAlignment="1">
      <alignment horizontal="right" vertical="top" wrapText="1"/>
    </xf>
    <xf numFmtId="0" fontId="37" fillId="0" borderId="3" xfId="0" applyFont="1" applyBorder="1" applyAlignment="1">
      <alignment horizontal="right" vertical="top" wrapText="1"/>
    </xf>
    <xf numFmtId="0" fontId="37" fillId="0" borderId="2" xfId="0" applyFont="1" applyBorder="1" applyAlignment="1">
      <alignment horizontal="right" vertical="top" wrapText="1"/>
    </xf>
    <xf numFmtId="0" fontId="31" fillId="8" borderId="1" xfId="0" applyFont="1" applyFill="1" applyBorder="1" applyAlignment="1">
      <alignment horizontal="center" vertical="center"/>
    </xf>
    <xf numFmtId="0" fontId="31" fillId="13" borderId="1" xfId="0" applyFont="1" applyFill="1" applyBorder="1" applyAlignment="1">
      <alignment horizontal="center" vertical="top"/>
    </xf>
    <xf numFmtId="0" fontId="32" fillId="0" borderId="5" xfId="0" applyFont="1" applyBorder="1" applyAlignment="1">
      <alignment horizontal="justify" vertical="top" wrapText="1"/>
    </xf>
    <xf numFmtId="0" fontId="32" fillId="0" borderId="6" xfId="0" applyFont="1" applyBorder="1" applyAlignment="1">
      <alignment horizontal="justify" vertical="top" wrapText="1"/>
    </xf>
    <xf numFmtId="0" fontId="32" fillId="0" borderId="7" xfId="0" applyFont="1" applyBorder="1" applyAlignment="1">
      <alignment horizontal="justify" vertical="top" wrapText="1"/>
    </xf>
    <xf numFmtId="0" fontId="6" fillId="0" borderId="1" xfId="0" applyFont="1" applyFill="1" applyBorder="1" applyAlignment="1">
      <alignment horizontal="center" vertical="top"/>
    </xf>
    <xf numFmtId="0" fontId="32" fillId="0" borderId="0" xfId="0" applyFont="1" applyFill="1" applyBorder="1" applyAlignment="1">
      <alignment horizontal="left" vertical="top" wrapText="1"/>
    </xf>
    <xf numFmtId="0" fontId="8" fillId="0" borderId="1" xfId="0" applyFont="1" applyFill="1" applyBorder="1" applyAlignment="1">
      <alignment horizontal="center" vertical="center" wrapText="1"/>
    </xf>
    <xf numFmtId="0" fontId="37" fillId="0" borderId="3" xfId="0" applyFont="1" applyFill="1" applyBorder="1" applyAlignment="1">
      <alignment horizontal="right" vertical="top" wrapText="1"/>
    </xf>
    <xf numFmtId="0" fontId="37" fillId="0" borderId="2" xfId="0" applyFont="1" applyFill="1" applyBorder="1" applyAlignment="1">
      <alignment horizontal="right" vertical="top" wrapText="1"/>
    </xf>
    <xf numFmtId="0" fontId="31" fillId="0" borderId="4" xfId="0" applyFont="1" applyFill="1" applyBorder="1" applyAlignment="1">
      <alignment horizontal="left" vertical="top"/>
    </xf>
    <xf numFmtId="0" fontId="31" fillId="0" borderId="3" xfId="0" applyFont="1" applyFill="1" applyBorder="1" applyAlignment="1">
      <alignment horizontal="left" vertical="top"/>
    </xf>
    <xf numFmtId="0" fontId="31" fillId="0" borderId="2" xfId="0" applyFont="1" applyFill="1" applyBorder="1" applyAlignment="1">
      <alignment horizontal="left" vertical="top"/>
    </xf>
    <xf numFmtId="0" fontId="31" fillId="0" borderId="1" xfId="0" applyFont="1" applyFill="1" applyBorder="1" applyAlignment="1">
      <alignment horizontal="left" vertical="top" wrapText="1"/>
    </xf>
    <xf numFmtId="0" fontId="14" fillId="0" borderId="1" xfId="0" applyFont="1" applyFill="1" applyBorder="1" applyAlignment="1">
      <alignment horizontal="center" vertical="top" wrapText="1"/>
    </xf>
    <xf numFmtId="0" fontId="31" fillId="0" borderId="1" xfId="0" applyFont="1" applyFill="1" applyBorder="1" applyAlignment="1">
      <alignment horizontal="center" vertical="top" wrapText="1"/>
    </xf>
    <xf numFmtId="0" fontId="31" fillId="0" borderId="1" xfId="0" applyFont="1" applyFill="1" applyBorder="1" applyAlignment="1">
      <alignment horizontal="center" vertical="top"/>
    </xf>
    <xf numFmtId="0" fontId="31" fillId="0" borderId="1" xfId="0" applyFont="1" applyFill="1" applyBorder="1" applyAlignment="1">
      <alignment horizontal="center" vertical="center"/>
    </xf>
    <xf numFmtId="0" fontId="31" fillId="0" borderId="1" xfId="0" applyFont="1" applyFill="1" applyBorder="1" applyAlignment="1">
      <alignment horizontal="left" vertical="top"/>
    </xf>
    <xf numFmtId="0" fontId="34" fillId="0" borderId="1" xfId="0" applyFont="1" applyFill="1" applyBorder="1" applyAlignment="1">
      <alignment horizontal="center" vertical="top"/>
    </xf>
    <xf numFmtId="0" fontId="32" fillId="0" borderId="5" xfId="0" applyFont="1" applyFill="1" applyBorder="1" applyAlignment="1">
      <alignment horizontal="justify" vertical="top" wrapText="1"/>
    </xf>
    <xf numFmtId="0" fontId="32" fillId="0" borderId="6" xfId="0" applyFont="1" applyFill="1" applyBorder="1" applyAlignment="1">
      <alignment horizontal="justify" vertical="top" wrapText="1"/>
    </xf>
    <xf numFmtId="0" fontId="32" fillId="0" borderId="7" xfId="0" applyFont="1" applyFill="1" applyBorder="1" applyAlignment="1">
      <alignment horizontal="justify" vertical="top" wrapText="1"/>
    </xf>
    <xf numFmtId="0" fontId="31" fillId="0" borderId="4" xfId="0" applyFont="1" applyFill="1" applyBorder="1" applyAlignment="1">
      <alignment horizontal="center" vertical="top" wrapText="1"/>
    </xf>
    <xf numFmtId="0" fontId="31" fillId="0" borderId="3" xfId="0" applyFont="1" applyFill="1" applyBorder="1" applyAlignment="1">
      <alignment horizontal="center" vertical="top" wrapText="1"/>
    </xf>
    <xf numFmtId="0" fontId="31" fillId="0" borderId="2" xfId="0" applyFont="1" applyFill="1" applyBorder="1" applyAlignment="1">
      <alignment horizontal="center" vertical="top" wrapText="1"/>
    </xf>
    <xf numFmtId="0" fontId="32" fillId="0" borderId="1" xfId="0" applyFont="1" applyFill="1" applyBorder="1" applyAlignment="1">
      <alignment horizontal="justify" vertical="top" wrapText="1"/>
    </xf>
    <xf numFmtId="169" fontId="34" fillId="0" borderId="1" xfId="0" applyNumberFormat="1" applyFont="1" applyFill="1" applyBorder="1" applyAlignment="1">
      <alignment horizontal="left" vertical="top"/>
    </xf>
    <xf numFmtId="0" fontId="34" fillId="0" borderId="1" xfId="0" applyFont="1" applyFill="1" applyBorder="1" applyAlignment="1">
      <alignment horizontal="left" vertical="top"/>
    </xf>
    <xf numFmtId="0" fontId="42" fillId="0" borderId="1" xfId="0" applyFont="1" applyFill="1" applyBorder="1" applyAlignment="1">
      <alignment horizontal="justify" vertical="top" wrapText="1"/>
    </xf>
    <xf numFmtId="0" fontId="31" fillId="0" borderId="5" xfId="0" applyFont="1" applyFill="1" applyBorder="1" applyAlignment="1">
      <alignment horizontal="justify" vertical="top" wrapText="1"/>
    </xf>
    <xf numFmtId="0" fontId="31" fillId="0" borderId="6" xfId="0" applyFont="1" applyFill="1" applyBorder="1" applyAlignment="1">
      <alignment horizontal="justify" vertical="top" wrapText="1"/>
    </xf>
    <xf numFmtId="0" fontId="31" fillId="0" borderId="7" xfId="0" applyFont="1" applyFill="1" applyBorder="1" applyAlignment="1">
      <alignment horizontal="justify" vertical="top" wrapText="1"/>
    </xf>
    <xf numFmtId="0" fontId="31" fillId="0" borderId="5" xfId="0" applyFont="1" applyFill="1" applyBorder="1" applyAlignment="1">
      <alignment horizontal="left" vertical="top" wrapText="1"/>
    </xf>
    <xf numFmtId="0" fontId="31" fillId="0" borderId="6" xfId="0" applyFont="1" applyFill="1" applyBorder="1" applyAlignment="1">
      <alignment horizontal="left" vertical="top" wrapText="1"/>
    </xf>
    <xf numFmtId="0" fontId="31" fillId="0" borderId="7" xfId="0" applyFont="1" applyFill="1" applyBorder="1" applyAlignment="1">
      <alignment horizontal="left" vertical="top" wrapText="1"/>
    </xf>
    <xf numFmtId="0" fontId="31" fillId="0" borderId="1" xfId="0" applyFont="1" applyFill="1" applyBorder="1" applyAlignment="1">
      <alignment horizontal="justify" vertical="top" wrapText="1"/>
    </xf>
    <xf numFmtId="168" fontId="15" fillId="24" borderId="1" xfId="0" applyNumberFormat="1" applyFont="1" applyFill="1" applyBorder="1" applyAlignment="1">
      <alignment horizontal="center" vertical="top" textRotation="3"/>
    </xf>
  </cellXfs>
  <cellStyles count="9">
    <cellStyle name="Comma" xfId="1" builtinId="3"/>
    <cellStyle name="Comma 2" xfId="7"/>
    <cellStyle name="Comma 3" xfId="4"/>
    <cellStyle name="Currency" xfId="5" builtinId="4"/>
    <cellStyle name="Normal" xfId="0" builtinId="0"/>
    <cellStyle name="Normal 2" xfId="2"/>
    <cellStyle name="Normal 2 2" xfId="6"/>
    <cellStyle name="Normal 8" xfId="8"/>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98"/>
  <sheetViews>
    <sheetView topLeftCell="C1" zoomScale="80" zoomScaleNormal="80" zoomScalePageLayoutView="80" workbookViewId="0">
      <selection activeCell="I182" sqref="I182:N193"/>
    </sheetView>
  </sheetViews>
  <sheetFormatPr defaultColWidth="11.42578125" defaultRowHeight="12.75" x14ac:dyDescent="0.2"/>
  <cols>
    <col min="1" max="1" width="14.42578125" style="143" customWidth="1"/>
    <col min="2" max="2" width="40.28515625" style="144" customWidth="1"/>
    <col min="3" max="3" width="21" style="144" customWidth="1"/>
    <col min="4" max="4" width="9.28515625" style="134" customWidth="1"/>
    <col min="5" max="5" width="8.5703125" style="150" customWidth="1"/>
    <col min="6" max="6" width="13.42578125" style="151" customWidth="1"/>
    <col min="7" max="7" width="8.5703125" style="150" customWidth="1"/>
    <col min="8" max="8" width="14" style="147" customWidth="1"/>
    <col min="9" max="9" width="12.7109375" style="148" customWidth="1"/>
    <col min="10" max="10" width="15.140625" style="148" customWidth="1"/>
    <col min="11" max="11" width="14.85546875" style="148" customWidth="1"/>
    <col min="12" max="12" width="14" style="149" customWidth="1"/>
    <col min="13" max="13" width="14.42578125" style="148" customWidth="1"/>
    <col min="14" max="14" width="15.5703125" style="149" customWidth="1"/>
    <col min="15" max="15" width="12.7109375" style="148" customWidth="1"/>
    <col min="16" max="16" width="17.7109375" style="147" customWidth="1"/>
    <col min="17" max="17" width="10.140625" style="148" customWidth="1"/>
    <col min="18" max="18" width="12.85546875" style="148" customWidth="1"/>
    <col min="19" max="19" width="10.140625" style="148" customWidth="1"/>
    <col min="20" max="20" width="12.85546875" style="149" customWidth="1"/>
    <col min="21" max="21" width="23.5703125" style="149" customWidth="1"/>
    <col min="22" max="22" width="12.42578125" style="150" customWidth="1"/>
    <col min="23" max="23" width="13.85546875" style="151" customWidth="1"/>
    <col min="24" max="24" width="63.42578125" style="134" customWidth="1"/>
    <col min="25" max="25" width="49.85546875" style="357" customWidth="1"/>
    <col min="26" max="26" width="28.42578125" style="134" customWidth="1"/>
    <col min="27" max="27" width="13.42578125" style="358" customWidth="1"/>
    <col min="28" max="28" width="14.42578125" style="375" customWidth="1"/>
    <col min="29" max="29" width="11.42578125" style="400"/>
    <col min="30" max="30" width="11.42578125" style="40"/>
    <col min="31" max="16384" width="11.42578125" style="134"/>
  </cols>
  <sheetData>
    <row r="1" spans="1:30" x14ac:dyDescent="0.2">
      <c r="D1" s="145" t="s">
        <v>25</v>
      </c>
      <c r="E1" s="146"/>
      <c r="F1" s="132"/>
      <c r="G1" s="146"/>
    </row>
    <row r="2" spans="1:30" x14ac:dyDescent="0.2">
      <c r="D2" s="145"/>
      <c r="E2" s="146"/>
      <c r="F2" s="132"/>
      <c r="G2" s="146"/>
    </row>
    <row r="3" spans="1:30" x14ac:dyDescent="0.2">
      <c r="D3" s="145"/>
      <c r="E3" s="146"/>
      <c r="F3" s="132"/>
      <c r="G3" s="146"/>
    </row>
    <row r="4" spans="1:30" x14ac:dyDescent="0.2">
      <c r="A4" s="712" t="s">
        <v>20</v>
      </c>
      <c r="B4" s="712"/>
      <c r="C4" s="152" t="s">
        <v>159</v>
      </c>
      <c r="D4" s="153"/>
    </row>
    <row r="5" spans="1:30" x14ac:dyDescent="0.2">
      <c r="A5" s="712" t="s">
        <v>21</v>
      </c>
      <c r="B5" s="712"/>
      <c r="C5" s="154" t="s">
        <v>160</v>
      </c>
    </row>
    <row r="6" spans="1:30" ht="25.5" x14ac:dyDescent="0.2">
      <c r="A6" s="712" t="s">
        <v>19</v>
      </c>
      <c r="B6" s="712"/>
      <c r="C6" s="144" t="s">
        <v>262</v>
      </c>
      <c r="D6" s="155"/>
      <c r="E6" s="146"/>
      <c r="F6" s="132"/>
      <c r="G6" s="146"/>
      <c r="K6" s="338"/>
      <c r="L6" s="339"/>
      <c r="M6" s="332"/>
      <c r="N6" s="340"/>
      <c r="O6" s="332"/>
      <c r="P6" s="132"/>
      <c r="Q6" s="146"/>
      <c r="R6" s="146"/>
      <c r="S6" s="146"/>
      <c r="T6" s="132"/>
      <c r="U6" s="132"/>
    </row>
    <row r="7" spans="1:30" x14ac:dyDescent="0.2">
      <c r="A7" s="712" t="s">
        <v>53</v>
      </c>
      <c r="B7" s="712"/>
      <c r="C7" s="156">
        <f>U178</f>
        <v>2999868.05</v>
      </c>
      <c r="D7" s="457" t="s">
        <v>308</v>
      </c>
      <c r="E7" s="157"/>
      <c r="F7" s="147"/>
      <c r="G7" s="456"/>
      <c r="H7" s="422"/>
      <c r="M7" s="146"/>
      <c r="N7" s="132"/>
      <c r="O7" s="146"/>
      <c r="P7" s="132"/>
      <c r="Q7" s="157"/>
      <c r="R7" s="157"/>
      <c r="S7" s="157"/>
      <c r="T7" s="132"/>
      <c r="U7" s="132"/>
    </row>
    <row r="8" spans="1:30" ht="12.75" customHeight="1" x14ac:dyDescent="0.2">
      <c r="A8" s="712" t="s">
        <v>57</v>
      </c>
      <c r="B8" s="712"/>
      <c r="C8" s="158"/>
      <c r="D8" s="155"/>
      <c r="E8" s="146"/>
      <c r="F8" s="132"/>
      <c r="G8" s="146"/>
      <c r="H8" s="708" t="s">
        <v>256</v>
      </c>
      <c r="I8" s="713" t="s">
        <v>210</v>
      </c>
      <c r="J8" s="714"/>
      <c r="K8" s="715"/>
      <c r="L8" s="716" t="s">
        <v>211</v>
      </c>
      <c r="M8" s="146"/>
      <c r="N8" s="708" t="s">
        <v>256</v>
      </c>
      <c r="O8" s="709" t="s">
        <v>210</v>
      </c>
      <c r="P8" s="710"/>
      <c r="Q8" s="711"/>
      <c r="R8" s="507"/>
      <c r="S8" s="507"/>
      <c r="T8" s="159"/>
      <c r="U8" s="708" t="s">
        <v>256</v>
      </c>
      <c r="V8" s="709" t="s">
        <v>228</v>
      </c>
      <c r="W8" s="710"/>
      <c r="X8" s="711"/>
      <c r="Z8" s="708" t="s">
        <v>256</v>
      </c>
      <c r="AA8" s="709" t="s">
        <v>231</v>
      </c>
      <c r="AB8" s="710"/>
      <c r="AC8" s="711"/>
    </row>
    <row r="9" spans="1:30" x14ac:dyDescent="0.2">
      <c r="A9" s="712" t="s">
        <v>63</v>
      </c>
      <c r="B9" s="712"/>
      <c r="C9" s="156">
        <f>C7+C8</f>
        <v>2999868.05</v>
      </c>
      <c r="D9" s="155"/>
      <c r="E9" s="146"/>
      <c r="F9" s="132"/>
      <c r="G9" s="146"/>
      <c r="H9" s="708"/>
      <c r="I9" s="160" t="s">
        <v>68</v>
      </c>
      <c r="J9" s="161" t="s">
        <v>89</v>
      </c>
      <c r="K9" s="161" t="s">
        <v>104</v>
      </c>
      <c r="L9" s="717"/>
      <c r="M9" s="146"/>
      <c r="N9" s="708"/>
      <c r="O9" s="160" t="s">
        <v>227</v>
      </c>
      <c r="P9" s="161" t="s">
        <v>226</v>
      </c>
      <c r="Q9" s="160" t="s">
        <v>223</v>
      </c>
      <c r="R9" s="508"/>
      <c r="S9" s="508"/>
      <c r="T9" s="159"/>
      <c r="U9" s="708"/>
      <c r="V9" s="160" t="s">
        <v>227</v>
      </c>
      <c r="W9" s="161" t="s">
        <v>226</v>
      </c>
      <c r="X9" s="160" t="s">
        <v>223</v>
      </c>
      <c r="Z9" s="708"/>
      <c r="AA9" s="359" t="s">
        <v>227</v>
      </c>
      <c r="AB9" s="376" t="s">
        <v>226</v>
      </c>
      <c r="AC9" s="401" t="s">
        <v>223</v>
      </c>
    </row>
    <row r="10" spans="1:30" x14ac:dyDescent="0.2">
      <c r="A10" s="158"/>
      <c r="B10" s="158"/>
      <c r="C10" s="156"/>
      <c r="D10" s="155"/>
      <c r="E10" s="146"/>
      <c r="F10" s="132"/>
      <c r="G10" s="146"/>
      <c r="H10" s="133" t="s">
        <v>209</v>
      </c>
      <c r="I10" s="126">
        <f>Budget_Recapitulatif!C27</f>
        <v>774031.58</v>
      </c>
      <c r="J10" s="126">
        <f>Budget_Recapitulatif!C29</f>
        <v>787447.24</v>
      </c>
      <c r="K10" s="126">
        <f>Budget_Recapitulatif!C28</f>
        <v>281075.09000000003</v>
      </c>
      <c r="L10" s="126">
        <f>SUM(I10:K10)</f>
        <v>1842553.91</v>
      </c>
      <c r="M10" s="146"/>
      <c r="N10" s="133" t="s">
        <v>225</v>
      </c>
      <c r="O10" s="130">
        <f>H59+H113</f>
        <v>477494</v>
      </c>
      <c r="P10" s="126">
        <f>J59+J113</f>
        <v>398719</v>
      </c>
      <c r="Q10" s="131">
        <f>SUM(P10/O10)</f>
        <v>0.83502410501493207</v>
      </c>
      <c r="R10" s="509"/>
      <c r="S10" s="509"/>
      <c r="T10" s="132"/>
      <c r="U10" s="133" t="s">
        <v>225</v>
      </c>
      <c r="V10" s="130">
        <f>H82</f>
        <v>555052</v>
      </c>
      <c r="W10" s="126">
        <f>J82</f>
        <v>524552</v>
      </c>
      <c r="X10" s="131">
        <f>SUM(W10/V10)</f>
        <v>0.94505019349538422</v>
      </c>
      <c r="Z10" s="133" t="s">
        <v>225</v>
      </c>
      <c r="AA10" s="360">
        <f>H101</f>
        <v>182200</v>
      </c>
      <c r="AB10" s="377">
        <f>J101</f>
        <v>182200</v>
      </c>
      <c r="AC10" s="402">
        <f>SUM(AB10/AA10)</f>
        <v>1</v>
      </c>
    </row>
    <row r="11" spans="1:30" x14ac:dyDescent="0.2">
      <c r="A11" s="158"/>
      <c r="B11" s="158"/>
      <c r="C11" s="156"/>
      <c r="D11" s="155"/>
      <c r="E11" s="146"/>
      <c r="F11" s="132"/>
      <c r="G11" s="146"/>
      <c r="H11" s="133" t="s">
        <v>208</v>
      </c>
      <c r="I11" s="126">
        <f>J59+J113+J117+J118+J119+J125+J126+J127+J128+J129+J141+J142+J144+J149+J150+J156+J158</f>
        <v>661310</v>
      </c>
      <c r="J11" s="127">
        <f>J82+J120+J121+J130+J131+J133+J134+J135+J137+J138+J146+J160+J162+J166+J167</f>
        <v>705402</v>
      </c>
      <c r="K11" s="128">
        <f>J101+J122+J136+J145+J153+J163</f>
        <v>262685</v>
      </c>
      <c r="L11" s="128">
        <f>SUM(I11:K11)</f>
        <v>1629397</v>
      </c>
      <c r="M11" s="146"/>
      <c r="N11" s="133" t="s">
        <v>224</v>
      </c>
      <c r="O11" s="130">
        <f>H117+H118+H119+H125+H126+H127+H129+H141+H142+H144+H149+H150+H156+H158</f>
        <v>245900</v>
      </c>
      <c r="P11" s="126">
        <f>J117+J118+J119+J125+J126+J127+J129+J141+J142+J144+J149+J150+J156+J158</f>
        <v>262591</v>
      </c>
      <c r="Q11" s="97">
        <f t="shared" ref="Q11:Q12" si="0">SUM(P11/O11)</f>
        <v>1.0678771858479057</v>
      </c>
      <c r="R11" s="510"/>
      <c r="S11" s="510"/>
      <c r="T11" s="337"/>
      <c r="U11" s="133" t="s">
        <v>224</v>
      </c>
      <c r="V11" s="130">
        <f>H120+H121+SUM(H130:H135)+SUM(H137:H138)+H146+SUM(H160:H162)+H166+H167</f>
        <v>180880</v>
      </c>
      <c r="W11" s="126">
        <f>J120+J121+SUM(J130:J135)+SUM(J137:J138)+J146+SUM(J160:J162)+J166+J167</f>
        <v>180850</v>
      </c>
      <c r="X11" s="131">
        <f t="shared" ref="X11:X12" si="1">SUM(W11/V11)</f>
        <v>0.99983414418398942</v>
      </c>
      <c r="Z11" s="133" t="s">
        <v>224</v>
      </c>
      <c r="AA11" s="360">
        <f>H122+H136+H145+H153+H163</f>
        <v>80487</v>
      </c>
      <c r="AB11" s="377">
        <f>J122+J136+J145+J153+J163</f>
        <v>80485</v>
      </c>
      <c r="AC11" s="402">
        <f t="shared" ref="AC11:AC12" si="2">SUM(AB11/AA11)</f>
        <v>0.99997515126666414</v>
      </c>
    </row>
    <row r="12" spans="1:30" x14ac:dyDescent="0.2">
      <c r="A12" s="158"/>
      <c r="B12" s="158"/>
      <c r="C12" s="156"/>
      <c r="D12" s="162"/>
      <c r="E12" s="146"/>
      <c r="F12" s="132"/>
      <c r="G12" s="146"/>
      <c r="H12" s="163" t="s">
        <v>230</v>
      </c>
      <c r="I12" s="128">
        <f>I11+(I11*7/100)</f>
        <v>707601.7</v>
      </c>
      <c r="J12" s="128">
        <f>J11+(J11*7/100)</f>
        <v>754780.14</v>
      </c>
      <c r="K12" s="128">
        <f>K11+(K11*7/100)</f>
        <v>281072.95</v>
      </c>
      <c r="L12" s="128">
        <f t="shared" ref="L12" si="3">L11+(L11*7/100)</f>
        <v>1743454.79</v>
      </c>
      <c r="M12" s="146"/>
      <c r="N12" s="133" t="s">
        <v>191</v>
      </c>
      <c r="O12" s="135">
        <f>O10+O11</f>
        <v>723394</v>
      </c>
      <c r="P12" s="126">
        <f>SUM(P10:P11)</f>
        <v>661310</v>
      </c>
      <c r="Q12" s="131">
        <f t="shared" si="0"/>
        <v>0.9141767833296931</v>
      </c>
      <c r="R12" s="509"/>
      <c r="S12" s="509"/>
      <c r="T12" s="132"/>
      <c r="U12" s="133" t="s">
        <v>191</v>
      </c>
      <c r="V12" s="135">
        <f>V10+V11</f>
        <v>735932</v>
      </c>
      <c r="W12" s="126">
        <f>SUM(W10:W11)</f>
        <v>705402</v>
      </c>
      <c r="X12" s="131">
        <f t="shared" si="1"/>
        <v>0.95851518890332255</v>
      </c>
      <c r="Z12" s="133" t="s">
        <v>191</v>
      </c>
      <c r="AA12" s="360">
        <f>AA10+AA11</f>
        <v>262687</v>
      </c>
      <c r="AB12" s="377">
        <f>SUM(AB10:AB11)</f>
        <v>262685</v>
      </c>
      <c r="AC12" s="402">
        <f t="shared" si="2"/>
        <v>0.99999238637618149</v>
      </c>
    </row>
    <row r="13" spans="1:30" x14ac:dyDescent="0.2">
      <c r="A13" s="158"/>
      <c r="B13" s="158"/>
      <c r="C13" s="156"/>
      <c r="D13" s="155"/>
      <c r="E13" s="146"/>
      <c r="F13" s="132"/>
      <c r="G13" s="146"/>
      <c r="H13" s="133" t="s">
        <v>212</v>
      </c>
      <c r="I13" s="129">
        <f>I12/I10</f>
        <v>0.9141767833296931</v>
      </c>
      <c r="J13" s="129">
        <f>J12/J10</f>
        <v>0.95851518890332266</v>
      </c>
      <c r="K13" s="129">
        <f>K12/K10</f>
        <v>0.99999238637618149</v>
      </c>
      <c r="L13" s="129">
        <f>L12/L10</f>
        <v>0.94621643390613197</v>
      </c>
      <c r="M13" s="146"/>
      <c r="N13" s="133" t="s">
        <v>229</v>
      </c>
      <c r="O13" s="130">
        <f>O12+(O12*7/100)</f>
        <v>774031.58</v>
      </c>
      <c r="P13" s="128">
        <f>P12+(P12*7/100)</f>
        <v>707601.7</v>
      </c>
      <c r="Q13" s="136">
        <f>P13/O13</f>
        <v>0.9141767833296931</v>
      </c>
      <c r="R13" s="511"/>
      <c r="S13" s="511"/>
      <c r="T13" s="132"/>
      <c r="U13" s="133" t="s">
        <v>229</v>
      </c>
      <c r="V13" s="130">
        <f>V12+(V12*7/100)</f>
        <v>787447.24</v>
      </c>
      <c r="W13" s="128">
        <f>W12+(W12*7/100)</f>
        <v>754780.14</v>
      </c>
      <c r="X13" s="136">
        <f>W13/V13</f>
        <v>0.95851518890332266</v>
      </c>
      <c r="Z13" s="133" t="s">
        <v>229</v>
      </c>
      <c r="AA13" s="360">
        <f>AA12+(AA12*7/100)</f>
        <v>281075.09000000003</v>
      </c>
      <c r="AB13" s="378">
        <f>AB12+(AB12*7/100)</f>
        <v>281072.95</v>
      </c>
      <c r="AC13" s="402">
        <f>AB13/AA13</f>
        <v>0.99999238637618149</v>
      </c>
    </row>
    <row r="14" spans="1:30" ht="18.75" x14ac:dyDescent="0.2">
      <c r="A14" s="158"/>
      <c r="B14" s="158"/>
      <c r="C14" s="156"/>
      <c r="D14" s="155"/>
      <c r="E14" s="146"/>
      <c r="F14" s="132"/>
      <c r="G14" s="146"/>
      <c r="H14" s="556" t="s">
        <v>309</v>
      </c>
      <c r="I14" s="557"/>
      <c r="J14" s="558"/>
      <c r="K14" s="557"/>
      <c r="L14" s="557"/>
      <c r="M14" s="559"/>
      <c r="N14" s="132"/>
      <c r="O14" s="146"/>
      <c r="P14" s="132"/>
      <c r="Q14" s="146"/>
      <c r="R14" s="146"/>
      <c r="S14" s="146"/>
      <c r="T14" s="132"/>
      <c r="U14" s="132"/>
      <c r="V14" s="132"/>
      <c r="W14" s="132"/>
      <c r="X14" s="132"/>
    </row>
    <row r="15" spans="1:30" x14ac:dyDescent="0.2">
      <c r="J15" s="146"/>
    </row>
    <row r="16" spans="1:30" s="142" customFormat="1" ht="38.25" x14ac:dyDescent="0.2">
      <c r="A16" s="137" t="s">
        <v>9</v>
      </c>
      <c r="B16" s="137" t="s">
        <v>10</v>
      </c>
      <c r="C16" s="137" t="s">
        <v>34</v>
      </c>
      <c r="D16" s="137" t="s">
        <v>29</v>
      </c>
      <c r="E16" s="137" t="s">
        <v>6</v>
      </c>
      <c r="F16" s="138" t="s">
        <v>7</v>
      </c>
      <c r="G16" s="137" t="s">
        <v>8</v>
      </c>
      <c r="H16" s="139" t="s">
        <v>11</v>
      </c>
      <c r="I16" s="140" t="s">
        <v>22</v>
      </c>
      <c r="J16" s="141" t="s">
        <v>197</v>
      </c>
      <c r="K16" s="313" t="s">
        <v>198</v>
      </c>
      <c r="L16" s="139" t="s">
        <v>64</v>
      </c>
      <c r="M16" s="137" t="s">
        <v>6</v>
      </c>
      <c r="N16" s="138" t="s">
        <v>7</v>
      </c>
      <c r="O16" s="137" t="s">
        <v>8</v>
      </c>
      <c r="P16" s="139" t="s">
        <v>12</v>
      </c>
      <c r="Q16" s="140" t="s">
        <v>22</v>
      </c>
      <c r="R16" s="141" t="s">
        <v>197</v>
      </c>
      <c r="S16" s="313" t="s">
        <v>198</v>
      </c>
      <c r="T16" s="139" t="s">
        <v>64</v>
      </c>
      <c r="U16" s="139" t="s">
        <v>13</v>
      </c>
      <c r="V16" s="140" t="s">
        <v>66</v>
      </c>
      <c r="W16" s="139" t="s">
        <v>65</v>
      </c>
      <c r="X16" s="140" t="s">
        <v>32</v>
      </c>
      <c r="Y16" s="374"/>
      <c r="AA16" s="458"/>
      <c r="AB16" s="459"/>
      <c r="AC16" s="399"/>
      <c r="AD16" s="374"/>
    </row>
    <row r="17" spans="1:31" s="571" customFormat="1" ht="88.5" customHeight="1" x14ac:dyDescent="0.2">
      <c r="A17" s="721" t="s">
        <v>272</v>
      </c>
      <c r="B17" s="428" t="s">
        <v>310</v>
      </c>
      <c r="C17" s="428" t="s">
        <v>37</v>
      </c>
      <c r="D17" s="429" t="s">
        <v>68</v>
      </c>
      <c r="E17" s="430">
        <v>30</v>
      </c>
      <c r="F17" s="560">
        <v>54</v>
      </c>
      <c r="G17" s="430">
        <v>1</v>
      </c>
      <c r="H17" s="431">
        <f>E17*F17*G17</f>
        <v>1620</v>
      </c>
      <c r="I17" s="432">
        <v>0.15</v>
      </c>
      <c r="J17" s="561">
        <v>1620</v>
      </c>
      <c r="K17" s="433">
        <f>SUM(J17/H17)</f>
        <v>1</v>
      </c>
      <c r="L17" s="434">
        <f t="shared" ref="L17:L26" si="4">SUM(I17*J17)</f>
        <v>243</v>
      </c>
      <c r="M17" s="562">
        <v>0</v>
      </c>
      <c r="N17" s="434">
        <v>0</v>
      </c>
      <c r="O17" s="562">
        <v>0</v>
      </c>
      <c r="P17" s="431">
        <f>M17*N17*O17</f>
        <v>0</v>
      </c>
      <c r="Q17" s="432">
        <v>0.15</v>
      </c>
      <c r="R17" s="563">
        <v>0</v>
      </c>
      <c r="S17" s="564" t="e">
        <f>SUM(R17/P17)</f>
        <v>#DIV/0!</v>
      </c>
      <c r="T17" s="434">
        <f>P17*Q17</f>
        <v>0</v>
      </c>
      <c r="U17" s="434">
        <f>H17+P17</f>
        <v>1620</v>
      </c>
      <c r="V17" s="432">
        <v>0.15</v>
      </c>
      <c r="W17" s="434">
        <f>T17+L17</f>
        <v>243</v>
      </c>
      <c r="X17" s="565" t="s">
        <v>280</v>
      </c>
      <c r="Y17" s="566"/>
      <c r="Z17" s="567"/>
      <c r="AA17" s="568"/>
      <c r="AB17" s="568"/>
      <c r="AC17" s="569"/>
      <c r="AD17" s="570"/>
    </row>
    <row r="18" spans="1:31" s="571" customFormat="1" ht="88.5" customHeight="1" x14ac:dyDescent="0.2">
      <c r="A18" s="721"/>
      <c r="B18" s="572" t="s">
        <v>273</v>
      </c>
      <c r="C18" s="573" t="s">
        <v>37</v>
      </c>
      <c r="D18" s="574" t="s">
        <v>68</v>
      </c>
      <c r="E18" s="430">
        <v>30</v>
      </c>
      <c r="F18" s="435">
        <v>80</v>
      </c>
      <c r="G18" s="430">
        <v>1</v>
      </c>
      <c r="H18" s="431">
        <f t="shared" ref="H18" si="5">E18*F18*G18</f>
        <v>2400</v>
      </c>
      <c r="I18" s="432">
        <v>0.75</v>
      </c>
      <c r="J18" s="561">
        <v>2400</v>
      </c>
      <c r="K18" s="433">
        <f>SUM(J18/H18)</f>
        <v>1</v>
      </c>
      <c r="L18" s="434">
        <f t="shared" si="4"/>
        <v>1800</v>
      </c>
      <c r="M18" s="562">
        <v>0</v>
      </c>
      <c r="N18" s="434">
        <v>0</v>
      </c>
      <c r="O18" s="562">
        <v>0</v>
      </c>
      <c r="P18" s="431">
        <f t="shared" ref="P18:P26" si="6">M18*N18*O18</f>
        <v>0</v>
      </c>
      <c r="Q18" s="432">
        <v>0.75</v>
      </c>
      <c r="R18" s="563">
        <v>0</v>
      </c>
      <c r="S18" s="564" t="e">
        <f t="shared" ref="S18:S81" si="7">SUM(R18/P18)</f>
        <v>#DIV/0!</v>
      </c>
      <c r="T18" s="434">
        <f t="shared" ref="T18:T25" si="8">P18*Q18</f>
        <v>0</v>
      </c>
      <c r="U18" s="434">
        <f t="shared" ref="U18:U26" si="9">H18+P18</f>
        <v>2400</v>
      </c>
      <c r="V18" s="432">
        <v>0.75</v>
      </c>
      <c r="W18" s="434">
        <f t="shared" ref="W18:W26" si="10">T18+L18</f>
        <v>1800</v>
      </c>
      <c r="X18" s="565" t="s">
        <v>281</v>
      </c>
      <c r="Y18" s="566"/>
      <c r="Z18" s="567"/>
      <c r="AA18" s="568"/>
      <c r="AB18" s="570"/>
      <c r="AC18" s="569"/>
      <c r="AD18" s="570"/>
    </row>
    <row r="19" spans="1:31" s="567" customFormat="1" ht="88.5" customHeight="1" x14ac:dyDescent="0.2">
      <c r="A19" s="721"/>
      <c r="B19" s="573" t="s">
        <v>112</v>
      </c>
      <c r="C19" s="573" t="s">
        <v>37</v>
      </c>
      <c r="D19" s="565" t="s">
        <v>68</v>
      </c>
      <c r="E19" s="430">
        <v>1</v>
      </c>
      <c r="F19" s="435">
        <v>660</v>
      </c>
      <c r="G19" s="430">
        <v>1</v>
      </c>
      <c r="H19" s="431">
        <f t="shared" ref="H19:H20" si="11">E19*F19*G19</f>
        <v>660</v>
      </c>
      <c r="I19" s="432">
        <v>0.4</v>
      </c>
      <c r="J19" s="561">
        <v>660</v>
      </c>
      <c r="K19" s="433">
        <f>SUM(J19/H19)</f>
        <v>1</v>
      </c>
      <c r="L19" s="434">
        <f t="shared" ref="L19:L21" si="12">SUM(I19*J19)</f>
        <v>264</v>
      </c>
      <c r="M19" s="430">
        <v>0</v>
      </c>
      <c r="N19" s="434">
        <v>0</v>
      </c>
      <c r="O19" s="430">
        <v>0</v>
      </c>
      <c r="P19" s="431">
        <f t="shared" ref="P19:P20" si="13">M19*N19*O19</f>
        <v>0</v>
      </c>
      <c r="Q19" s="432">
        <v>0.4</v>
      </c>
      <c r="R19" s="563">
        <v>0</v>
      </c>
      <c r="S19" s="564" t="e">
        <f t="shared" si="7"/>
        <v>#DIV/0!</v>
      </c>
      <c r="T19" s="434">
        <f t="shared" si="8"/>
        <v>0</v>
      </c>
      <c r="U19" s="434">
        <f t="shared" ref="U19:U20" si="14">H19+P19</f>
        <v>660</v>
      </c>
      <c r="V19" s="436">
        <f t="shared" ref="V19:V20" si="15">Q19</f>
        <v>0.4</v>
      </c>
      <c r="W19" s="434">
        <f t="shared" ref="W19:W20" si="16">T19+L19</f>
        <v>264</v>
      </c>
      <c r="X19" s="437" t="s">
        <v>282</v>
      </c>
      <c r="Y19" s="566"/>
      <c r="AA19" s="575"/>
      <c r="AB19" s="576"/>
      <c r="AC19" s="577"/>
    </row>
    <row r="20" spans="1:31" s="567" customFormat="1" ht="88.5" customHeight="1" x14ac:dyDescent="0.2">
      <c r="A20" s="721"/>
      <c r="B20" s="573" t="s">
        <v>113</v>
      </c>
      <c r="C20" s="573" t="s">
        <v>37</v>
      </c>
      <c r="D20" s="565" t="s">
        <v>68</v>
      </c>
      <c r="E20" s="430">
        <v>1</v>
      </c>
      <c r="F20" s="435">
        <v>7470</v>
      </c>
      <c r="G20" s="430">
        <v>1</v>
      </c>
      <c r="H20" s="431">
        <f t="shared" si="11"/>
        <v>7470</v>
      </c>
      <c r="I20" s="432">
        <v>0.4</v>
      </c>
      <c r="J20" s="561">
        <v>7470</v>
      </c>
      <c r="K20" s="433">
        <f t="shared" ref="K20" si="17">SUM(J20/H20)</f>
        <v>1</v>
      </c>
      <c r="L20" s="434">
        <f t="shared" si="12"/>
        <v>2988</v>
      </c>
      <c r="M20" s="430">
        <v>0</v>
      </c>
      <c r="N20" s="434">
        <v>0</v>
      </c>
      <c r="O20" s="430">
        <v>0</v>
      </c>
      <c r="P20" s="431">
        <f t="shared" si="13"/>
        <v>0</v>
      </c>
      <c r="Q20" s="432">
        <v>0.4</v>
      </c>
      <c r="R20" s="563">
        <v>0</v>
      </c>
      <c r="S20" s="564" t="e">
        <f t="shared" si="7"/>
        <v>#DIV/0!</v>
      </c>
      <c r="T20" s="434">
        <f t="shared" si="8"/>
        <v>0</v>
      </c>
      <c r="U20" s="434">
        <f t="shared" si="14"/>
        <v>7470</v>
      </c>
      <c r="V20" s="436">
        <f t="shared" si="15"/>
        <v>0.4</v>
      </c>
      <c r="W20" s="434">
        <f t="shared" si="16"/>
        <v>2988</v>
      </c>
      <c r="X20" s="437" t="s">
        <v>283</v>
      </c>
      <c r="Y20" s="566"/>
      <c r="AA20" s="575"/>
      <c r="AB20" s="576"/>
      <c r="AC20" s="577"/>
    </row>
    <row r="21" spans="1:31" s="567" customFormat="1" ht="88.5" customHeight="1" x14ac:dyDescent="0.2">
      <c r="A21" s="721"/>
      <c r="B21" s="428" t="s">
        <v>274</v>
      </c>
      <c r="C21" s="428" t="s">
        <v>37</v>
      </c>
      <c r="D21" s="429" t="s">
        <v>68</v>
      </c>
      <c r="E21" s="430">
        <v>1</v>
      </c>
      <c r="F21" s="435">
        <v>4650</v>
      </c>
      <c r="G21" s="430">
        <v>1</v>
      </c>
      <c r="H21" s="438">
        <v>4650</v>
      </c>
      <c r="I21" s="432">
        <v>0.15</v>
      </c>
      <c r="J21" s="561">
        <v>7470</v>
      </c>
      <c r="K21" s="433">
        <f>SUM(J21/H21)</f>
        <v>1.6064516129032258</v>
      </c>
      <c r="L21" s="434">
        <f t="shared" si="12"/>
        <v>1120.5</v>
      </c>
      <c r="M21" s="578">
        <v>10</v>
      </c>
      <c r="N21" s="578">
        <v>281</v>
      </c>
      <c r="O21" s="578">
        <v>1</v>
      </c>
      <c r="P21" s="431">
        <f t="shared" ref="P21" si="18">M21*N21*O21</f>
        <v>2810</v>
      </c>
      <c r="Q21" s="432">
        <v>0.15</v>
      </c>
      <c r="R21" s="563">
        <v>0</v>
      </c>
      <c r="S21" s="564">
        <f t="shared" si="7"/>
        <v>0</v>
      </c>
      <c r="T21" s="434">
        <f t="shared" si="8"/>
        <v>421.5</v>
      </c>
      <c r="U21" s="434">
        <f t="shared" ref="U21" si="19">H21+P21</f>
        <v>7460</v>
      </c>
      <c r="V21" s="436">
        <f t="shared" ref="V21" si="20">Q21</f>
        <v>0.15</v>
      </c>
      <c r="W21" s="434">
        <f t="shared" ref="W21" si="21">T21+L21</f>
        <v>1542</v>
      </c>
      <c r="X21" s="437" t="s">
        <v>275</v>
      </c>
      <c r="Y21" s="566"/>
      <c r="AA21" s="575"/>
      <c r="AB21" s="576"/>
      <c r="AC21" s="577"/>
    </row>
    <row r="22" spans="1:31" ht="88.5" customHeight="1" x14ac:dyDescent="0.2">
      <c r="A22" s="721"/>
      <c r="B22" s="428" t="s">
        <v>257</v>
      </c>
      <c r="C22" s="428" t="s">
        <v>37</v>
      </c>
      <c r="D22" s="429" t="s">
        <v>68</v>
      </c>
      <c r="E22" s="439">
        <v>15</v>
      </c>
      <c r="F22" s="439">
        <v>420</v>
      </c>
      <c r="G22" s="439">
        <v>1</v>
      </c>
      <c r="H22" s="438">
        <f>E22*F22*G22</f>
        <v>6300</v>
      </c>
      <c r="I22" s="440">
        <v>0.15</v>
      </c>
      <c r="J22" s="513">
        <v>6049</v>
      </c>
      <c r="K22" s="442">
        <f>SUM(J22/H22)</f>
        <v>0.96015873015873021</v>
      </c>
      <c r="L22" s="443">
        <f>SUM(I22*J22)</f>
        <v>907.35</v>
      </c>
      <c r="M22" s="528">
        <v>10</v>
      </c>
      <c r="N22" s="528">
        <v>420</v>
      </c>
      <c r="O22" s="528">
        <v>1</v>
      </c>
      <c r="P22" s="438">
        <f t="shared" si="6"/>
        <v>4200</v>
      </c>
      <c r="Q22" s="440">
        <v>0.15</v>
      </c>
      <c r="R22" s="512"/>
      <c r="S22" s="519">
        <f t="shared" si="7"/>
        <v>0</v>
      </c>
      <c r="T22" s="467">
        <f t="shared" si="8"/>
        <v>630</v>
      </c>
      <c r="U22" s="443">
        <f t="shared" si="9"/>
        <v>10500</v>
      </c>
      <c r="V22" s="440">
        <v>0.15</v>
      </c>
      <c r="W22" s="443">
        <f t="shared" si="10"/>
        <v>1537.35</v>
      </c>
      <c r="X22" s="445"/>
      <c r="Y22" s="424"/>
      <c r="Z22" s="40"/>
      <c r="AD22" s="375"/>
    </row>
    <row r="23" spans="1:31" ht="88.5" customHeight="1" x14ac:dyDescent="0.2">
      <c r="A23" s="721"/>
      <c r="B23" s="428" t="s">
        <v>258</v>
      </c>
      <c r="C23" s="428" t="s">
        <v>37</v>
      </c>
      <c r="D23" s="429" t="s">
        <v>68</v>
      </c>
      <c r="E23" s="439">
        <v>15</v>
      </c>
      <c r="F23" s="439">
        <v>600</v>
      </c>
      <c r="G23" s="439">
        <v>1</v>
      </c>
      <c r="H23" s="438">
        <f>E23*F23*G23</f>
        <v>9000</v>
      </c>
      <c r="I23" s="440">
        <v>0.15</v>
      </c>
      <c r="J23" s="441">
        <v>7500</v>
      </c>
      <c r="K23" s="442">
        <f>SUM(J23/H23)</f>
        <v>0.83333333333333337</v>
      </c>
      <c r="L23" s="443">
        <f t="shared" si="4"/>
        <v>1125</v>
      </c>
      <c r="M23" s="528">
        <v>10</v>
      </c>
      <c r="N23" s="528">
        <v>280</v>
      </c>
      <c r="O23" s="528">
        <v>2</v>
      </c>
      <c r="P23" s="438">
        <f t="shared" si="6"/>
        <v>5600</v>
      </c>
      <c r="Q23" s="440">
        <v>0.15</v>
      </c>
      <c r="R23" s="512"/>
      <c r="S23" s="519">
        <f t="shared" si="7"/>
        <v>0</v>
      </c>
      <c r="T23" s="467">
        <f t="shared" si="8"/>
        <v>840</v>
      </c>
      <c r="U23" s="443">
        <f t="shared" si="9"/>
        <v>14600</v>
      </c>
      <c r="V23" s="440">
        <v>0.15</v>
      </c>
      <c r="W23" s="443">
        <f t="shared" si="10"/>
        <v>1965</v>
      </c>
      <c r="X23" s="445" t="s">
        <v>286</v>
      </c>
      <c r="Y23" s="424"/>
      <c r="Z23" s="40"/>
      <c r="AD23" s="375"/>
    </row>
    <row r="24" spans="1:31" ht="88.5" customHeight="1" x14ac:dyDescent="0.2">
      <c r="A24" s="721"/>
      <c r="B24" s="428" t="s">
        <v>259</v>
      </c>
      <c r="C24" s="428" t="s">
        <v>37</v>
      </c>
      <c r="D24" s="429" t="s">
        <v>68</v>
      </c>
      <c r="E24" s="439">
        <v>100</v>
      </c>
      <c r="F24" s="439">
        <v>100</v>
      </c>
      <c r="G24" s="439">
        <v>2</v>
      </c>
      <c r="H24" s="438">
        <f>E24*F24*G24</f>
        <v>20000</v>
      </c>
      <c r="I24" s="440">
        <v>0.15</v>
      </c>
      <c r="J24" s="441">
        <v>3000</v>
      </c>
      <c r="K24" s="442">
        <f>SUM(J24/H24)</f>
        <v>0.15</v>
      </c>
      <c r="L24" s="443">
        <f t="shared" si="4"/>
        <v>450</v>
      </c>
      <c r="M24" s="528">
        <v>0</v>
      </c>
      <c r="N24" s="528">
        <v>0</v>
      </c>
      <c r="O24" s="528">
        <v>0</v>
      </c>
      <c r="P24" s="438">
        <f t="shared" si="6"/>
        <v>0</v>
      </c>
      <c r="Q24" s="440">
        <v>0.15</v>
      </c>
      <c r="R24" s="512"/>
      <c r="S24" s="519" t="e">
        <f t="shared" si="7"/>
        <v>#DIV/0!</v>
      </c>
      <c r="T24" s="467">
        <f t="shared" si="8"/>
        <v>0</v>
      </c>
      <c r="U24" s="443">
        <f t="shared" si="9"/>
        <v>20000</v>
      </c>
      <c r="V24" s="440">
        <v>0.15</v>
      </c>
      <c r="W24" s="443">
        <f t="shared" si="10"/>
        <v>450</v>
      </c>
      <c r="X24" s="445" t="s">
        <v>287</v>
      </c>
      <c r="Z24" s="40"/>
      <c r="AD24" s="375"/>
    </row>
    <row r="25" spans="1:31" ht="85.5" customHeight="1" x14ac:dyDescent="0.2">
      <c r="A25" s="721"/>
      <c r="B25" s="428" t="s">
        <v>260</v>
      </c>
      <c r="C25" s="428" t="s">
        <v>37</v>
      </c>
      <c r="D25" s="429" t="s">
        <v>68</v>
      </c>
      <c r="E25" s="439">
        <v>1</v>
      </c>
      <c r="F25" s="446">
        <v>15000</v>
      </c>
      <c r="G25" s="439">
        <v>1</v>
      </c>
      <c r="H25" s="438">
        <f t="shared" ref="H25:H26" si="22">E25*F25*G25</f>
        <v>15000</v>
      </c>
      <c r="I25" s="440">
        <v>0.15</v>
      </c>
      <c r="J25" s="441">
        <v>0</v>
      </c>
      <c r="K25" s="442">
        <f t="shared" ref="K25" si="23">SUM(J25/H25)</f>
        <v>0</v>
      </c>
      <c r="L25" s="443">
        <f t="shared" si="4"/>
        <v>0</v>
      </c>
      <c r="M25" s="528">
        <v>10</v>
      </c>
      <c r="N25" s="528">
        <v>600</v>
      </c>
      <c r="O25" s="528">
        <v>1</v>
      </c>
      <c r="P25" s="438">
        <f t="shared" si="6"/>
        <v>6000</v>
      </c>
      <c r="Q25" s="440">
        <v>0.15</v>
      </c>
      <c r="R25" s="512"/>
      <c r="S25" s="519">
        <f t="shared" si="7"/>
        <v>0</v>
      </c>
      <c r="T25" s="467">
        <f t="shared" si="8"/>
        <v>900</v>
      </c>
      <c r="U25" s="443">
        <f>H25+P25</f>
        <v>21000</v>
      </c>
      <c r="V25" s="440">
        <v>0.15</v>
      </c>
      <c r="W25" s="443">
        <f t="shared" si="10"/>
        <v>900</v>
      </c>
      <c r="X25" s="445" t="s">
        <v>288</v>
      </c>
      <c r="Z25" s="40"/>
      <c r="AD25" s="375"/>
    </row>
    <row r="26" spans="1:31" ht="63.75" x14ac:dyDescent="0.2">
      <c r="A26" s="721"/>
      <c r="B26" s="428" t="s">
        <v>261</v>
      </c>
      <c r="C26" s="428" t="s">
        <v>37</v>
      </c>
      <c r="D26" s="429" t="s">
        <v>68</v>
      </c>
      <c r="E26" s="447">
        <v>24</v>
      </c>
      <c r="F26" s="448">
        <v>49.25</v>
      </c>
      <c r="G26" s="447">
        <v>5</v>
      </c>
      <c r="H26" s="438">
        <f t="shared" si="22"/>
        <v>5910</v>
      </c>
      <c r="I26" s="440">
        <v>0.15</v>
      </c>
      <c r="J26" s="513">
        <v>5910</v>
      </c>
      <c r="K26" s="442">
        <f t="shared" ref="K26:K31" si="24">SUM(J26/H26)</f>
        <v>1</v>
      </c>
      <c r="L26" s="443">
        <f t="shared" si="4"/>
        <v>886.5</v>
      </c>
      <c r="M26" s="528">
        <v>10</v>
      </c>
      <c r="N26" s="528">
        <v>180</v>
      </c>
      <c r="O26" s="528">
        <v>2</v>
      </c>
      <c r="P26" s="438">
        <f t="shared" si="6"/>
        <v>3600</v>
      </c>
      <c r="Q26" s="440">
        <v>0.15</v>
      </c>
      <c r="R26" s="512"/>
      <c r="S26" s="519">
        <f t="shared" si="7"/>
        <v>0</v>
      </c>
      <c r="T26" s="467">
        <f>P26*Q26</f>
        <v>540</v>
      </c>
      <c r="U26" s="443">
        <f t="shared" si="9"/>
        <v>9510</v>
      </c>
      <c r="V26" s="440">
        <v>0.15</v>
      </c>
      <c r="W26" s="443">
        <f t="shared" si="10"/>
        <v>1426.5</v>
      </c>
      <c r="X26" s="445" t="s">
        <v>289</v>
      </c>
      <c r="Z26" s="40"/>
    </row>
    <row r="27" spans="1:31" s="145" customFormat="1" x14ac:dyDescent="0.2">
      <c r="A27" s="721"/>
      <c r="B27" s="722" t="s">
        <v>0</v>
      </c>
      <c r="C27" s="722"/>
      <c r="D27" s="722"/>
      <c r="E27" s="722"/>
      <c r="F27" s="722"/>
      <c r="G27" s="722"/>
      <c r="H27" s="438">
        <f>SUM(H17:H26)</f>
        <v>73010</v>
      </c>
      <c r="I27" s="449">
        <f>L27/H27</f>
        <v>0.13401383372140804</v>
      </c>
      <c r="J27" s="450">
        <f>SUM(J17:J26)</f>
        <v>42079</v>
      </c>
      <c r="K27" s="451">
        <f>SUM(J27/H27)</f>
        <v>0.576345706067662</v>
      </c>
      <c r="L27" s="450">
        <f>SUM(L17:L26)</f>
        <v>9784.35</v>
      </c>
      <c r="M27" s="450"/>
      <c r="N27" s="450"/>
      <c r="O27" s="450"/>
      <c r="P27" s="450">
        <f>SUM(P17:P26)</f>
        <v>22210</v>
      </c>
      <c r="Q27" s="450"/>
      <c r="R27" s="450">
        <f t="shared" ref="R27" si="25">SUM(R17:R26)</f>
        <v>0</v>
      </c>
      <c r="S27" s="450"/>
      <c r="T27" s="450">
        <f>SUM(T17:T26)</f>
        <v>3331.5</v>
      </c>
      <c r="U27" s="450">
        <f>SUM(U17:U26)</f>
        <v>95220</v>
      </c>
      <c r="V27" s="452"/>
      <c r="W27" s="453">
        <f>SUM(W17:W26)</f>
        <v>13115.85</v>
      </c>
      <c r="X27" s="454">
        <f>W27/U27</f>
        <v>0.13774259609325773</v>
      </c>
      <c r="Y27" s="415"/>
      <c r="Z27" s="416"/>
      <c r="AA27" s="417"/>
      <c r="AB27" s="417"/>
      <c r="AC27" s="418"/>
      <c r="AD27" s="417"/>
      <c r="AE27" s="302"/>
    </row>
    <row r="28" spans="1:31" ht="65.25" customHeight="1" x14ac:dyDescent="0.2">
      <c r="A28" s="723" t="s">
        <v>114</v>
      </c>
      <c r="B28" s="514" t="s">
        <v>115</v>
      </c>
      <c r="C28" s="428" t="s">
        <v>36</v>
      </c>
      <c r="D28" s="429" t="s">
        <v>68</v>
      </c>
      <c r="E28" s="439">
        <v>30</v>
      </c>
      <c r="F28" s="477">
        <v>80</v>
      </c>
      <c r="G28" s="439">
        <v>2</v>
      </c>
      <c r="H28" s="438">
        <f t="shared" ref="H28:H34" si="26">E28*F28*G28</f>
        <v>4800</v>
      </c>
      <c r="I28" s="440">
        <v>0.33</v>
      </c>
      <c r="J28" s="515">
        <v>4357</v>
      </c>
      <c r="K28" s="442">
        <f t="shared" si="24"/>
        <v>0.90770833333333334</v>
      </c>
      <c r="L28" s="174">
        <f>SUM(I28*J28)</f>
        <v>1437.8100000000002</v>
      </c>
      <c r="M28" s="175">
        <v>0</v>
      </c>
      <c r="N28" s="174">
        <v>0</v>
      </c>
      <c r="O28" s="175">
        <v>0</v>
      </c>
      <c r="P28" s="171">
        <f>M28*N28*O28</f>
        <v>0</v>
      </c>
      <c r="Q28" s="172">
        <v>0</v>
      </c>
      <c r="R28" s="512">
        <v>0</v>
      </c>
      <c r="S28" s="519" t="e">
        <f t="shared" si="7"/>
        <v>#DIV/0!</v>
      </c>
      <c r="T28" s="174">
        <f>P28*Q28</f>
        <v>0</v>
      </c>
      <c r="U28" s="174">
        <f>H28+P28</f>
        <v>4800</v>
      </c>
      <c r="V28" s="172">
        <v>0.33</v>
      </c>
      <c r="W28" s="174">
        <f>T28+L28</f>
        <v>1437.8100000000002</v>
      </c>
      <c r="X28" s="176"/>
      <c r="AD28" s="375"/>
    </row>
    <row r="29" spans="1:31" ht="69" customHeight="1" x14ac:dyDescent="0.2">
      <c r="A29" s="724"/>
      <c r="B29" s="514" t="s">
        <v>163</v>
      </c>
      <c r="C29" s="428" t="s">
        <v>37</v>
      </c>
      <c r="D29" s="429" t="s">
        <v>68</v>
      </c>
      <c r="E29" s="439">
        <v>20</v>
      </c>
      <c r="F29" s="477">
        <v>109</v>
      </c>
      <c r="G29" s="439">
        <v>4</v>
      </c>
      <c r="H29" s="438">
        <f t="shared" si="26"/>
        <v>8720</v>
      </c>
      <c r="I29" s="440">
        <v>0.15</v>
      </c>
      <c r="J29" s="515">
        <v>9443</v>
      </c>
      <c r="K29" s="442">
        <f t="shared" si="24"/>
        <v>1.0829128440366973</v>
      </c>
      <c r="L29" s="174">
        <f>SUM(I29*J29)</f>
        <v>1416.45</v>
      </c>
      <c r="M29" s="175">
        <v>0</v>
      </c>
      <c r="N29" s="174">
        <v>0</v>
      </c>
      <c r="O29" s="175">
        <v>0</v>
      </c>
      <c r="P29" s="171">
        <f t="shared" ref="P29:P34" si="27">M29*N29*O29</f>
        <v>0</v>
      </c>
      <c r="Q29" s="172">
        <v>0</v>
      </c>
      <c r="R29" s="512">
        <v>0</v>
      </c>
      <c r="S29" s="519" t="e">
        <f t="shared" si="7"/>
        <v>#DIV/0!</v>
      </c>
      <c r="T29" s="174">
        <f t="shared" ref="T29:T34" si="28">P29*Q29</f>
        <v>0</v>
      </c>
      <c r="U29" s="174">
        <f>H29+P29</f>
        <v>8720</v>
      </c>
      <c r="V29" s="172">
        <v>0.15</v>
      </c>
      <c r="W29" s="174">
        <f t="shared" ref="W29:W34" si="29">T29+L29</f>
        <v>1416.45</v>
      </c>
      <c r="X29" s="426" t="s">
        <v>284</v>
      </c>
      <c r="AD29" s="375"/>
    </row>
    <row r="30" spans="1:31" ht="166.5" customHeight="1" x14ac:dyDescent="0.2">
      <c r="A30" s="724"/>
      <c r="B30" s="428" t="s">
        <v>276</v>
      </c>
      <c r="C30" s="428" t="s">
        <v>36</v>
      </c>
      <c r="D30" s="429" t="s">
        <v>68</v>
      </c>
      <c r="E30" s="439">
        <v>1</v>
      </c>
      <c r="F30" s="477">
        <v>30000</v>
      </c>
      <c r="G30" s="439">
        <v>1</v>
      </c>
      <c r="H30" s="438">
        <f t="shared" si="26"/>
        <v>30000</v>
      </c>
      <c r="I30" s="440">
        <v>0</v>
      </c>
      <c r="J30" s="515">
        <v>30000</v>
      </c>
      <c r="K30" s="442">
        <f t="shared" si="24"/>
        <v>1</v>
      </c>
      <c r="L30" s="174">
        <f>SUM(I30*J30)</f>
        <v>0</v>
      </c>
      <c r="M30" s="175">
        <v>0</v>
      </c>
      <c r="N30" s="174">
        <v>0</v>
      </c>
      <c r="O30" s="175">
        <v>0</v>
      </c>
      <c r="P30" s="171">
        <f t="shared" si="27"/>
        <v>0</v>
      </c>
      <c r="Q30" s="172">
        <v>0</v>
      </c>
      <c r="R30" s="512">
        <v>0</v>
      </c>
      <c r="S30" s="519" t="e">
        <f t="shared" si="7"/>
        <v>#DIV/0!</v>
      </c>
      <c r="T30" s="174">
        <f t="shared" si="28"/>
        <v>0</v>
      </c>
      <c r="U30" s="174">
        <f t="shared" ref="U30:U34" si="30">H30+P30</f>
        <v>30000</v>
      </c>
      <c r="V30" s="172">
        <f t="shared" ref="V30:V34" si="31">Q30</f>
        <v>0</v>
      </c>
      <c r="W30" s="174">
        <f t="shared" si="29"/>
        <v>0</v>
      </c>
      <c r="X30" s="426" t="s">
        <v>304</v>
      </c>
      <c r="AD30" s="375"/>
    </row>
    <row r="31" spans="1:31" ht="113.25" customHeight="1" x14ac:dyDescent="0.2">
      <c r="A31" s="724"/>
      <c r="B31" s="428" t="s">
        <v>277</v>
      </c>
      <c r="C31" s="428" t="s">
        <v>36</v>
      </c>
      <c r="D31" s="429" t="s">
        <v>68</v>
      </c>
      <c r="E31" s="439">
        <v>1</v>
      </c>
      <c r="F31" s="477">
        <v>8000</v>
      </c>
      <c r="G31" s="439">
        <v>1</v>
      </c>
      <c r="H31" s="438">
        <f t="shared" si="26"/>
        <v>8000</v>
      </c>
      <c r="I31" s="440">
        <v>0</v>
      </c>
      <c r="J31" s="515">
        <v>8000</v>
      </c>
      <c r="K31" s="442">
        <f t="shared" si="24"/>
        <v>1</v>
      </c>
      <c r="L31" s="174">
        <f>SUM(I31*J31)</f>
        <v>0</v>
      </c>
      <c r="M31" s="175">
        <v>1</v>
      </c>
      <c r="N31" s="174">
        <v>0</v>
      </c>
      <c r="O31" s="175">
        <v>1</v>
      </c>
      <c r="P31" s="171">
        <f t="shared" si="27"/>
        <v>0</v>
      </c>
      <c r="Q31" s="172">
        <v>0</v>
      </c>
      <c r="R31" s="512">
        <v>0</v>
      </c>
      <c r="S31" s="519" t="e">
        <f t="shared" si="7"/>
        <v>#DIV/0!</v>
      </c>
      <c r="T31" s="174">
        <f t="shared" si="28"/>
        <v>0</v>
      </c>
      <c r="U31" s="174">
        <f t="shared" si="30"/>
        <v>8000</v>
      </c>
      <c r="V31" s="172">
        <f t="shared" si="31"/>
        <v>0</v>
      </c>
      <c r="W31" s="174">
        <f t="shared" si="29"/>
        <v>0</v>
      </c>
      <c r="X31" s="176" t="s">
        <v>285</v>
      </c>
      <c r="AD31" s="375"/>
    </row>
    <row r="32" spans="1:31" ht="108" customHeight="1" x14ac:dyDescent="0.2">
      <c r="A32" s="724"/>
      <c r="B32" s="428" t="s">
        <v>291</v>
      </c>
      <c r="C32" s="428" t="s">
        <v>37</v>
      </c>
      <c r="D32" s="429" t="s">
        <v>68</v>
      </c>
      <c r="E32" s="439">
        <v>1</v>
      </c>
      <c r="F32" s="477">
        <v>10000</v>
      </c>
      <c r="G32" s="439">
        <v>1</v>
      </c>
      <c r="H32" s="438">
        <f t="shared" si="26"/>
        <v>10000</v>
      </c>
      <c r="I32" s="440">
        <v>0</v>
      </c>
      <c r="J32" s="515">
        <v>1012</v>
      </c>
      <c r="K32" s="442">
        <f t="shared" ref="K32:K54" si="32">SUM(J32/H32)</f>
        <v>0.1012</v>
      </c>
      <c r="L32" s="174">
        <f>SUM(I32*J32)</f>
        <v>0</v>
      </c>
      <c r="M32" s="175">
        <v>0</v>
      </c>
      <c r="N32" s="174">
        <v>0</v>
      </c>
      <c r="O32" s="175">
        <v>0</v>
      </c>
      <c r="P32" s="171">
        <f t="shared" si="27"/>
        <v>0</v>
      </c>
      <c r="Q32" s="172">
        <v>0</v>
      </c>
      <c r="R32" s="512">
        <v>0</v>
      </c>
      <c r="S32" s="519" t="e">
        <f t="shared" si="7"/>
        <v>#DIV/0!</v>
      </c>
      <c r="T32" s="174">
        <f t="shared" si="28"/>
        <v>0</v>
      </c>
      <c r="U32" s="174">
        <f t="shared" si="30"/>
        <v>10000</v>
      </c>
      <c r="V32" s="172">
        <f t="shared" si="31"/>
        <v>0</v>
      </c>
      <c r="W32" s="174">
        <f t="shared" si="29"/>
        <v>0</v>
      </c>
      <c r="X32" s="176" t="s">
        <v>245</v>
      </c>
      <c r="AD32" s="375"/>
    </row>
    <row r="33" spans="1:30" ht="38.25" x14ac:dyDescent="0.2">
      <c r="A33" s="724"/>
      <c r="B33" s="428" t="s">
        <v>194</v>
      </c>
      <c r="C33" s="428" t="s">
        <v>17</v>
      </c>
      <c r="D33" s="429" t="s">
        <v>68</v>
      </c>
      <c r="E33" s="439">
        <v>1</v>
      </c>
      <c r="F33" s="477">
        <v>3300</v>
      </c>
      <c r="G33" s="439">
        <v>12</v>
      </c>
      <c r="H33" s="438">
        <f t="shared" si="26"/>
        <v>39600</v>
      </c>
      <c r="I33" s="440">
        <v>0</v>
      </c>
      <c r="J33" s="516">
        <v>39600</v>
      </c>
      <c r="K33" s="442">
        <f>SUM(J33/H33)</f>
        <v>1</v>
      </c>
      <c r="L33" s="174">
        <f t="shared" ref="L33" si="33">SUM(I33*J33)</f>
        <v>0</v>
      </c>
      <c r="M33" s="175">
        <v>1</v>
      </c>
      <c r="N33" s="174">
        <v>3300</v>
      </c>
      <c r="O33" s="175">
        <v>12</v>
      </c>
      <c r="P33" s="171">
        <f t="shared" si="27"/>
        <v>39600</v>
      </c>
      <c r="Q33" s="172">
        <v>0</v>
      </c>
      <c r="R33" s="512">
        <v>13200</v>
      </c>
      <c r="S33" s="519">
        <f t="shared" si="7"/>
        <v>0.33333333333333331</v>
      </c>
      <c r="T33" s="174">
        <f t="shared" ref="T33" si="34">P33*Q33</f>
        <v>0</v>
      </c>
      <c r="U33" s="174">
        <f t="shared" si="30"/>
        <v>79200</v>
      </c>
      <c r="V33" s="172">
        <f t="shared" ref="V33" si="35">Q33</f>
        <v>0</v>
      </c>
      <c r="W33" s="174">
        <f t="shared" ref="W33" si="36">T33+L33</f>
        <v>0</v>
      </c>
      <c r="X33" s="176"/>
    </row>
    <row r="34" spans="1:30" ht="38.25" x14ac:dyDescent="0.2">
      <c r="A34" s="724"/>
      <c r="B34" s="428" t="s">
        <v>279</v>
      </c>
      <c r="C34" s="428" t="s">
        <v>37</v>
      </c>
      <c r="D34" s="429" t="s">
        <v>68</v>
      </c>
      <c r="E34" s="439">
        <v>1</v>
      </c>
      <c r="F34" s="477">
        <v>34200</v>
      </c>
      <c r="G34" s="439">
        <v>1</v>
      </c>
      <c r="H34" s="438">
        <f t="shared" si="26"/>
        <v>34200</v>
      </c>
      <c r="I34" s="440">
        <v>0.33</v>
      </c>
      <c r="J34" s="516">
        <v>34200</v>
      </c>
      <c r="K34" s="442">
        <f>SUM(J34/H34)</f>
        <v>1</v>
      </c>
      <c r="L34" s="174">
        <f>SUM(I34*J34)</f>
        <v>11286</v>
      </c>
      <c r="M34" s="175">
        <v>1</v>
      </c>
      <c r="N34" s="170">
        <v>34200</v>
      </c>
      <c r="O34" s="175">
        <v>1</v>
      </c>
      <c r="P34" s="171">
        <f t="shared" si="27"/>
        <v>34200</v>
      </c>
      <c r="Q34" s="172">
        <v>0.33</v>
      </c>
      <c r="R34" s="512">
        <v>14210</v>
      </c>
      <c r="S34" s="519">
        <f t="shared" si="7"/>
        <v>0.41549707602339181</v>
      </c>
      <c r="T34" s="174">
        <f t="shared" si="28"/>
        <v>11286</v>
      </c>
      <c r="U34" s="174">
        <f t="shared" si="30"/>
        <v>68400</v>
      </c>
      <c r="V34" s="172">
        <f t="shared" si="31"/>
        <v>0.33</v>
      </c>
      <c r="W34" s="174">
        <f t="shared" si="29"/>
        <v>22572</v>
      </c>
      <c r="X34" s="176"/>
    </row>
    <row r="35" spans="1:30" ht="13.5" x14ac:dyDescent="0.2">
      <c r="A35" s="725"/>
      <c r="B35" s="726"/>
      <c r="C35" s="727"/>
      <c r="D35" s="727"/>
      <c r="E35" s="727"/>
      <c r="F35" s="727"/>
      <c r="G35" s="728"/>
      <c r="H35" s="59">
        <f>SUM(H28:H34)</f>
        <v>135320</v>
      </c>
      <c r="I35" s="58">
        <f>L35/H35</f>
        <v>0.10449497487437186</v>
      </c>
      <c r="J35" s="59">
        <f>SUM(J28:J34)</f>
        <v>126612</v>
      </c>
      <c r="K35" s="398">
        <f>SUM(J35/H35)</f>
        <v>0.93564883239728047</v>
      </c>
      <c r="L35" s="59">
        <f>SUM(L28:L34)</f>
        <v>14140.26</v>
      </c>
      <c r="M35" s="179"/>
      <c r="N35" s="179"/>
      <c r="O35" s="179"/>
      <c r="P35" s="179">
        <f>SUM(P28:P34)</f>
        <v>73800</v>
      </c>
      <c r="Q35" s="179"/>
      <c r="R35" s="179">
        <f>SUM(R28:R34)</f>
        <v>27410</v>
      </c>
      <c r="S35" s="249">
        <f>SUM(R35/P35)</f>
        <v>0.37140921409214095</v>
      </c>
      <c r="T35" s="179">
        <f>SUM(T28:T34)</f>
        <v>11286</v>
      </c>
      <c r="U35" s="179">
        <f>SUM(U28:U34)</f>
        <v>209120</v>
      </c>
      <c r="V35" s="179"/>
      <c r="W35" s="179">
        <f>SUM(W28:W34)</f>
        <v>25426.260000000002</v>
      </c>
      <c r="X35" s="185"/>
      <c r="Y35" s="415"/>
      <c r="Z35" s="419"/>
      <c r="AA35" s="417"/>
      <c r="AB35" s="420"/>
      <c r="AC35" s="421"/>
      <c r="AD35" s="420"/>
    </row>
    <row r="36" spans="1:30" ht="63.75" x14ac:dyDescent="0.2">
      <c r="A36" s="729" t="s">
        <v>116</v>
      </c>
      <c r="B36" s="167" t="s">
        <v>117</v>
      </c>
      <c r="C36" s="167" t="s">
        <v>37</v>
      </c>
      <c r="D36" s="168" t="s">
        <v>68</v>
      </c>
      <c r="E36" s="169">
        <v>2</v>
      </c>
      <c r="F36" s="170">
        <v>1000</v>
      </c>
      <c r="G36" s="169">
        <v>1</v>
      </c>
      <c r="H36" s="171">
        <f>E36*F36*G36</f>
        <v>2000</v>
      </c>
      <c r="I36" s="172">
        <v>0.35</v>
      </c>
      <c r="J36" s="183">
        <v>2000</v>
      </c>
      <c r="K36" s="173">
        <f>SUM(J36/H36)</f>
        <v>1</v>
      </c>
      <c r="L36" s="174">
        <f>SUM(I36*J36)</f>
        <v>700</v>
      </c>
      <c r="M36" s="476">
        <v>1</v>
      </c>
      <c r="N36" s="477">
        <v>1000</v>
      </c>
      <c r="O36" s="476">
        <v>1</v>
      </c>
      <c r="P36" s="171">
        <f t="shared" ref="P36:P40" si="37">M36*N36*O36</f>
        <v>1000</v>
      </c>
      <c r="Q36" s="172">
        <v>0.35</v>
      </c>
      <c r="R36" s="512">
        <v>0</v>
      </c>
      <c r="S36" s="519">
        <f t="shared" si="7"/>
        <v>0</v>
      </c>
      <c r="T36" s="174">
        <f t="shared" ref="T36:T40" si="38">P36*Q36</f>
        <v>350</v>
      </c>
      <c r="U36" s="174">
        <f t="shared" ref="U36:U40" si="39">H36+P36</f>
        <v>3000</v>
      </c>
      <c r="V36" s="172">
        <f>Q36</f>
        <v>0.35</v>
      </c>
      <c r="W36" s="174">
        <f t="shared" ref="W36:W40" si="40">T36+L36</f>
        <v>1050</v>
      </c>
      <c r="X36" s="176"/>
    </row>
    <row r="37" spans="1:30" ht="76.5" x14ac:dyDescent="0.2">
      <c r="A37" s="730"/>
      <c r="B37" s="167" t="s">
        <v>118</v>
      </c>
      <c r="C37" s="167" t="s">
        <v>37</v>
      </c>
      <c r="D37" s="168" t="s">
        <v>68</v>
      </c>
      <c r="E37" s="169">
        <v>1</v>
      </c>
      <c r="F37" s="170">
        <v>1000</v>
      </c>
      <c r="G37" s="169">
        <v>1</v>
      </c>
      <c r="H37" s="171">
        <f>E37*F37*G37</f>
        <v>1000</v>
      </c>
      <c r="I37" s="172">
        <v>0.3</v>
      </c>
      <c r="J37" s="183">
        <v>1000</v>
      </c>
      <c r="K37" s="173">
        <f t="shared" ref="K37:K40" si="41">SUM(J37/H37)</f>
        <v>1</v>
      </c>
      <c r="L37" s="174">
        <f>SUM(I37*J37)</f>
        <v>300</v>
      </c>
      <c r="M37" s="476">
        <v>1</v>
      </c>
      <c r="N37" s="477">
        <v>1000</v>
      </c>
      <c r="O37" s="476">
        <v>1</v>
      </c>
      <c r="P37" s="171">
        <f t="shared" si="37"/>
        <v>1000</v>
      </c>
      <c r="Q37" s="172">
        <v>0.3</v>
      </c>
      <c r="R37" s="512">
        <v>0</v>
      </c>
      <c r="S37" s="519">
        <f t="shared" si="7"/>
        <v>0</v>
      </c>
      <c r="T37" s="174">
        <f t="shared" si="38"/>
        <v>300</v>
      </c>
      <c r="U37" s="174">
        <f t="shared" si="39"/>
        <v>2000</v>
      </c>
      <c r="V37" s="172">
        <f>Q37</f>
        <v>0.3</v>
      </c>
      <c r="W37" s="174">
        <f t="shared" si="40"/>
        <v>600</v>
      </c>
      <c r="X37" s="176"/>
    </row>
    <row r="38" spans="1:30" ht="127.5" x14ac:dyDescent="0.2">
      <c r="A38" s="730"/>
      <c r="B38" s="177" t="s">
        <v>157</v>
      </c>
      <c r="C38" s="167" t="s">
        <v>37</v>
      </c>
      <c r="D38" s="168" t="s">
        <v>68</v>
      </c>
      <c r="E38" s="169">
        <v>3</v>
      </c>
      <c r="F38" s="170">
        <v>15000</v>
      </c>
      <c r="G38" s="169">
        <v>1</v>
      </c>
      <c r="H38" s="171">
        <f>E38*F38*G38</f>
        <v>45000</v>
      </c>
      <c r="I38" s="172">
        <v>1</v>
      </c>
      <c r="J38" s="183">
        <v>45000</v>
      </c>
      <c r="K38" s="173">
        <f t="shared" si="41"/>
        <v>1</v>
      </c>
      <c r="L38" s="174">
        <f>SUM(I38*J38)</f>
        <v>45000</v>
      </c>
      <c r="M38" s="476">
        <v>3</v>
      </c>
      <c r="N38" s="477">
        <v>5000</v>
      </c>
      <c r="O38" s="476">
        <v>1</v>
      </c>
      <c r="P38" s="171">
        <f t="shared" si="37"/>
        <v>15000</v>
      </c>
      <c r="Q38" s="172">
        <v>1</v>
      </c>
      <c r="R38" s="512">
        <v>0</v>
      </c>
      <c r="S38" s="519">
        <f t="shared" si="7"/>
        <v>0</v>
      </c>
      <c r="T38" s="174">
        <f t="shared" si="38"/>
        <v>15000</v>
      </c>
      <c r="U38" s="174">
        <f t="shared" si="39"/>
        <v>60000</v>
      </c>
      <c r="V38" s="172">
        <f t="shared" ref="V38:V40" si="42">Q38</f>
        <v>1</v>
      </c>
      <c r="W38" s="174">
        <f t="shared" si="40"/>
        <v>60000</v>
      </c>
      <c r="X38" s="176"/>
    </row>
    <row r="39" spans="1:30" ht="127.5" x14ac:dyDescent="0.2">
      <c r="A39" s="730"/>
      <c r="B39" s="177" t="s">
        <v>158</v>
      </c>
      <c r="C39" s="167" t="s">
        <v>37</v>
      </c>
      <c r="D39" s="168" t="s">
        <v>68</v>
      </c>
      <c r="E39" s="169">
        <v>3</v>
      </c>
      <c r="F39" s="170">
        <v>10000</v>
      </c>
      <c r="G39" s="169">
        <v>1</v>
      </c>
      <c r="H39" s="171">
        <f>E39*F39*G39</f>
        <v>30000</v>
      </c>
      <c r="I39" s="172">
        <v>0.5</v>
      </c>
      <c r="J39" s="183">
        <v>30000</v>
      </c>
      <c r="K39" s="173">
        <f t="shared" si="41"/>
        <v>1</v>
      </c>
      <c r="L39" s="174">
        <f>SUM(I39*J39)</f>
        <v>15000</v>
      </c>
      <c r="M39" s="476">
        <v>3</v>
      </c>
      <c r="N39" s="477">
        <v>5000</v>
      </c>
      <c r="O39" s="476">
        <v>1</v>
      </c>
      <c r="P39" s="171">
        <f t="shared" si="37"/>
        <v>15000</v>
      </c>
      <c r="Q39" s="172">
        <v>0.5</v>
      </c>
      <c r="R39" s="512">
        <v>0</v>
      </c>
      <c r="S39" s="519">
        <f>SUM(R39/P39)</f>
        <v>0</v>
      </c>
      <c r="T39" s="174">
        <f t="shared" si="38"/>
        <v>7500</v>
      </c>
      <c r="U39" s="174">
        <f t="shared" si="39"/>
        <v>45000</v>
      </c>
      <c r="V39" s="172">
        <f t="shared" si="42"/>
        <v>0.5</v>
      </c>
      <c r="W39" s="174">
        <f t="shared" si="40"/>
        <v>22500</v>
      </c>
      <c r="X39" s="176"/>
    </row>
    <row r="40" spans="1:30" ht="25.5" x14ac:dyDescent="0.2">
      <c r="A40" s="730"/>
      <c r="B40" s="167" t="s">
        <v>155</v>
      </c>
      <c r="C40" s="167" t="s">
        <v>37</v>
      </c>
      <c r="D40" s="168" t="s">
        <v>68</v>
      </c>
      <c r="E40" s="169">
        <v>3</v>
      </c>
      <c r="F40" s="170">
        <v>2500</v>
      </c>
      <c r="G40" s="169">
        <v>1</v>
      </c>
      <c r="H40" s="171">
        <f>E40*F40*G40</f>
        <v>7500</v>
      </c>
      <c r="I40" s="172">
        <v>0.15</v>
      </c>
      <c r="J40" s="183">
        <v>7500</v>
      </c>
      <c r="K40" s="173">
        <f t="shared" si="41"/>
        <v>1</v>
      </c>
      <c r="L40" s="174">
        <f>SUM(I40*J40)</f>
        <v>1125</v>
      </c>
      <c r="M40" s="476">
        <v>3</v>
      </c>
      <c r="N40" s="477">
        <v>2500</v>
      </c>
      <c r="O40" s="476">
        <v>1</v>
      </c>
      <c r="P40" s="171">
        <f t="shared" si="37"/>
        <v>7500</v>
      </c>
      <c r="Q40" s="172">
        <v>0.15</v>
      </c>
      <c r="R40" s="512">
        <v>0</v>
      </c>
      <c r="S40" s="519">
        <f t="shared" si="7"/>
        <v>0</v>
      </c>
      <c r="T40" s="174">
        <f t="shared" si="38"/>
        <v>1125</v>
      </c>
      <c r="U40" s="174">
        <f t="shared" si="39"/>
        <v>15000</v>
      </c>
      <c r="V40" s="172">
        <f t="shared" si="42"/>
        <v>0.15</v>
      </c>
      <c r="W40" s="174">
        <f t="shared" si="40"/>
        <v>2250</v>
      </c>
      <c r="X40" s="176"/>
    </row>
    <row r="41" spans="1:30" ht="13.5" x14ac:dyDescent="0.2">
      <c r="A41" s="731"/>
      <c r="B41" s="719" t="s">
        <v>0</v>
      </c>
      <c r="C41" s="719"/>
      <c r="D41" s="719"/>
      <c r="E41" s="719"/>
      <c r="F41" s="719"/>
      <c r="G41" s="719"/>
      <c r="H41" s="179">
        <f>SUM(H36:H40)</f>
        <v>85500</v>
      </c>
      <c r="I41" s="180">
        <f>L41/H41</f>
        <v>0.72660818713450293</v>
      </c>
      <c r="J41" s="179">
        <f>SUM(J36:J40)</f>
        <v>85500</v>
      </c>
      <c r="K41" s="180">
        <f t="shared" si="32"/>
        <v>1</v>
      </c>
      <c r="L41" s="179">
        <f>SUM(L36:L40)</f>
        <v>62125</v>
      </c>
      <c r="M41" s="478"/>
      <c r="N41" s="479"/>
      <c r="O41" s="478"/>
      <c r="P41" s="179">
        <f>SUM(P36:P40)</f>
        <v>39500</v>
      </c>
      <c r="Q41" s="179"/>
      <c r="R41" s="179">
        <f t="shared" ref="R41" si="43">SUM(R36:R40)</f>
        <v>0</v>
      </c>
      <c r="S41" s="249">
        <f t="shared" si="7"/>
        <v>0</v>
      </c>
      <c r="T41" s="179">
        <f>SUM(T36:T40)</f>
        <v>24275</v>
      </c>
      <c r="U41" s="179">
        <f>SUM(U36:U40)</f>
        <v>125000</v>
      </c>
      <c r="V41" s="181"/>
      <c r="W41" s="179">
        <f>SUM(W36:W40)</f>
        <v>86400</v>
      </c>
      <c r="X41" s="185">
        <f>W41/U41</f>
        <v>0.69120000000000004</v>
      </c>
    </row>
    <row r="42" spans="1:30" ht="55.5" customHeight="1" x14ac:dyDescent="0.2">
      <c r="A42" s="729" t="s">
        <v>119</v>
      </c>
      <c r="B42" s="177" t="s">
        <v>120</v>
      </c>
      <c r="C42" s="167" t="s">
        <v>37</v>
      </c>
      <c r="D42" s="168" t="s">
        <v>68</v>
      </c>
      <c r="E42" s="169">
        <v>30</v>
      </c>
      <c r="F42" s="170">
        <v>80</v>
      </c>
      <c r="G42" s="169">
        <v>2</v>
      </c>
      <c r="H42" s="171">
        <f t="shared" ref="H42:H47" si="44">E42*F42*G42</f>
        <v>4800</v>
      </c>
      <c r="I42" s="172">
        <v>0.33</v>
      </c>
      <c r="J42" s="183">
        <v>4500</v>
      </c>
      <c r="K42" s="173">
        <f t="shared" ref="K42:K53" si="45">SUM(J42/H42)</f>
        <v>0.9375</v>
      </c>
      <c r="L42" s="174">
        <f t="shared" ref="L42:L47" si="46">SUM(I42*J42)</f>
        <v>1485</v>
      </c>
      <c r="M42" s="480">
        <v>0</v>
      </c>
      <c r="N42" s="481">
        <v>0</v>
      </c>
      <c r="O42" s="480">
        <v>0</v>
      </c>
      <c r="P42" s="171">
        <f>M42*N42*O42</f>
        <v>0</v>
      </c>
      <c r="Q42" s="172">
        <v>0</v>
      </c>
      <c r="R42" s="512">
        <v>0</v>
      </c>
      <c r="S42" s="519" t="e">
        <f t="shared" si="7"/>
        <v>#DIV/0!</v>
      </c>
      <c r="T42" s="174">
        <f>P42*Q42</f>
        <v>0</v>
      </c>
      <c r="U42" s="174">
        <f>H42+P42</f>
        <v>4800</v>
      </c>
      <c r="V42" s="172">
        <v>0.33</v>
      </c>
      <c r="W42" s="174">
        <f t="shared" ref="W42:W47" si="47">T42+L42</f>
        <v>1485</v>
      </c>
      <c r="X42" s="176" t="s">
        <v>240</v>
      </c>
    </row>
    <row r="43" spans="1:30" ht="42.75" customHeight="1" x14ac:dyDescent="0.2">
      <c r="A43" s="730"/>
      <c r="B43" s="167" t="s">
        <v>121</v>
      </c>
      <c r="C43" s="167" t="s">
        <v>37</v>
      </c>
      <c r="D43" s="168" t="s">
        <v>68</v>
      </c>
      <c r="E43" s="169">
        <v>1</v>
      </c>
      <c r="F43" s="170">
        <v>500</v>
      </c>
      <c r="G43" s="169">
        <v>6</v>
      </c>
      <c r="H43" s="171">
        <f t="shared" si="44"/>
        <v>3000</v>
      </c>
      <c r="I43" s="172">
        <v>0.15</v>
      </c>
      <c r="J43" s="183">
        <v>3000</v>
      </c>
      <c r="K43" s="173">
        <f t="shared" si="45"/>
        <v>1</v>
      </c>
      <c r="L43" s="174">
        <f t="shared" si="46"/>
        <v>450</v>
      </c>
      <c r="M43" s="480">
        <v>1</v>
      </c>
      <c r="N43" s="481">
        <v>500</v>
      </c>
      <c r="O43" s="480">
        <v>6</v>
      </c>
      <c r="P43" s="171">
        <f t="shared" ref="P43:P47" si="48">M43*N43*O43</f>
        <v>3000</v>
      </c>
      <c r="Q43" s="172">
        <v>0.15</v>
      </c>
      <c r="R43" s="512">
        <v>0</v>
      </c>
      <c r="S43" s="519">
        <f t="shared" si="7"/>
        <v>0</v>
      </c>
      <c r="T43" s="174">
        <v>1500</v>
      </c>
      <c r="U43" s="174">
        <f t="shared" ref="U43:U47" si="49">H43+P43</f>
        <v>6000</v>
      </c>
      <c r="V43" s="172">
        <v>0.15</v>
      </c>
      <c r="W43" s="174">
        <f t="shared" si="47"/>
        <v>1950</v>
      </c>
      <c r="X43" s="176"/>
    </row>
    <row r="44" spans="1:30" ht="55.5" customHeight="1" x14ac:dyDescent="0.2">
      <c r="A44" s="730"/>
      <c r="B44" s="177" t="s">
        <v>162</v>
      </c>
      <c r="C44" s="167" t="s">
        <v>37</v>
      </c>
      <c r="D44" s="168" t="s">
        <v>68</v>
      </c>
      <c r="E44" s="169">
        <v>1</v>
      </c>
      <c r="F44" s="170">
        <v>6540</v>
      </c>
      <c r="G44" s="169">
        <v>1</v>
      </c>
      <c r="H44" s="171">
        <f t="shared" si="44"/>
        <v>6540</v>
      </c>
      <c r="I44" s="172">
        <v>0.2</v>
      </c>
      <c r="J44" s="183">
        <v>6540</v>
      </c>
      <c r="K44" s="173">
        <f t="shared" si="45"/>
        <v>1</v>
      </c>
      <c r="L44" s="174">
        <f t="shared" si="46"/>
        <v>1308</v>
      </c>
      <c r="M44" s="480">
        <v>0</v>
      </c>
      <c r="N44" s="481">
        <v>0</v>
      </c>
      <c r="O44" s="480">
        <v>0</v>
      </c>
      <c r="P44" s="171">
        <f t="shared" si="48"/>
        <v>0</v>
      </c>
      <c r="Q44" s="172">
        <v>0</v>
      </c>
      <c r="R44" s="512">
        <v>0</v>
      </c>
      <c r="S44" s="519" t="e">
        <f t="shared" si="7"/>
        <v>#DIV/0!</v>
      </c>
      <c r="T44" s="174">
        <v>0</v>
      </c>
      <c r="U44" s="174">
        <f t="shared" si="49"/>
        <v>6540</v>
      </c>
      <c r="V44" s="172">
        <v>0.2</v>
      </c>
      <c r="W44" s="174">
        <f t="shared" si="47"/>
        <v>1308</v>
      </c>
      <c r="X44" s="176"/>
    </row>
    <row r="45" spans="1:30" ht="60" customHeight="1" x14ac:dyDescent="0.2">
      <c r="A45" s="730"/>
      <c r="B45" s="167" t="s">
        <v>122</v>
      </c>
      <c r="C45" s="167" t="s">
        <v>37</v>
      </c>
      <c r="D45" s="168" t="s">
        <v>68</v>
      </c>
      <c r="E45" s="169">
        <v>1</v>
      </c>
      <c r="F45" s="170">
        <v>15000</v>
      </c>
      <c r="G45" s="169">
        <v>2</v>
      </c>
      <c r="H45" s="171">
        <f t="shared" si="44"/>
        <v>30000</v>
      </c>
      <c r="I45" s="172">
        <v>0.15</v>
      </c>
      <c r="J45" s="517">
        <v>28200</v>
      </c>
      <c r="K45" s="173">
        <f t="shared" si="45"/>
        <v>0.94</v>
      </c>
      <c r="L45" s="174">
        <f t="shared" si="46"/>
        <v>4230</v>
      </c>
      <c r="M45" s="480">
        <v>1</v>
      </c>
      <c r="N45" s="481">
        <v>10000</v>
      </c>
      <c r="O45" s="480">
        <v>2</v>
      </c>
      <c r="P45" s="171">
        <f t="shared" si="48"/>
        <v>20000</v>
      </c>
      <c r="Q45" s="172">
        <v>0.15</v>
      </c>
      <c r="R45" s="512">
        <v>0</v>
      </c>
      <c r="S45" s="519">
        <f t="shared" si="7"/>
        <v>0</v>
      </c>
      <c r="T45" s="174">
        <v>2</v>
      </c>
      <c r="U45" s="174">
        <f t="shared" si="49"/>
        <v>50000</v>
      </c>
      <c r="V45" s="172">
        <v>0.15</v>
      </c>
      <c r="W45" s="174">
        <f t="shared" si="47"/>
        <v>4232</v>
      </c>
      <c r="X45" s="176" t="s">
        <v>305</v>
      </c>
    </row>
    <row r="46" spans="1:30" ht="89.25" x14ac:dyDescent="0.2">
      <c r="A46" s="730"/>
      <c r="B46" s="177" t="s">
        <v>123</v>
      </c>
      <c r="C46" s="167" t="s">
        <v>37</v>
      </c>
      <c r="D46" s="168" t="s">
        <v>68</v>
      </c>
      <c r="E46" s="169">
        <v>30</v>
      </c>
      <c r="F46" s="170">
        <v>150</v>
      </c>
      <c r="G46" s="169">
        <v>1</v>
      </c>
      <c r="H46" s="171">
        <f t="shared" si="44"/>
        <v>4500</v>
      </c>
      <c r="I46" s="172">
        <v>0.15</v>
      </c>
      <c r="J46" s="517">
        <v>4500</v>
      </c>
      <c r="K46" s="173">
        <f t="shared" si="45"/>
        <v>1</v>
      </c>
      <c r="L46" s="174">
        <f t="shared" si="46"/>
        <v>675</v>
      </c>
      <c r="M46" s="480">
        <v>30</v>
      </c>
      <c r="N46" s="481">
        <v>150</v>
      </c>
      <c r="O46" s="480">
        <v>1</v>
      </c>
      <c r="P46" s="171">
        <f t="shared" si="48"/>
        <v>4500</v>
      </c>
      <c r="Q46" s="172">
        <v>0.15</v>
      </c>
      <c r="R46" s="512">
        <v>2250</v>
      </c>
      <c r="S46" s="519">
        <f t="shared" si="7"/>
        <v>0.5</v>
      </c>
      <c r="T46" s="174">
        <v>3</v>
      </c>
      <c r="U46" s="174">
        <f t="shared" si="49"/>
        <v>9000</v>
      </c>
      <c r="V46" s="172">
        <v>0.15</v>
      </c>
      <c r="W46" s="174">
        <f t="shared" si="47"/>
        <v>678</v>
      </c>
      <c r="X46" s="176" t="s">
        <v>246</v>
      </c>
    </row>
    <row r="47" spans="1:30" ht="114.75" x14ac:dyDescent="0.2">
      <c r="A47" s="730"/>
      <c r="B47" s="177" t="s">
        <v>124</v>
      </c>
      <c r="C47" s="167" t="s">
        <v>37</v>
      </c>
      <c r="D47" s="168" t="s">
        <v>68</v>
      </c>
      <c r="E47" s="169">
        <v>30</v>
      </c>
      <c r="F47" s="170">
        <v>200</v>
      </c>
      <c r="G47" s="169">
        <v>2</v>
      </c>
      <c r="H47" s="171">
        <f t="shared" si="44"/>
        <v>12000</v>
      </c>
      <c r="I47" s="172">
        <v>0.15</v>
      </c>
      <c r="J47" s="517">
        <v>12000</v>
      </c>
      <c r="K47" s="173">
        <f t="shared" si="45"/>
        <v>1</v>
      </c>
      <c r="L47" s="174">
        <f t="shared" si="46"/>
        <v>1800</v>
      </c>
      <c r="M47" s="480">
        <v>30</v>
      </c>
      <c r="N47" s="481">
        <v>200</v>
      </c>
      <c r="O47" s="480">
        <v>2</v>
      </c>
      <c r="P47" s="171">
        <f t="shared" si="48"/>
        <v>12000</v>
      </c>
      <c r="Q47" s="172">
        <v>0.15</v>
      </c>
      <c r="R47" s="512"/>
      <c r="S47" s="519">
        <f t="shared" si="7"/>
        <v>0</v>
      </c>
      <c r="T47" s="174">
        <v>4</v>
      </c>
      <c r="U47" s="174">
        <f t="shared" si="49"/>
        <v>24000</v>
      </c>
      <c r="V47" s="172">
        <v>0.15</v>
      </c>
      <c r="W47" s="174">
        <f t="shared" si="47"/>
        <v>1804</v>
      </c>
      <c r="X47" s="176"/>
      <c r="Y47" s="357" t="s">
        <v>264</v>
      </c>
    </row>
    <row r="48" spans="1:30" ht="13.5" x14ac:dyDescent="0.2">
      <c r="A48" s="731"/>
      <c r="B48" s="719" t="s">
        <v>0</v>
      </c>
      <c r="C48" s="719"/>
      <c r="D48" s="719"/>
      <c r="E48" s="719"/>
      <c r="F48" s="719"/>
      <c r="G48" s="719"/>
      <c r="H48" s="179">
        <f>SUM(H42:H47)</f>
        <v>60840</v>
      </c>
      <c r="I48" s="180">
        <f>L48/H48</f>
        <v>0.16351084812623273</v>
      </c>
      <c r="J48" s="179">
        <f>SUM(J42:J47)</f>
        <v>58740</v>
      </c>
      <c r="K48" s="181">
        <f t="shared" si="45"/>
        <v>0.96548323471400399</v>
      </c>
      <c r="L48" s="179">
        <f>SUM(L42:L47)</f>
        <v>9948</v>
      </c>
      <c r="M48" s="478"/>
      <c r="N48" s="479"/>
      <c r="O48" s="478"/>
      <c r="P48" s="179">
        <f>SUM(P42:P47)</f>
        <v>39500</v>
      </c>
      <c r="Q48" s="179"/>
      <c r="R48" s="179">
        <f t="shared" ref="R48" si="50">SUM(R42:R47)</f>
        <v>2250</v>
      </c>
      <c r="S48" s="519">
        <f t="shared" si="7"/>
        <v>5.6962025316455694E-2</v>
      </c>
      <c r="T48" s="179">
        <f>SUM(T42:T47)</f>
        <v>1509</v>
      </c>
      <c r="U48" s="179">
        <f>SUM(U42:U47)</f>
        <v>100340</v>
      </c>
      <c r="V48" s="182"/>
      <c r="W48" s="179">
        <f>SUM(W42:W47)</f>
        <v>11457</v>
      </c>
      <c r="X48" s="455">
        <f>W48/U48</f>
        <v>0.11418178194139925</v>
      </c>
    </row>
    <row r="49" spans="1:30" ht="94.5" customHeight="1" x14ac:dyDescent="0.2">
      <c r="A49" s="720" t="s">
        <v>134</v>
      </c>
      <c r="B49" s="167" t="s">
        <v>125</v>
      </c>
      <c r="C49" s="167" t="s">
        <v>36</v>
      </c>
      <c r="D49" s="168" t="s">
        <v>68</v>
      </c>
      <c r="E49" s="169">
        <v>20</v>
      </c>
      <c r="F49" s="170">
        <v>80</v>
      </c>
      <c r="G49" s="169">
        <v>3</v>
      </c>
      <c r="H49" s="171">
        <f t="shared" ref="H49:H57" si="51">E49*F49*G49</f>
        <v>4800</v>
      </c>
      <c r="I49" s="172">
        <v>0.15</v>
      </c>
      <c r="J49" s="183">
        <v>4800</v>
      </c>
      <c r="K49" s="173">
        <f t="shared" si="45"/>
        <v>1</v>
      </c>
      <c r="L49" s="174">
        <f>SUM(I49*J49)</f>
        <v>720</v>
      </c>
      <c r="M49" s="480">
        <v>0</v>
      </c>
      <c r="N49" s="481">
        <v>0</v>
      </c>
      <c r="O49" s="480">
        <v>0</v>
      </c>
      <c r="P49" s="171">
        <f>M49*N49*O49</f>
        <v>0</v>
      </c>
      <c r="Q49" s="172">
        <v>0.15</v>
      </c>
      <c r="R49" s="512"/>
      <c r="S49" s="519" t="e">
        <f t="shared" si="7"/>
        <v>#DIV/0!</v>
      </c>
      <c r="T49" s="174">
        <f t="shared" ref="T49:T57" si="52">P49*Q49</f>
        <v>0</v>
      </c>
      <c r="U49" s="174">
        <f>H49+P49</f>
        <v>4800</v>
      </c>
      <c r="V49" s="172">
        <v>0.15</v>
      </c>
      <c r="W49" s="174">
        <f t="shared" ref="W49:W57" si="53">T49+L49</f>
        <v>720</v>
      </c>
      <c r="X49" s="176"/>
    </row>
    <row r="50" spans="1:30" ht="29.25" customHeight="1" x14ac:dyDescent="0.2">
      <c r="A50" s="720"/>
      <c r="B50" s="177" t="s">
        <v>126</v>
      </c>
      <c r="C50" s="167" t="s">
        <v>37</v>
      </c>
      <c r="D50" s="168" t="s">
        <v>68</v>
      </c>
      <c r="E50" s="169">
        <v>10</v>
      </c>
      <c r="F50" s="170">
        <v>20</v>
      </c>
      <c r="G50" s="169">
        <v>20</v>
      </c>
      <c r="H50" s="171">
        <f t="shared" si="51"/>
        <v>4000</v>
      </c>
      <c r="I50" s="172">
        <v>0.2</v>
      </c>
      <c r="J50" s="183">
        <v>4000</v>
      </c>
      <c r="K50" s="173">
        <f t="shared" si="45"/>
        <v>1</v>
      </c>
      <c r="L50" s="174">
        <f>SUM(I50*J50)</f>
        <v>800</v>
      </c>
      <c r="M50" s="480">
        <v>0</v>
      </c>
      <c r="N50" s="481">
        <v>0</v>
      </c>
      <c r="O50" s="480">
        <v>0</v>
      </c>
      <c r="P50" s="171">
        <f>M50*N50*O50</f>
        <v>0</v>
      </c>
      <c r="Q50" s="172">
        <v>0.2</v>
      </c>
      <c r="R50" s="512"/>
      <c r="S50" s="519" t="e">
        <f t="shared" si="7"/>
        <v>#DIV/0!</v>
      </c>
      <c r="T50" s="174">
        <f t="shared" si="52"/>
        <v>0</v>
      </c>
      <c r="U50" s="174">
        <f>H50+P50</f>
        <v>4000</v>
      </c>
      <c r="V50" s="172">
        <v>0.2</v>
      </c>
      <c r="W50" s="174">
        <f t="shared" si="53"/>
        <v>800</v>
      </c>
      <c r="X50" s="176" t="s">
        <v>306</v>
      </c>
    </row>
    <row r="51" spans="1:30" ht="45.75" customHeight="1" x14ac:dyDescent="0.2">
      <c r="A51" s="720"/>
      <c r="B51" s="177" t="s">
        <v>127</v>
      </c>
      <c r="C51" s="167" t="s">
        <v>37</v>
      </c>
      <c r="D51" s="168" t="s">
        <v>68</v>
      </c>
      <c r="E51" s="169">
        <v>4</v>
      </c>
      <c r="F51" s="170">
        <v>1000</v>
      </c>
      <c r="G51" s="169">
        <v>1</v>
      </c>
      <c r="H51" s="171">
        <f t="shared" si="51"/>
        <v>4000</v>
      </c>
      <c r="I51" s="172">
        <v>0.4</v>
      </c>
      <c r="J51" s="183">
        <v>2500</v>
      </c>
      <c r="K51" s="173">
        <f t="shared" si="45"/>
        <v>0.625</v>
      </c>
      <c r="L51" s="174">
        <f>SUM(I51*J51)</f>
        <v>1000</v>
      </c>
      <c r="M51" s="482">
        <v>6</v>
      </c>
      <c r="N51" s="483">
        <v>1000</v>
      </c>
      <c r="O51" s="482">
        <v>1</v>
      </c>
      <c r="P51" s="171">
        <f t="shared" ref="P51:P57" si="54">M51*N51*O51</f>
        <v>6000</v>
      </c>
      <c r="Q51" s="172">
        <v>0.4</v>
      </c>
      <c r="R51" s="512"/>
      <c r="S51" s="519">
        <f t="shared" si="7"/>
        <v>0</v>
      </c>
      <c r="T51" s="174">
        <f t="shared" si="52"/>
        <v>2400</v>
      </c>
      <c r="U51" s="174">
        <f t="shared" ref="U51:U57" si="55">H51+P51</f>
        <v>10000</v>
      </c>
      <c r="V51" s="172">
        <f t="shared" ref="V51:V58" si="56">Q51</f>
        <v>0.4</v>
      </c>
      <c r="W51" s="174">
        <f t="shared" si="53"/>
        <v>3400</v>
      </c>
      <c r="X51" s="176" t="s">
        <v>247</v>
      </c>
    </row>
    <row r="52" spans="1:30" ht="41.25" customHeight="1" x14ac:dyDescent="0.2">
      <c r="A52" s="720"/>
      <c r="B52" s="167" t="s">
        <v>128</v>
      </c>
      <c r="C52" s="167" t="s">
        <v>37</v>
      </c>
      <c r="D52" s="168" t="s">
        <v>68</v>
      </c>
      <c r="E52" s="169">
        <v>3</v>
      </c>
      <c r="F52" s="170">
        <v>2000</v>
      </c>
      <c r="G52" s="169">
        <v>1</v>
      </c>
      <c r="H52" s="171">
        <f t="shared" si="51"/>
        <v>6000</v>
      </c>
      <c r="I52" s="172">
        <v>0.33</v>
      </c>
      <c r="J52" s="183">
        <v>4500</v>
      </c>
      <c r="K52" s="173">
        <f t="shared" si="45"/>
        <v>0.75</v>
      </c>
      <c r="L52" s="174">
        <f t="shared" ref="L52" si="57">SUM(I52*J52)</f>
        <v>1485</v>
      </c>
      <c r="M52" s="482">
        <v>3</v>
      </c>
      <c r="N52" s="483">
        <v>2000</v>
      </c>
      <c r="O52" s="482">
        <v>1</v>
      </c>
      <c r="P52" s="171">
        <f t="shared" si="54"/>
        <v>6000</v>
      </c>
      <c r="Q52" s="172">
        <v>0.33</v>
      </c>
      <c r="R52" s="512"/>
      <c r="S52" s="519">
        <f t="shared" si="7"/>
        <v>0</v>
      </c>
      <c r="T52" s="174">
        <f t="shared" si="52"/>
        <v>1980</v>
      </c>
      <c r="U52" s="174">
        <f t="shared" si="55"/>
        <v>12000</v>
      </c>
      <c r="V52" s="172">
        <v>0.33</v>
      </c>
      <c r="W52" s="174">
        <f t="shared" si="53"/>
        <v>3465</v>
      </c>
      <c r="X52" s="176"/>
      <c r="Y52" s="357" t="s">
        <v>264</v>
      </c>
    </row>
    <row r="53" spans="1:30" ht="45" customHeight="1" x14ac:dyDescent="0.2">
      <c r="A53" s="720"/>
      <c r="B53" s="167" t="s">
        <v>129</v>
      </c>
      <c r="C53" s="167" t="s">
        <v>37</v>
      </c>
      <c r="D53" s="168" t="s">
        <v>68</v>
      </c>
      <c r="E53" s="169">
        <v>3</v>
      </c>
      <c r="F53" s="170">
        <v>500</v>
      </c>
      <c r="G53" s="169">
        <v>2</v>
      </c>
      <c r="H53" s="171">
        <f t="shared" si="51"/>
        <v>3000</v>
      </c>
      <c r="I53" s="172">
        <v>0.33</v>
      </c>
      <c r="J53" s="183">
        <v>1500</v>
      </c>
      <c r="K53" s="173">
        <f t="shared" si="45"/>
        <v>0.5</v>
      </c>
      <c r="L53" s="174">
        <f>SUM(I53*J53)</f>
        <v>495</v>
      </c>
      <c r="M53" s="482">
        <v>3</v>
      </c>
      <c r="N53" s="483">
        <v>500</v>
      </c>
      <c r="O53" s="482">
        <v>2</v>
      </c>
      <c r="P53" s="171">
        <f t="shared" si="54"/>
        <v>3000</v>
      </c>
      <c r="Q53" s="172">
        <v>0.33</v>
      </c>
      <c r="R53" s="512"/>
      <c r="S53" s="519">
        <f t="shared" si="7"/>
        <v>0</v>
      </c>
      <c r="T53" s="174">
        <f t="shared" si="52"/>
        <v>990</v>
      </c>
      <c r="U53" s="174">
        <f t="shared" si="55"/>
        <v>6000</v>
      </c>
      <c r="V53" s="172">
        <v>0.33</v>
      </c>
      <c r="W53" s="174">
        <f t="shared" si="53"/>
        <v>1485</v>
      </c>
      <c r="X53" s="176" t="s">
        <v>248</v>
      </c>
    </row>
    <row r="54" spans="1:30" ht="42.75" customHeight="1" x14ac:dyDescent="0.2">
      <c r="A54" s="720"/>
      <c r="B54" s="167" t="s">
        <v>130</v>
      </c>
      <c r="C54" s="167" t="s">
        <v>37</v>
      </c>
      <c r="D54" s="168" t="s">
        <v>68</v>
      </c>
      <c r="E54" s="169">
        <v>1</v>
      </c>
      <c r="F54" s="170">
        <v>3000</v>
      </c>
      <c r="G54" s="169">
        <v>1</v>
      </c>
      <c r="H54" s="171">
        <f t="shared" si="51"/>
        <v>3000</v>
      </c>
      <c r="I54" s="172">
        <v>0.15</v>
      </c>
      <c r="J54" s="183">
        <v>3000</v>
      </c>
      <c r="K54" s="173">
        <f t="shared" si="32"/>
        <v>1</v>
      </c>
      <c r="L54" s="174">
        <f>SUM(I54*J54)</f>
        <v>450</v>
      </c>
      <c r="M54" s="482">
        <v>0</v>
      </c>
      <c r="N54" s="483">
        <v>0</v>
      </c>
      <c r="O54" s="482">
        <v>0</v>
      </c>
      <c r="P54" s="171">
        <f t="shared" si="54"/>
        <v>0</v>
      </c>
      <c r="Q54" s="172">
        <v>0.15</v>
      </c>
      <c r="R54" s="512"/>
      <c r="S54" s="519" t="e">
        <f t="shared" si="7"/>
        <v>#DIV/0!</v>
      </c>
      <c r="T54" s="174">
        <f t="shared" si="52"/>
        <v>0</v>
      </c>
      <c r="U54" s="174">
        <f t="shared" si="55"/>
        <v>3000</v>
      </c>
      <c r="V54" s="172">
        <v>0.15</v>
      </c>
      <c r="W54" s="174">
        <f t="shared" si="53"/>
        <v>450</v>
      </c>
      <c r="X54" s="176"/>
    </row>
    <row r="55" spans="1:30" ht="31.5" customHeight="1" x14ac:dyDescent="0.2">
      <c r="A55" s="720"/>
      <c r="B55" s="167" t="s">
        <v>131</v>
      </c>
      <c r="C55" s="167" t="s">
        <v>37</v>
      </c>
      <c r="D55" s="168" t="s">
        <v>68</v>
      </c>
      <c r="E55" s="169">
        <v>1</v>
      </c>
      <c r="F55" s="170">
        <v>6000</v>
      </c>
      <c r="G55" s="169">
        <v>1</v>
      </c>
      <c r="H55" s="171">
        <f t="shared" si="51"/>
        <v>6000</v>
      </c>
      <c r="I55" s="172">
        <v>0.15</v>
      </c>
      <c r="J55" s="517">
        <v>2656</v>
      </c>
      <c r="K55" s="173">
        <f>SUM(J55/H55)</f>
        <v>0.44266666666666665</v>
      </c>
      <c r="L55" s="174">
        <f>SUM(I55*J55)</f>
        <v>398.4</v>
      </c>
      <c r="M55" s="482">
        <v>0</v>
      </c>
      <c r="N55" s="483">
        <v>0</v>
      </c>
      <c r="O55" s="482">
        <v>0</v>
      </c>
      <c r="P55" s="171">
        <f t="shared" si="54"/>
        <v>0</v>
      </c>
      <c r="Q55" s="172">
        <v>0.15</v>
      </c>
      <c r="R55" s="512"/>
      <c r="S55" s="519" t="e">
        <f t="shared" si="7"/>
        <v>#DIV/0!</v>
      </c>
      <c r="T55" s="174">
        <f t="shared" si="52"/>
        <v>0</v>
      </c>
      <c r="U55" s="174">
        <f t="shared" si="55"/>
        <v>6000</v>
      </c>
      <c r="V55" s="172">
        <f t="shared" si="56"/>
        <v>0.15</v>
      </c>
      <c r="W55" s="174">
        <f t="shared" si="53"/>
        <v>398.4</v>
      </c>
      <c r="X55" s="176" t="s">
        <v>244</v>
      </c>
    </row>
    <row r="56" spans="1:30" ht="39.75" customHeight="1" x14ac:dyDescent="0.2">
      <c r="A56" s="720"/>
      <c r="B56" s="177" t="s">
        <v>132</v>
      </c>
      <c r="C56" s="167" t="s">
        <v>37</v>
      </c>
      <c r="D56" s="168" t="s">
        <v>68</v>
      </c>
      <c r="E56" s="169">
        <v>15</v>
      </c>
      <c r="F56" s="170">
        <v>150</v>
      </c>
      <c r="G56" s="169">
        <v>2</v>
      </c>
      <c r="H56" s="171">
        <f t="shared" si="51"/>
        <v>4500</v>
      </c>
      <c r="I56" s="172">
        <v>0.15</v>
      </c>
      <c r="J56" s="183">
        <v>0</v>
      </c>
      <c r="K56" s="173">
        <f>SUM(J56/H56)</f>
        <v>0</v>
      </c>
      <c r="L56" s="174">
        <f>SUM(I56*J56)</f>
        <v>0</v>
      </c>
      <c r="M56" s="482">
        <v>20</v>
      </c>
      <c r="N56" s="483">
        <v>150</v>
      </c>
      <c r="O56" s="482">
        <v>2</v>
      </c>
      <c r="P56" s="171">
        <f t="shared" si="54"/>
        <v>6000</v>
      </c>
      <c r="Q56" s="172">
        <v>0.15</v>
      </c>
      <c r="R56" s="512"/>
      <c r="S56" s="519">
        <f t="shared" si="7"/>
        <v>0</v>
      </c>
      <c r="T56" s="174">
        <f t="shared" si="52"/>
        <v>900</v>
      </c>
      <c r="U56" s="174">
        <f t="shared" si="55"/>
        <v>10500</v>
      </c>
      <c r="V56" s="172">
        <f t="shared" si="56"/>
        <v>0.15</v>
      </c>
      <c r="W56" s="174">
        <f t="shared" si="53"/>
        <v>900</v>
      </c>
      <c r="X56" s="176" t="s">
        <v>249</v>
      </c>
    </row>
    <row r="57" spans="1:30" ht="54.75" customHeight="1" x14ac:dyDescent="0.2">
      <c r="A57" s="720"/>
      <c r="B57" s="167" t="s">
        <v>133</v>
      </c>
      <c r="C57" s="167" t="s">
        <v>37</v>
      </c>
      <c r="D57" s="168" t="s">
        <v>68</v>
      </c>
      <c r="E57" s="169">
        <v>1</v>
      </c>
      <c r="F57" s="170">
        <v>9000</v>
      </c>
      <c r="G57" s="169">
        <v>1</v>
      </c>
      <c r="H57" s="171">
        <f t="shared" si="51"/>
        <v>9000</v>
      </c>
      <c r="I57" s="172">
        <v>0.15</v>
      </c>
      <c r="J57" s="183">
        <v>5400</v>
      </c>
      <c r="K57" s="173">
        <f>SUM(J57/H57)</f>
        <v>0.6</v>
      </c>
      <c r="L57" s="174">
        <f>SUM(I57*J57)</f>
        <v>810</v>
      </c>
      <c r="M57" s="482">
        <v>0</v>
      </c>
      <c r="N57" s="483">
        <v>0</v>
      </c>
      <c r="O57" s="482">
        <v>0</v>
      </c>
      <c r="P57" s="171">
        <f t="shared" si="54"/>
        <v>0</v>
      </c>
      <c r="Q57" s="172">
        <v>0.15</v>
      </c>
      <c r="R57" s="512"/>
      <c r="S57" s="519" t="e">
        <f t="shared" si="7"/>
        <v>#DIV/0!</v>
      </c>
      <c r="T57" s="174">
        <f t="shared" si="52"/>
        <v>0</v>
      </c>
      <c r="U57" s="174">
        <f t="shared" si="55"/>
        <v>9000</v>
      </c>
      <c r="V57" s="172">
        <f t="shared" si="56"/>
        <v>0.15</v>
      </c>
      <c r="W57" s="174">
        <f t="shared" si="53"/>
        <v>810</v>
      </c>
      <c r="X57" s="177" t="s">
        <v>250</v>
      </c>
      <c r="Y57" s="373"/>
    </row>
    <row r="58" spans="1:30" ht="13.5" x14ac:dyDescent="0.2">
      <c r="A58" s="720"/>
      <c r="B58" s="719" t="s">
        <v>0</v>
      </c>
      <c r="C58" s="719"/>
      <c r="D58" s="719"/>
      <c r="E58" s="719"/>
      <c r="F58" s="719"/>
      <c r="G58" s="719"/>
      <c r="H58" s="179">
        <f>SUM(H49:H57)</f>
        <v>44300</v>
      </c>
      <c r="I58" s="180">
        <f>L58/H58</f>
        <v>0.13901580135440181</v>
      </c>
      <c r="J58" s="179">
        <f>SUM(J49:J57)</f>
        <v>28356</v>
      </c>
      <c r="K58" s="58">
        <f>SUM(J58/H58)</f>
        <v>0.64009029345372459</v>
      </c>
      <c r="L58" s="179">
        <f>SUM(L49:L57)</f>
        <v>6158.4</v>
      </c>
      <c r="M58" s="478"/>
      <c r="N58" s="479"/>
      <c r="O58" s="478"/>
      <c r="P58" s="179">
        <f>SUM(P49:P57)</f>
        <v>21000</v>
      </c>
      <c r="Q58" s="179"/>
      <c r="R58" s="179">
        <f t="shared" ref="R58" si="58">SUM(R49:R57)</f>
        <v>0</v>
      </c>
      <c r="S58" s="249">
        <f t="shared" si="7"/>
        <v>0</v>
      </c>
      <c r="T58" s="179">
        <f>SUM(T49:T57)</f>
        <v>6270</v>
      </c>
      <c r="U58" s="186">
        <f>SUM(U49:U57)</f>
        <v>65300</v>
      </c>
      <c r="V58" s="187">
        <f t="shared" si="56"/>
        <v>0</v>
      </c>
      <c r="W58" s="188">
        <f>SUM(W49:W57)</f>
        <v>12428.4</v>
      </c>
      <c r="X58" s="455">
        <f>W58/U58</f>
        <v>0.19032771822358346</v>
      </c>
      <c r="Y58" s="373"/>
    </row>
    <row r="59" spans="1:30" s="194" customFormat="1" ht="13.5" x14ac:dyDescent="0.2">
      <c r="A59" s="732" t="s">
        <v>33</v>
      </c>
      <c r="B59" s="732"/>
      <c r="C59" s="732"/>
      <c r="D59" s="732"/>
      <c r="E59" s="732"/>
      <c r="F59" s="732"/>
      <c r="G59" s="732"/>
      <c r="H59" s="189">
        <f>H58+H48+H41+H35+H27</f>
        <v>398970</v>
      </c>
      <c r="I59" s="180">
        <f>L59/H59</f>
        <v>0.25604935208161012</v>
      </c>
      <c r="J59" s="190">
        <f>J58+J48+J41+J35+J27</f>
        <v>341287</v>
      </c>
      <c r="K59" s="191">
        <f>SUM(J59/H59)</f>
        <v>0.85542020703311028</v>
      </c>
      <c r="L59" s="189">
        <f>L58+L48+L41+L35+L27</f>
        <v>102156.01</v>
      </c>
      <c r="M59" s="189"/>
      <c r="N59" s="189"/>
      <c r="O59" s="189"/>
      <c r="P59" s="189">
        <f>P58+P48+P41+P35+P27</f>
        <v>196010</v>
      </c>
      <c r="Q59" s="189"/>
      <c r="R59" s="189">
        <f t="shared" ref="R59" si="59">R58+R48+R41+R35+R27</f>
        <v>29660</v>
      </c>
      <c r="S59" s="531">
        <f t="shared" si="7"/>
        <v>0.15131881026478242</v>
      </c>
      <c r="T59" s="189">
        <f>T58+T48+T41+T35+T27</f>
        <v>46671.5</v>
      </c>
      <c r="U59" s="189">
        <f>U58+U48+U41+U35+U27</f>
        <v>594980</v>
      </c>
      <c r="V59" s="192"/>
      <c r="W59" s="189">
        <f>W58+W48+W41+W35+W27</f>
        <v>148827.51</v>
      </c>
      <c r="X59" s="193">
        <f>W59/U59</f>
        <v>0.25013867693031699</v>
      </c>
      <c r="Y59" s="391"/>
      <c r="AA59" s="363"/>
      <c r="AB59" s="380"/>
      <c r="AC59" s="404"/>
      <c r="AD59" s="347"/>
    </row>
    <row r="60" spans="1:30" ht="15.75" customHeight="1" x14ac:dyDescent="0.2">
      <c r="A60" s="733" t="s">
        <v>87</v>
      </c>
      <c r="B60" s="733"/>
      <c r="C60" s="733"/>
      <c r="D60" s="733"/>
      <c r="E60" s="733"/>
      <c r="F60" s="733"/>
      <c r="G60" s="733"/>
      <c r="H60" s="733"/>
      <c r="I60" s="733"/>
      <c r="J60" s="733"/>
      <c r="K60" s="733"/>
      <c r="L60" s="733"/>
      <c r="M60" s="733"/>
      <c r="N60" s="733"/>
      <c r="O60" s="733"/>
      <c r="P60" s="733"/>
      <c r="Q60" s="733"/>
      <c r="R60" s="733"/>
      <c r="S60" s="733"/>
      <c r="T60" s="733"/>
      <c r="U60" s="733"/>
      <c r="V60" s="733"/>
      <c r="W60" s="733"/>
      <c r="X60" s="733"/>
    </row>
    <row r="61" spans="1:30" ht="48" customHeight="1" x14ac:dyDescent="0.2">
      <c r="A61" s="718" t="s">
        <v>268</v>
      </c>
      <c r="B61" s="177" t="s">
        <v>88</v>
      </c>
      <c r="C61" s="167" t="s">
        <v>37</v>
      </c>
      <c r="D61" s="168" t="s">
        <v>89</v>
      </c>
      <c r="E61" s="169">
        <v>7</v>
      </c>
      <c r="F61" s="170">
        <v>3490</v>
      </c>
      <c r="G61" s="169">
        <v>1</v>
      </c>
      <c r="H61" s="171">
        <f t="shared" ref="H61:H66" si="60">SUM(E61*F61*G61)</f>
        <v>24430</v>
      </c>
      <c r="I61" s="195">
        <v>0.4</v>
      </c>
      <c r="J61" s="196">
        <v>24430</v>
      </c>
      <c r="K61" s="173">
        <f t="shared" ref="K61:K113" si="61">SUM(J61/H61)</f>
        <v>1</v>
      </c>
      <c r="L61" s="174">
        <f t="shared" ref="L61:L66" si="62">SUM(I61*J61)</f>
        <v>9772</v>
      </c>
      <c r="M61" s="484">
        <v>0</v>
      </c>
      <c r="N61" s="443">
        <v>0</v>
      </c>
      <c r="O61" s="484">
        <v>0</v>
      </c>
      <c r="P61" s="171">
        <f>SUM(N61*M61*O61)</f>
        <v>0</v>
      </c>
      <c r="Q61" s="197">
        <v>40</v>
      </c>
      <c r="R61" s="512">
        <v>0</v>
      </c>
      <c r="S61" s="519" t="e">
        <f t="shared" si="7"/>
        <v>#DIV/0!</v>
      </c>
      <c r="T61" s="174">
        <f>SUM(Q61/100*P61)</f>
        <v>0</v>
      </c>
      <c r="U61" s="174">
        <f>H61+P61</f>
        <v>24430</v>
      </c>
      <c r="V61" s="197">
        <v>40</v>
      </c>
      <c r="W61" s="198">
        <f>SUM(V61/100*U61)</f>
        <v>9772</v>
      </c>
      <c r="X61" s="176"/>
    </row>
    <row r="62" spans="1:30" ht="38.25" x14ac:dyDescent="0.2">
      <c r="A62" s="718"/>
      <c r="B62" s="177" t="s">
        <v>139</v>
      </c>
      <c r="C62" s="167" t="s">
        <v>37</v>
      </c>
      <c r="D62" s="168" t="s">
        <v>89</v>
      </c>
      <c r="E62" s="169">
        <v>5</v>
      </c>
      <c r="F62" s="170">
        <v>14920</v>
      </c>
      <c r="G62" s="169">
        <v>1</v>
      </c>
      <c r="H62" s="171">
        <f t="shared" si="60"/>
        <v>74600</v>
      </c>
      <c r="I62" s="195">
        <v>0.43</v>
      </c>
      <c r="J62" s="196">
        <v>74600</v>
      </c>
      <c r="K62" s="173">
        <f t="shared" si="61"/>
        <v>1</v>
      </c>
      <c r="L62" s="174">
        <f t="shared" si="62"/>
        <v>32078</v>
      </c>
      <c r="M62" s="484">
        <v>2</v>
      </c>
      <c r="N62" s="443">
        <v>16173</v>
      </c>
      <c r="O62" s="484">
        <v>1</v>
      </c>
      <c r="P62" s="171">
        <f t="shared" ref="P62:P66" si="63">SUM(N62*M62*O62)</f>
        <v>32346</v>
      </c>
      <c r="Q62" s="197">
        <v>43</v>
      </c>
      <c r="R62" s="512">
        <v>32346</v>
      </c>
      <c r="S62" s="519">
        <f t="shared" si="7"/>
        <v>1</v>
      </c>
      <c r="T62" s="174">
        <f t="shared" ref="T62" si="64">SUM(Q62/100*P62)</f>
        <v>13908.78</v>
      </c>
      <c r="U62" s="174">
        <f t="shared" ref="U62:U66" si="65">H62+P62</f>
        <v>106946</v>
      </c>
      <c r="V62" s="197">
        <v>43</v>
      </c>
      <c r="W62" s="198">
        <f t="shared" ref="W62:W66" si="66">SUM(V62/100*U62)</f>
        <v>45986.78</v>
      </c>
      <c r="X62" s="176" t="s">
        <v>307</v>
      </c>
    </row>
    <row r="63" spans="1:30" ht="38.25" x14ac:dyDescent="0.2">
      <c r="A63" s="718"/>
      <c r="B63" s="177" t="s">
        <v>140</v>
      </c>
      <c r="C63" s="167" t="s">
        <v>37</v>
      </c>
      <c r="D63" s="168" t="s">
        <v>89</v>
      </c>
      <c r="E63" s="169">
        <v>430</v>
      </c>
      <c r="F63" s="170">
        <v>250</v>
      </c>
      <c r="G63" s="169">
        <v>1</v>
      </c>
      <c r="H63" s="171">
        <f t="shared" si="60"/>
        <v>107500</v>
      </c>
      <c r="I63" s="195">
        <v>0.43</v>
      </c>
      <c r="J63" s="196">
        <v>107500</v>
      </c>
      <c r="K63" s="173">
        <f t="shared" si="61"/>
        <v>1</v>
      </c>
      <c r="L63" s="174">
        <f t="shared" si="62"/>
        <v>46225</v>
      </c>
      <c r="M63" s="484">
        <v>170</v>
      </c>
      <c r="N63" s="443">
        <v>250</v>
      </c>
      <c r="O63" s="484">
        <v>1</v>
      </c>
      <c r="P63" s="171">
        <f t="shared" si="63"/>
        <v>42500</v>
      </c>
      <c r="Q63" s="197">
        <v>43</v>
      </c>
      <c r="R63" s="512">
        <v>42500</v>
      </c>
      <c r="S63" s="519">
        <f t="shared" si="7"/>
        <v>1</v>
      </c>
      <c r="T63" s="174">
        <f>SUM(Q63/100*P63)</f>
        <v>18275</v>
      </c>
      <c r="U63" s="174">
        <f t="shared" si="65"/>
        <v>150000</v>
      </c>
      <c r="V63" s="197">
        <v>43</v>
      </c>
      <c r="W63" s="198">
        <f t="shared" si="66"/>
        <v>64500</v>
      </c>
      <c r="X63" s="176"/>
      <c r="AA63" s="134"/>
      <c r="AB63" s="134"/>
      <c r="AC63" s="134"/>
      <c r="AD63" s="134"/>
    </row>
    <row r="64" spans="1:30" ht="25.5" x14ac:dyDescent="0.2">
      <c r="A64" s="718"/>
      <c r="B64" s="167" t="s">
        <v>90</v>
      </c>
      <c r="C64" s="167" t="s">
        <v>37</v>
      </c>
      <c r="D64" s="168" t="s">
        <v>89</v>
      </c>
      <c r="E64" s="169">
        <v>6</v>
      </c>
      <c r="F64" s="170">
        <v>2022</v>
      </c>
      <c r="G64" s="169">
        <v>1</v>
      </c>
      <c r="H64" s="171">
        <f t="shared" si="60"/>
        <v>12132</v>
      </c>
      <c r="I64" s="195">
        <v>0.43</v>
      </c>
      <c r="J64" s="196">
        <v>12132</v>
      </c>
      <c r="K64" s="173">
        <f t="shared" si="61"/>
        <v>1</v>
      </c>
      <c r="L64" s="174">
        <f t="shared" si="62"/>
        <v>5216.76</v>
      </c>
      <c r="M64" s="484">
        <v>12</v>
      </c>
      <c r="N64" s="477">
        <v>2022</v>
      </c>
      <c r="O64" s="484">
        <v>1</v>
      </c>
      <c r="P64" s="171">
        <f t="shared" si="63"/>
        <v>24264</v>
      </c>
      <c r="Q64" s="197">
        <v>43</v>
      </c>
      <c r="R64" s="512">
        <v>24264</v>
      </c>
      <c r="S64" s="519">
        <f t="shared" si="7"/>
        <v>1</v>
      </c>
      <c r="T64" s="174">
        <f t="shared" ref="T64:T66" si="67">SUM(Q64/100*P64)</f>
        <v>10433.52</v>
      </c>
      <c r="U64" s="174">
        <f t="shared" si="65"/>
        <v>36396</v>
      </c>
      <c r="V64" s="197">
        <v>43</v>
      </c>
      <c r="W64" s="198">
        <f t="shared" si="66"/>
        <v>15650.28</v>
      </c>
      <c r="X64" s="176"/>
      <c r="Y64" s="392"/>
      <c r="Z64" s="199"/>
      <c r="AA64" s="134"/>
      <c r="AB64" s="134"/>
      <c r="AC64" s="134"/>
      <c r="AD64" s="134"/>
    </row>
    <row r="65" spans="1:30" ht="63.75" x14ac:dyDescent="0.2">
      <c r="A65" s="718"/>
      <c r="B65" s="167" t="s">
        <v>141</v>
      </c>
      <c r="C65" s="167" t="s">
        <v>37</v>
      </c>
      <c r="D65" s="168" t="s">
        <v>89</v>
      </c>
      <c r="E65" s="169">
        <v>1</v>
      </c>
      <c r="F65" s="170">
        <v>8500</v>
      </c>
      <c r="G65" s="169">
        <v>1</v>
      </c>
      <c r="H65" s="171">
        <f t="shared" si="60"/>
        <v>8500</v>
      </c>
      <c r="I65" s="195">
        <v>0.43</v>
      </c>
      <c r="J65" s="518">
        <v>8500</v>
      </c>
      <c r="K65" s="173">
        <f t="shared" si="61"/>
        <v>1</v>
      </c>
      <c r="L65" s="174">
        <f t="shared" si="62"/>
        <v>3655</v>
      </c>
      <c r="M65" s="484">
        <v>0</v>
      </c>
      <c r="N65" s="477">
        <v>0</v>
      </c>
      <c r="O65" s="484">
        <v>0</v>
      </c>
      <c r="P65" s="171">
        <f t="shared" si="63"/>
        <v>0</v>
      </c>
      <c r="Q65" s="197">
        <v>43</v>
      </c>
      <c r="R65" s="512"/>
      <c r="S65" s="519" t="e">
        <f t="shared" si="7"/>
        <v>#DIV/0!</v>
      </c>
      <c r="T65" s="174">
        <f t="shared" si="67"/>
        <v>0</v>
      </c>
      <c r="U65" s="174">
        <f t="shared" si="65"/>
        <v>8500</v>
      </c>
      <c r="V65" s="197">
        <v>43</v>
      </c>
      <c r="W65" s="198">
        <f t="shared" si="66"/>
        <v>3655</v>
      </c>
      <c r="X65" s="176" t="s">
        <v>241</v>
      </c>
      <c r="Y65" s="392"/>
      <c r="Z65" s="199"/>
      <c r="AA65" s="134"/>
      <c r="AB65" s="134"/>
      <c r="AC65" s="134"/>
      <c r="AD65" s="134"/>
    </row>
    <row r="66" spans="1:30" ht="25.5" x14ac:dyDescent="0.2">
      <c r="A66" s="718"/>
      <c r="B66" s="167" t="s">
        <v>142</v>
      </c>
      <c r="C66" s="167" t="s">
        <v>37</v>
      </c>
      <c r="D66" s="168" t="s">
        <v>89</v>
      </c>
      <c r="E66" s="169">
        <v>150</v>
      </c>
      <c r="F66" s="170">
        <v>3</v>
      </c>
      <c r="G66" s="169">
        <v>48</v>
      </c>
      <c r="H66" s="171">
        <f t="shared" si="60"/>
        <v>21600</v>
      </c>
      <c r="I66" s="195">
        <v>0.3</v>
      </c>
      <c r="J66" s="196">
        <v>21600</v>
      </c>
      <c r="K66" s="173">
        <f t="shared" si="61"/>
        <v>1</v>
      </c>
      <c r="L66" s="174">
        <f t="shared" si="62"/>
        <v>6480</v>
      </c>
      <c r="M66" s="484">
        <v>150</v>
      </c>
      <c r="N66" s="477">
        <v>3</v>
      </c>
      <c r="O66" s="484">
        <v>96</v>
      </c>
      <c r="P66" s="171">
        <f t="shared" si="63"/>
        <v>43200</v>
      </c>
      <c r="Q66" s="197">
        <v>30</v>
      </c>
      <c r="R66" s="512">
        <v>43200</v>
      </c>
      <c r="S66" s="519">
        <f t="shared" si="7"/>
        <v>1</v>
      </c>
      <c r="T66" s="174">
        <f t="shared" si="67"/>
        <v>12960</v>
      </c>
      <c r="U66" s="174">
        <f t="shared" si="65"/>
        <v>64800</v>
      </c>
      <c r="V66" s="197">
        <v>30</v>
      </c>
      <c r="W66" s="198">
        <f t="shared" si="66"/>
        <v>19440</v>
      </c>
      <c r="X66" s="176"/>
      <c r="Y66" s="392"/>
      <c r="Z66" s="199"/>
      <c r="AA66" s="134"/>
      <c r="AB66" s="134"/>
      <c r="AC66" s="134"/>
      <c r="AD66" s="134"/>
    </row>
    <row r="67" spans="1:30" ht="13.5" x14ac:dyDescent="0.2">
      <c r="A67" s="718"/>
      <c r="B67" s="719" t="s">
        <v>0</v>
      </c>
      <c r="C67" s="719"/>
      <c r="D67" s="719" t="s">
        <v>0</v>
      </c>
      <c r="E67" s="719"/>
      <c r="F67" s="719"/>
      <c r="G67" s="719"/>
      <c r="H67" s="179">
        <f>SUM(H61:H66)</f>
        <v>248762</v>
      </c>
      <c r="I67" s="200">
        <f>L67/H67</f>
        <v>0.41576591280018649</v>
      </c>
      <c r="J67" s="179">
        <f>SUM(J61:J66)</f>
        <v>248762</v>
      </c>
      <c r="K67" s="181">
        <f>SUM(J67/H67)</f>
        <v>1</v>
      </c>
      <c r="L67" s="179">
        <f>SUM(L61:L66)</f>
        <v>103426.76</v>
      </c>
      <c r="M67" s="478"/>
      <c r="N67" s="479"/>
      <c r="O67" s="478"/>
      <c r="P67" s="179">
        <f>SUM(P61:P66)</f>
        <v>142310</v>
      </c>
      <c r="Q67" s="179"/>
      <c r="R67" s="179">
        <f t="shared" ref="R67" si="68">SUM(R61:R66)</f>
        <v>142310</v>
      </c>
      <c r="S67" s="249">
        <f t="shared" si="7"/>
        <v>1</v>
      </c>
      <c r="T67" s="179">
        <f>SUM(T61:T66)</f>
        <v>55577.3</v>
      </c>
      <c r="U67" s="201">
        <f>SUM(U61:U66)</f>
        <v>391072</v>
      </c>
      <c r="V67" s="181"/>
      <c r="W67" s="202">
        <f>SUM(W61:W66)</f>
        <v>159004.06</v>
      </c>
      <c r="X67" s="185"/>
      <c r="Y67" s="392"/>
      <c r="Z67" s="199"/>
      <c r="AA67" s="134"/>
      <c r="AB67" s="134"/>
      <c r="AC67" s="134"/>
      <c r="AD67" s="134"/>
    </row>
    <row r="68" spans="1:30" ht="46.5" customHeight="1" x14ac:dyDescent="0.2">
      <c r="A68" s="718" t="s">
        <v>269</v>
      </c>
      <c r="B68" s="177" t="s">
        <v>91</v>
      </c>
      <c r="C68" s="167" t="s">
        <v>37</v>
      </c>
      <c r="D68" s="168" t="s">
        <v>89</v>
      </c>
      <c r="E68" s="169">
        <v>7</v>
      </c>
      <c r="F68" s="170">
        <v>3410</v>
      </c>
      <c r="G68" s="169">
        <v>1</v>
      </c>
      <c r="H68" s="171">
        <f>SUM(E68*F68*G68)</f>
        <v>23870</v>
      </c>
      <c r="I68" s="195">
        <v>0.4</v>
      </c>
      <c r="J68" s="344">
        <v>23870</v>
      </c>
      <c r="K68" s="97">
        <f>SUM(J68/H68)</f>
        <v>1</v>
      </c>
      <c r="L68" s="174">
        <f>SUM(I68*J68)</f>
        <v>9548</v>
      </c>
      <c r="M68" s="484">
        <v>0</v>
      </c>
      <c r="N68" s="443">
        <v>0</v>
      </c>
      <c r="O68" s="484">
        <v>0</v>
      </c>
      <c r="P68" s="171">
        <f>SUM(N68*M68*O68)</f>
        <v>0</v>
      </c>
      <c r="Q68" s="197">
        <v>40</v>
      </c>
      <c r="R68" s="512"/>
      <c r="S68" s="519" t="e">
        <f t="shared" si="7"/>
        <v>#DIV/0!</v>
      </c>
      <c r="T68" s="174">
        <f>SUM(Q68/100*P68)</f>
        <v>0</v>
      </c>
      <c r="U68" s="174">
        <f>H68+P68</f>
        <v>23870</v>
      </c>
      <c r="V68" s="197">
        <v>40</v>
      </c>
      <c r="W68" s="198">
        <f>SUM(T68+L68)</f>
        <v>9548</v>
      </c>
      <c r="X68" s="176"/>
      <c r="Y68" s="353"/>
      <c r="AA68" s="134"/>
      <c r="AB68" s="134"/>
      <c r="AC68" s="134"/>
      <c r="AD68" s="134"/>
    </row>
    <row r="69" spans="1:30" ht="51" x14ac:dyDescent="0.2">
      <c r="A69" s="718"/>
      <c r="B69" s="177" t="s">
        <v>92</v>
      </c>
      <c r="C69" s="167" t="s">
        <v>37</v>
      </c>
      <c r="D69" s="168" t="s">
        <v>89</v>
      </c>
      <c r="E69" s="169">
        <v>5</v>
      </c>
      <c r="F69" s="170">
        <v>12400</v>
      </c>
      <c r="G69" s="169">
        <v>1</v>
      </c>
      <c r="H69" s="171">
        <f>SUM(E69*F69*G69)</f>
        <v>62000</v>
      </c>
      <c r="I69" s="195">
        <v>0.4</v>
      </c>
      <c r="J69" s="344">
        <v>62000</v>
      </c>
      <c r="K69" s="97">
        <f>SUM(J69/H69)</f>
        <v>1</v>
      </c>
      <c r="L69" s="174">
        <f>SUM(I69*J69)</f>
        <v>24800</v>
      </c>
      <c r="M69" s="484">
        <v>2</v>
      </c>
      <c r="N69" s="443">
        <v>12400</v>
      </c>
      <c r="O69" s="484">
        <v>1</v>
      </c>
      <c r="P69" s="171">
        <f t="shared" ref="P69:P71" si="69">SUM(N69*M69*O69)</f>
        <v>24800</v>
      </c>
      <c r="Q69" s="197">
        <v>40</v>
      </c>
      <c r="R69" s="512">
        <v>24800</v>
      </c>
      <c r="S69" s="519">
        <f t="shared" si="7"/>
        <v>1</v>
      </c>
      <c r="T69" s="174">
        <f t="shared" ref="T69:T80" si="70">SUM(Q69/100*P69)</f>
        <v>9920</v>
      </c>
      <c r="U69" s="174">
        <f t="shared" ref="U69:U71" si="71">H69+P69</f>
        <v>86800</v>
      </c>
      <c r="V69" s="197">
        <v>40</v>
      </c>
      <c r="W69" s="198">
        <f t="shared" ref="W69:W71" si="72">SUM(T69+L69)</f>
        <v>34720</v>
      </c>
      <c r="X69" s="176"/>
      <c r="Y69" s="354"/>
      <c r="AA69" s="134"/>
      <c r="AB69" s="134"/>
      <c r="AC69" s="134"/>
      <c r="AD69" s="134"/>
    </row>
    <row r="70" spans="1:30" ht="38.25" x14ac:dyDescent="0.2">
      <c r="A70" s="718"/>
      <c r="B70" s="20" t="s">
        <v>93</v>
      </c>
      <c r="C70" s="167" t="s">
        <v>37</v>
      </c>
      <c r="D70" s="168" t="s">
        <v>89</v>
      </c>
      <c r="E70" s="169">
        <v>7</v>
      </c>
      <c r="F70" s="170">
        <v>5220</v>
      </c>
      <c r="G70" s="169">
        <v>1</v>
      </c>
      <c r="H70" s="171">
        <f>SUM(E70*F70*G70)</f>
        <v>36540</v>
      </c>
      <c r="I70" s="195">
        <v>0.4</v>
      </c>
      <c r="J70" s="345">
        <v>36540</v>
      </c>
      <c r="K70" s="97">
        <f t="shared" si="61"/>
        <v>1</v>
      </c>
      <c r="L70" s="174">
        <f>SUM(I70*J70)</f>
        <v>14616</v>
      </c>
      <c r="M70" s="484">
        <v>0</v>
      </c>
      <c r="N70" s="443">
        <v>0</v>
      </c>
      <c r="O70" s="484">
        <v>1</v>
      </c>
      <c r="P70" s="171">
        <f t="shared" si="69"/>
        <v>0</v>
      </c>
      <c r="Q70" s="197">
        <v>40</v>
      </c>
      <c r="R70" s="512">
        <v>0</v>
      </c>
      <c r="S70" s="519" t="e">
        <f t="shared" si="7"/>
        <v>#DIV/0!</v>
      </c>
      <c r="T70" s="174">
        <f t="shared" si="70"/>
        <v>0</v>
      </c>
      <c r="U70" s="174">
        <f t="shared" si="71"/>
        <v>36540</v>
      </c>
      <c r="V70" s="197">
        <v>40</v>
      </c>
      <c r="W70" s="198">
        <f t="shared" si="72"/>
        <v>14616</v>
      </c>
      <c r="X70" s="176"/>
      <c r="Y70" s="355"/>
      <c r="AA70" s="134"/>
      <c r="AB70" s="134"/>
      <c r="AC70" s="134"/>
      <c r="AD70" s="134"/>
    </row>
    <row r="71" spans="1:30" ht="25.5" x14ac:dyDescent="0.2">
      <c r="A71" s="718"/>
      <c r="B71" s="177" t="s">
        <v>94</v>
      </c>
      <c r="C71" s="167" t="s">
        <v>37</v>
      </c>
      <c r="D71" s="168" t="s">
        <v>89</v>
      </c>
      <c r="E71" s="169">
        <v>1</v>
      </c>
      <c r="F71" s="170">
        <v>15000</v>
      </c>
      <c r="G71" s="169">
        <v>1</v>
      </c>
      <c r="H71" s="171">
        <f>SUM(E71*F71*G71)</f>
        <v>15000</v>
      </c>
      <c r="I71" s="195">
        <v>0.15</v>
      </c>
      <c r="J71" s="345">
        <v>0</v>
      </c>
      <c r="K71" s="97">
        <f t="shared" si="61"/>
        <v>0</v>
      </c>
      <c r="L71" s="174">
        <f>SUM(I71*J71)</f>
        <v>0</v>
      </c>
      <c r="M71" s="484">
        <v>0</v>
      </c>
      <c r="N71" s="443">
        <v>0</v>
      </c>
      <c r="O71" s="484">
        <v>1</v>
      </c>
      <c r="P71" s="171">
        <f t="shared" si="69"/>
        <v>0</v>
      </c>
      <c r="Q71" s="197">
        <v>15</v>
      </c>
      <c r="R71" s="512"/>
      <c r="S71" s="519" t="e">
        <f t="shared" si="7"/>
        <v>#DIV/0!</v>
      </c>
      <c r="T71" s="174">
        <f t="shared" si="70"/>
        <v>0</v>
      </c>
      <c r="U71" s="174">
        <f t="shared" si="71"/>
        <v>15000</v>
      </c>
      <c r="V71" s="197">
        <v>15</v>
      </c>
      <c r="W71" s="198">
        <f t="shared" si="72"/>
        <v>0</v>
      </c>
      <c r="X71" s="176" t="s">
        <v>242</v>
      </c>
      <c r="AA71" s="134"/>
      <c r="AB71" s="134"/>
      <c r="AC71" s="134"/>
      <c r="AD71" s="134"/>
    </row>
    <row r="72" spans="1:30" ht="13.5" x14ac:dyDescent="0.2">
      <c r="A72" s="718"/>
      <c r="B72" s="719" t="s">
        <v>0</v>
      </c>
      <c r="C72" s="719"/>
      <c r="D72" s="719" t="s">
        <v>0</v>
      </c>
      <c r="E72" s="719"/>
      <c r="F72" s="719"/>
      <c r="G72" s="719"/>
      <c r="H72" s="179">
        <f>SUM(H68:H71)</f>
        <v>137410</v>
      </c>
      <c r="I72" s="180">
        <f>L72/H72</f>
        <v>0.35633505567280399</v>
      </c>
      <c r="J72" s="179">
        <f>SUM(J68:J71)</f>
        <v>122410</v>
      </c>
      <c r="K72" s="181">
        <f t="shared" si="61"/>
        <v>0.89083763918201009</v>
      </c>
      <c r="L72" s="179">
        <f>SUM(L68:L71)</f>
        <v>48964</v>
      </c>
      <c r="M72" s="478"/>
      <c r="N72" s="479"/>
      <c r="O72" s="478"/>
      <c r="P72" s="179">
        <f>SUM(P68:P71)</f>
        <v>24800</v>
      </c>
      <c r="Q72" s="179"/>
      <c r="R72" s="179">
        <f t="shared" ref="R72" si="73">SUM(R68:R71)</f>
        <v>24800</v>
      </c>
      <c r="S72" s="249">
        <f t="shared" si="7"/>
        <v>1</v>
      </c>
      <c r="T72" s="179">
        <f t="shared" ref="T72" si="74">SUM(T68:T71)</f>
        <v>9920</v>
      </c>
      <c r="U72" s="186">
        <f>SUM(U68:U71)</f>
        <v>162210</v>
      </c>
      <c r="V72" s="187"/>
      <c r="W72" s="188">
        <f>SUM(W68:W71)</f>
        <v>58884</v>
      </c>
      <c r="X72" s="185"/>
      <c r="AA72" s="134"/>
      <c r="AB72" s="134"/>
      <c r="AC72" s="134"/>
      <c r="AD72" s="134"/>
    </row>
    <row r="73" spans="1:30" ht="25.5" x14ac:dyDescent="0.2">
      <c r="A73" s="718" t="s">
        <v>95</v>
      </c>
      <c r="B73" s="177" t="s">
        <v>96</v>
      </c>
      <c r="C73" s="167" t="s">
        <v>37</v>
      </c>
      <c r="D73" s="176" t="s">
        <v>89</v>
      </c>
      <c r="E73" s="169">
        <v>7</v>
      </c>
      <c r="F73" s="170">
        <v>600</v>
      </c>
      <c r="G73" s="169">
        <v>1</v>
      </c>
      <c r="H73" s="171">
        <f t="shared" ref="H73:H80" si="75">SUM(E73*F73*G73)</f>
        <v>4200</v>
      </c>
      <c r="I73" s="195">
        <v>0.4</v>
      </c>
      <c r="J73" s="203">
        <v>4200</v>
      </c>
      <c r="K73" s="173">
        <f t="shared" ref="K73:K81" si="76">SUM(J73/H73)</f>
        <v>1</v>
      </c>
      <c r="L73" s="174">
        <f t="shared" ref="L73:L80" si="77">SUM(I73*J73)</f>
        <v>1680</v>
      </c>
      <c r="M73" s="484">
        <v>7</v>
      </c>
      <c r="N73" s="443">
        <v>600</v>
      </c>
      <c r="O73" s="484">
        <v>1</v>
      </c>
      <c r="P73" s="171">
        <f>SUM(N73*M73*O73)</f>
        <v>4200</v>
      </c>
      <c r="Q73" s="197">
        <v>40</v>
      </c>
      <c r="R73" s="512">
        <v>4200</v>
      </c>
      <c r="S73" s="519">
        <f t="shared" si="7"/>
        <v>1</v>
      </c>
      <c r="T73" s="174">
        <f t="shared" si="70"/>
        <v>1680</v>
      </c>
      <c r="U73" s="174">
        <f>H73+P73</f>
        <v>8400</v>
      </c>
      <c r="V73" s="197">
        <v>40</v>
      </c>
      <c r="W73" s="198">
        <f>SUM(L73+T73)</f>
        <v>3360</v>
      </c>
      <c r="X73" s="176"/>
      <c r="AA73" s="134"/>
      <c r="AB73" s="134"/>
      <c r="AC73" s="134"/>
      <c r="AD73" s="134"/>
    </row>
    <row r="74" spans="1:30" ht="25.5" x14ac:dyDescent="0.2">
      <c r="A74" s="718"/>
      <c r="B74" s="177" t="s">
        <v>97</v>
      </c>
      <c r="C74" s="167" t="s">
        <v>37</v>
      </c>
      <c r="D74" s="176" t="s">
        <v>89</v>
      </c>
      <c r="E74" s="169">
        <v>7</v>
      </c>
      <c r="F74" s="170">
        <v>4000</v>
      </c>
      <c r="G74" s="169">
        <v>1</v>
      </c>
      <c r="H74" s="171">
        <f t="shared" si="75"/>
        <v>28000</v>
      </c>
      <c r="I74" s="195">
        <v>0.4</v>
      </c>
      <c r="J74" s="203">
        <v>28000</v>
      </c>
      <c r="K74" s="173">
        <f t="shared" si="76"/>
        <v>1</v>
      </c>
      <c r="L74" s="174">
        <f t="shared" si="77"/>
        <v>11200</v>
      </c>
      <c r="M74" s="484">
        <v>7</v>
      </c>
      <c r="N74" s="443">
        <v>4000</v>
      </c>
      <c r="O74" s="484">
        <v>1</v>
      </c>
      <c r="P74" s="171">
        <f t="shared" ref="P74:P80" si="78">SUM(N74*M74*O74)</f>
        <v>28000</v>
      </c>
      <c r="Q74" s="197">
        <v>40</v>
      </c>
      <c r="R74" s="512">
        <v>28000</v>
      </c>
      <c r="S74" s="519">
        <f t="shared" si="7"/>
        <v>1</v>
      </c>
      <c r="T74" s="174">
        <f t="shared" si="70"/>
        <v>11200</v>
      </c>
      <c r="U74" s="174">
        <f t="shared" ref="U74:U80" si="79">H74+P74</f>
        <v>56000</v>
      </c>
      <c r="V74" s="197">
        <v>40</v>
      </c>
      <c r="W74" s="198">
        <f t="shared" ref="W74:W80" si="80">SUM(L74+T74)</f>
        <v>22400</v>
      </c>
      <c r="X74" s="176"/>
      <c r="AA74" s="134"/>
      <c r="AB74" s="134"/>
      <c r="AC74" s="134"/>
      <c r="AD74" s="134"/>
    </row>
    <row r="75" spans="1:30" ht="25.5" x14ac:dyDescent="0.2">
      <c r="A75" s="718"/>
      <c r="B75" s="177" t="s">
        <v>98</v>
      </c>
      <c r="C75" s="167" t="s">
        <v>37</v>
      </c>
      <c r="D75" s="176" t="s">
        <v>89</v>
      </c>
      <c r="E75" s="169">
        <v>3</v>
      </c>
      <c r="F75" s="170">
        <v>4560</v>
      </c>
      <c r="G75" s="169">
        <v>1</v>
      </c>
      <c r="H75" s="171">
        <f t="shared" si="75"/>
        <v>13680</v>
      </c>
      <c r="I75" s="195">
        <v>0.43</v>
      </c>
      <c r="J75" s="203">
        <v>13680</v>
      </c>
      <c r="K75" s="173">
        <f t="shared" si="76"/>
        <v>1</v>
      </c>
      <c r="L75" s="174">
        <f t="shared" si="77"/>
        <v>5882.4</v>
      </c>
      <c r="M75" s="484">
        <v>4</v>
      </c>
      <c r="N75" s="443">
        <v>4560</v>
      </c>
      <c r="O75" s="484">
        <v>1</v>
      </c>
      <c r="P75" s="171">
        <f t="shared" si="78"/>
        <v>18240</v>
      </c>
      <c r="Q75" s="197">
        <v>43</v>
      </c>
      <c r="R75" s="512">
        <v>18240</v>
      </c>
      <c r="S75" s="519">
        <f t="shared" si="7"/>
        <v>1</v>
      </c>
      <c r="T75" s="174">
        <f t="shared" si="70"/>
        <v>7843.2</v>
      </c>
      <c r="U75" s="174">
        <f t="shared" si="79"/>
        <v>31920</v>
      </c>
      <c r="V75" s="197">
        <v>50</v>
      </c>
      <c r="W75" s="198">
        <f t="shared" si="80"/>
        <v>13725.599999999999</v>
      </c>
      <c r="X75" s="176"/>
      <c r="AA75" s="134"/>
      <c r="AB75" s="134"/>
      <c r="AC75" s="134"/>
      <c r="AD75" s="134"/>
    </row>
    <row r="76" spans="1:30" ht="51" x14ac:dyDescent="0.2">
      <c r="A76" s="718"/>
      <c r="B76" s="177" t="s">
        <v>99</v>
      </c>
      <c r="C76" s="167" t="s">
        <v>37</v>
      </c>
      <c r="D76" s="176" t="s">
        <v>89</v>
      </c>
      <c r="E76" s="169">
        <v>7</v>
      </c>
      <c r="F76" s="170">
        <v>5000</v>
      </c>
      <c r="G76" s="169">
        <v>1</v>
      </c>
      <c r="H76" s="171">
        <f t="shared" si="75"/>
        <v>35000</v>
      </c>
      <c r="I76" s="195">
        <v>0.4</v>
      </c>
      <c r="J76" s="203">
        <v>35000</v>
      </c>
      <c r="K76" s="173">
        <f t="shared" si="76"/>
        <v>1</v>
      </c>
      <c r="L76" s="174">
        <f t="shared" si="77"/>
        <v>14000</v>
      </c>
      <c r="M76" s="484">
        <v>0</v>
      </c>
      <c r="N76" s="443">
        <v>0</v>
      </c>
      <c r="O76" s="484">
        <v>1</v>
      </c>
      <c r="P76" s="171">
        <f t="shared" si="78"/>
        <v>0</v>
      </c>
      <c r="Q76" s="197">
        <v>40</v>
      </c>
      <c r="R76" s="512"/>
      <c r="S76" s="519" t="e">
        <f t="shared" si="7"/>
        <v>#DIV/0!</v>
      </c>
      <c r="T76" s="174">
        <f t="shared" si="70"/>
        <v>0</v>
      </c>
      <c r="U76" s="174">
        <f t="shared" si="79"/>
        <v>35000</v>
      </c>
      <c r="V76" s="197">
        <v>40</v>
      </c>
      <c r="W76" s="198">
        <f t="shared" si="80"/>
        <v>14000</v>
      </c>
      <c r="X76" s="176"/>
      <c r="AA76" s="134"/>
      <c r="AB76" s="134"/>
      <c r="AC76" s="134"/>
      <c r="AD76" s="134"/>
    </row>
    <row r="77" spans="1:30" ht="102" x14ac:dyDescent="0.2">
      <c r="A77" s="718"/>
      <c r="B77" s="177" t="s">
        <v>143</v>
      </c>
      <c r="C77" s="167" t="s">
        <v>37</v>
      </c>
      <c r="D77" s="176" t="s">
        <v>89</v>
      </c>
      <c r="E77" s="169">
        <v>3</v>
      </c>
      <c r="F77" s="170">
        <v>27000</v>
      </c>
      <c r="G77" s="169">
        <v>1</v>
      </c>
      <c r="H77" s="171">
        <f t="shared" si="75"/>
        <v>81000</v>
      </c>
      <c r="I77" s="195">
        <v>0.4</v>
      </c>
      <c r="J77" s="203">
        <v>65500</v>
      </c>
      <c r="K77" s="173">
        <f t="shared" si="76"/>
        <v>0.80864197530864201</v>
      </c>
      <c r="L77" s="174">
        <f t="shared" si="77"/>
        <v>26200</v>
      </c>
      <c r="M77" s="484">
        <v>0</v>
      </c>
      <c r="N77" s="443">
        <v>0</v>
      </c>
      <c r="O77" s="484">
        <v>0</v>
      </c>
      <c r="P77" s="171">
        <f t="shared" si="78"/>
        <v>0</v>
      </c>
      <c r="Q77" s="197">
        <v>40</v>
      </c>
      <c r="R77" s="512"/>
      <c r="S77" s="519" t="e">
        <f t="shared" si="7"/>
        <v>#DIV/0!</v>
      </c>
      <c r="T77" s="174">
        <f t="shared" si="70"/>
        <v>0</v>
      </c>
      <c r="U77" s="174">
        <f t="shared" si="79"/>
        <v>81000</v>
      </c>
      <c r="V77" s="197">
        <v>40</v>
      </c>
      <c r="W77" s="198">
        <f t="shared" si="80"/>
        <v>26200</v>
      </c>
      <c r="X77" s="176" t="s">
        <v>243</v>
      </c>
      <c r="AA77" s="134"/>
      <c r="AB77" s="134"/>
      <c r="AC77" s="134"/>
      <c r="AD77" s="134"/>
    </row>
    <row r="78" spans="1:30" ht="63.75" x14ac:dyDescent="0.2">
      <c r="A78" s="718"/>
      <c r="B78" s="177" t="s">
        <v>100</v>
      </c>
      <c r="C78" s="167" t="s">
        <v>37</v>
      </c>
      <c r="D78" s="176" t="s">
        <v>89</v>
      </c>
      <c r="E78" s="169">
        <v>0</v>
      </c>
      <c r="F78" s="170">
        <v>0</v>
      </c>
      <c r="G78" s="169">
        <v>1</v>
      </c>
      <c r="H78" s="171">
        <f t="shared" si="75"/>
        <v>0</v>
      </c>
      <c r="I78" s="195">
        <v>0.4</v>
      </c>
      <c r="J78" s="203">
        <v>0</v>
      </c>
      <c r="K78" s="184" t="e">
        <f t="shared" si="76"/>
        <v>#DIV/0!</v>
      </c>
      <c r="L78" s="174">
        <f t="shared" si="77"/>
        <v>0</v>
      </c>
      <c r="M78" s="484">
        <v>7</v>
      </c>
      <c r="N78" s="443">
        <v>6400</v>
      </c>
      <c r="O78" s="484">
        <v>1</v>
      </c>
      <c r="P78" s="171">
        <f t="shared" si="78"/>
        <v>44800</v>
      </c>
      <c r="Q78" s="197">
        <v>40</v>
      </c>
      <c r="R78" s="512">
        <v>44800</v>
      </c>
      <c r="S78" s="519">
        <f t="shared" si="7"/>
        <v>1</v>
      </c>
      <c r="T78" s="174">
        <f t="shared" si="70"/>
        <v>17920</v>
      </c>
      <c r="U78" s="174">
        <f t="shared" si="79"/>
        <v>44800</v>
      </c>
      <c r="V78" s="197">
        <v>40</v>
      </c>
      <c r="W78" s="198">
        <f t="shared" si="80"/>
        <v>17920</v>
      </c>
      <c r="X78" s="176"/>
      <c r="AA78" s="134"/>
      <c r="AB78" s="134"/>
      <c r="AC78" s="134"/>
      <c r="AD78" s="134"/>
    </row>
    <row r="79" spans="1:30" ht="63.75" x14ac:dyDescent="0.2">
      <c r="A79" s="718"/>
      <c r="B79" s="177" t="s">
        <v>101</v>
      </c>
      <c r="C79" s="167" t="s">
        <v>37</v>
      </c>
      <c r="D79" s="176" t="s">
        <v>89</v>
      </c>
      <c r="E79" s="169">
        <v>7</v>
      </c>
      <c r="F79" s="170">
        <v>1000</v>
      </c>
      <c r="G79" s="169">
        <v>1</v>
      </c>
      <c r="H79" s="171">
        <f t="shared" si="75"/>
        <v>7000</v>
      </c>
      <c r="I79" s="195">
        <v>0.4</v>
      </c>
      <c r="J79" s="203">
        <v>7000</v>
      </c>
      <c r="K79" s="173">
        <f t="shared" si="76"/>
        <v>1</v>
      </c>
      <c r="L79" s="174">
        <f t="shared" si="77"/>
        <v>2800</v>
      </c>
      <c r="M79" s="484">
        <v>7</v>
      </c>
      <c r="N79" s="443">
        <v>1400</v>
      </c>
      <c r="O79" s="484">
        <v>1</v>
      </c>
      <c r="P79" s="171">
        <f t="shared" si="78"/>
        <v>9800</v>
      </c>
      <c r="Q79" s="197">
        <v>40</v>
      </c>
      <c r="R79" s="512">
        <v>9800</v>
      </c>
      <c r="S79" s="519">
        <f t="shared" si="7"/>
        <v>1</v>
      </c>
      <c r="T79" s="174">
        <f t="shared" si="70"/>
        <v>3920</v>
      </c>
      <c r="U79" s="174">
        <f t="shared" si="79"/>
        <v>16800</v>
      </c>
      <c r="V79" s="197">
        <v>40</v>
      </c>
      <c r="W79" s="198">
        <f t="shared" si="80"/>
        <v>6720</v>
      </c>
      <c r="X79" s="176"/>
    </row>
    <row r="80" spans="1:30" ht="38.25" x14ac:dyDescent="0.2">
      <c r="A80" s="718"/>
      <c r="B80" s="177" t="s">
        <v>102</v>
      </c>
      <c r="C80" s="167" t="s">
        <v>37</v>
      </c>
      <c r="D80" s="176" t="s">
        <v>89</v>
      </c>
      <c r="E80" s="169">
        <v>1</v>
      </c>
      <c r="F80" s="170">
        <v>0</v>
      </c>
      <c r="G80" s="169">
        <v>1</v>
      </c>
      <c r="H80" s="171">
        <f t="shared" si="75"/>
        <v>0</v>
      </c>
      <c r="I80" s="195">
        <v>0.3</v>
      </c>
      <c r="J80" s="203">
        <v>0</v>
      </c>
      <c r="K80" s="184" t="e">
        <f t="shared" si="76"/>
        <v>#DIV/0!</v>
      </c>
      <c r="L80" s="174">
        <f t="shared" si="77"/>
        <v>0</v>
      </c>
      <c r="M80" s="484">
        <v>1</v>
      </c>
      <c r="N80" s="443">
        <v>45000</v>
      </c>
      <c r="O80" s="484">
        <v>1</v>
      </c>
      <c r="P80" s="171">
        <f t="shared" si="78"/>
        <v>45000</v>
      </c>
      <c r="Q80" s="197">
        <v>30</v>
      </c>
      <c r="R80" s="512">
        <v>0</v>
      </c>
      <c r="S80" s="519">
        <f t="shared" si="7"/>
        <v>0</v>
      </c>
      <c r="T80" s="174">
        <f t="shared" si="70"/>
        <v>13500</v>
      </c>
      <c r="U80" s="174">
        <f t="shared" si="79"/>
        <v>45000</v>
      </c>
      <c r="V80" s="197">
        <v>30</v>
      </c>
      <c r="W80" s="198">
        <f t="shared" si="80"/>
        <v>13500</v>
      </c>
      <c r="X80" s="176"/>
    </row>
    <row r="81" spans="1:31" ht="13.5" x14ac:dyDescent="0.2">
      <c r="A81" s="718"/>
      <c r="B81" s="719" t="s">
        <v>0</v>
      </c>
      <c r="C81" s="719"/>
      <c r="D81" s="719" t="s">
        <v>0</v>
      </c>
      <c r="E81" s="719"/>
      <c r="F81" s="719"/>
      <c r="G81" s="719"/>
      <c r="H81" s="179">
        <f>SUM(H73:H80)</f>
        <v>168880</v>
      </c>
      <c r="I81" s="180">
        <f>L81/H81</f>
        <v>0.36571766935101846</v>
      </c>
      <c r="J81" s="179">
        <f>SUM(J73:J80)</f>
        <v>153380</v>
      </c>
      <c r="K81" s="181">
        <f t="shared" si="76"/>
        <v>0.90821885362387489</v>
      </c>
      <c r="L81" s="179">
        <f>SUM(L73:L80)</f>
        <v>61762.400000000001</v>
      </c>
      <c r="M81" s="478"/>
      <c r="N81" s="479"/>
      <c r="O81" s="478"/>
      <c r="P81" s="179">
        <f>SUM(P73:P80)</f>
        <v>150040</v>
      </c>
      <c r="Q81" s="179"/>
      <c r="R81" s="179">
        <f t="shared" ref="R81" si="81">SUM(R73:R80)</f>
        <v>105040</v>
      </c>
      <c r="S81" s="249">
        <f t="shared" si="7"/>
        <v>0.70007997867235405</v>
      </c>
      <c r="T81" s="179">
        <f>SUM(T73:T80)</f>
        <v>56063.199999999997</v>
      </c>
      <c r="U81" s="186">
        <f>SUM(U73:U80)</f>
        <v>318920</v>
      </c>
      <c r="V81" s="187"/>
      <c r="W81" s="188">
        <f>SUM(W73:W80)</f>
        <v>117825.60000000001</v>
      </c>
      <c r="X81" s="185"/>
    </row>
    <row r="82" spans="1:31" s="205" customFormat="1" ht="13.5" x14ac:dyDescent="0.2">
      <c r="A82" s="732" t="s">
        <v>39</v>
      </c>
      <c r="B82" s="732"/>
      <c r="C82" s="732"/>
      <c r="D82" s="732"/>
      <c r="E82" s="732"/>
      <c r="F82" s="732"/>
      <c r="G82" s="732"/>
      <c r="H82" s="190">
        <f>SUM(H81,H72,H67)</f>
        <v>555052</v>
      </c>
      <c r="I82" s="204">
        <f>L82/H82</f>
        <v>0.38582540014268935</v>
      </c>
      <c r="J82" s="190">
        <f>SUM(J81,J72,J67)</f>
        <v>524552</v>
      </c>
      <c r="K82" s="191">
        <f t="shared" si="61"/>
        <v>0.94505019349538422</v>
      </c>
      <c r="L82" s="190">
        <f>SUM(L67+L72+L81)</f>
        <v>214153.16</v>
      </c>
      <c r="M82" s="189"/>
      <c r="N82" s="189"/>
      <c r="O82" s="189"/>
      <c r="P82" s="189">
        <f>SUM(P81,P72,P67)</f>
        <v>317150</v>
      </c>
      <c r="Q82" s="189"/>
      <c r="R82" s="189">
        <f t="shared" ref="R82" si="82">SUM(R81,R72,R67)</f>
        <v>272150</v>
      </c>
      <c r="S82" s="531">
        <f t="shared" ref="S82" si="83">SUM(R82/P82)</f>
        <v>0.85811130379946399</v>
      </c>
      <c r="T82" s="189">
        <f>SUM(T81,T72,T67)</f>
        <v>121560.5</v>
      </c>
      <c r="U82" s="189">
        <f>SUM(U81,U72,U67)</f>
        <v>872202</v>
      </c>
      <c r="V82" s="192"/>
      <c r="W82" s="189">
        <f>SUM(W81,W72,W67)</f>
        <v>335713.66000000003</v>
      </c>
      <c r="X82" s="193"/>
      <c r="Y82" s="343"/>
      <c r="Z82" s="145"/>
      <c r="AA82" s="362"/>
      <c r="AB82" s="379"/>
      <c r="AC82" s="405"/>
      <c r="AD82" s="302"/>
      <c r="AE82" s="145"/>
    </row>
    <row r="83" spans="1:31" x14ac:dyDescent="0.2">
      <c r="A83" s="733" t="s">
        <v>103</v>
      </c>
      <c r="B83" s="733"/>
      <c r="C83" s="733"/>
      <c r="D83" s="733"/>
      <c r="E83" s="733"/>
      <c r="F83" s="733"/>
      <c r="G83" s="733"/>
      <c r="H83" s="733"/>
      <c r="I83" s="733"/>
      <c r="J83" s="733"/>
      <c r="K83" s="733"/>
      <c r="L83" s="733"/>
      <c r="M83" s="733"/>
      <c r="N83" s="733"/>
      <c r="O83" s="733"/>
      <c r="P83" s="733"/>
      <c r="Q83" s="733"/>
      <c r="R83" s="733"/>
      <c r="S83" s="733"/>
      <c r="T83" s="733"/>
      <c r="U83" s="733"/>
      <c r="V83" s="733"/>
      <c r="W83" s="733"/>
      <c r="X83" s="733"/>
    </row>
    <row r="84" spans="1:31" s="213" customFormat="1" ht="66" customHeight="1" x14ac:dyDescent="0.2">
      <c r="A84" s="755" t="s">
        <v>169</v>
      </c>
      <c r="B84" s="177" t="s">
        <v>177</v>
      </c>
      <c r="C84" s="167" t="s">
        <v>37</v>
      </c>
      <c r="D84" s="168" t="s">
        <v>104</v>
      </c>
      <c r="E84" s="176">
        <v>1</v>
      </c>
      <c r="F84" s="176">
        <v>4000</v>
      </c>
      <c r="G84" s="176">
        <v>5</v>
      </c>
      <c r="H84" s="206">
        <f>SUM(E84*F84*G84)</f>
        <v>20000</v>
      </c>
      <c r="I84" s="207">
        <v>1</v>
      </c>
      <c r="J84" s="208">
        <v>20000</v>
      </c>
      <c r="K84" s="314">
        <f t="shared" ref="K84:K100" si="84">SUM(J84/H84)</f>
        <v>1</v>
      </c>
      <c r="L84" s="209">
        <f>SUM(I84*J84)</f>
        <v>20000</v>
      </c>
      <c r="M84" s="485"/>
      <c r="N84" s="485"/>
      <c r="O84" s="485"/>
      <c r="P84" s="210">
        <f>SUM(M84*N84*O84)</f>
        <v>0</v>
      </c>
      <c r="Q84" s="207"/>
      <c r="R84" s="466"/>
      <c r="S84" s="519" t="e">
        <f t="shared" ref="S84:S101" si="85">SUM(R84/P84)</f>
        <v>#DIV/0!</v>
      </c>
      <c r="T84" s="209"/>
      <c r="U84" s="211">
        <f>H84+P84</f>
        <v>20000</v>
      </c>
      <c r="V84" s="207">
        <v>1</v>
      </c>
      <c r="W84" s="212">
        <f>V84*U84</f>
        <v>20000</v>
      </c>
      <c r="X84" s="176"/>
      <c r="Y84" s="393"/>
      <c r="AA84" s="364"/>
      <c r="AB84" s="381"/>
      <c r="AC84" s="406"/>
      <c r="AD84" s="348"/>
    </row>
    <row r="85" spans="1:31" s="213" customFormat="1" ht="51" x14ac:dyDescent="0.2">
      <c r="A85" s="756"/>
      <c r="B85" s="177" t="s">
        <v>263</v>
      </c>
      <c r="C85" s="167" t="s">
        <v>37</v>
      </c>
      <c r="D85" s="168" t="s">
        <v>104</v>
      </c>
      <c r="E85" s="176">
        <v>1</v>
      </c>
      <c r="F85" s="176">
        <v>6000</v>
      </c>
      <c r="G85" s="176">
        <v>5</v>
      </c>
      <c r="H85" s="206">
        <f>SUM(E85*F85*G85)</f>
        <v>30000</v>
      </c>
      <c r="I85" s="207">
        <v>1</v>
      </c>
      <c r="J85" s="208">
        <v>30000</v>
      </c>
      <c r="K85" s="314">
        <f t="shared" si="84"/>
        <v>1</v>
      </c>
      <c r="L85" s="209">
        <f>SUM(I85*J85)</f>
        <v>30000</v>
      </c>
      <c r="M85" s="485"/>
      <c r="N85" s="485"/>
      <c r="O85" s="485"/>
      <c r="P85" s="210">
        <f t="shared" ref="P85:P99" si="86">SUM(M85*N85*O85)</f>
        <v>0</v>
      </c>
      <c r="Q85" s="207"/>
      <c r="R85" s="466"/>
      <c r="S85" s="519" t="e">
        <f t="shared" si="85"/>
        <v>#DIV/0!</v>
      </c>
      <c r="T85" s="209"/>
      <c r="U85" s="211">
        <f t="shared" ref="U85:U99" si="87">H85+P85</f>
        <v>30000</v>
      </c>
      <c r="V85" s="207">
        <v>1</v>
      </c>
      <c r="W85" s="212">
        <f t="shared" ref="W85:W97" si="88">V85*U85</f>
        <v>30000</v>
      </c>
      <c r="X85" s="176"/>
      <c r="Y85" s="393"/>
      <c r="AA85" s="364"/>
      <c r="AB85" s="381"/>
      <c r="AC85" s="406"/>
      <c r="AD85" s="348"/>
    </row>
    <row r="86" spans="1:31" s="213" customFormat="1" ht="38.25" x14ac:dyDescent="0.2">
      <c r="A86" s="756"/>
      <c r="B86" s="177" t="s">
        <v>174</v>
      </c>
      <c r="C86" s="167" t="s">
        <v>37</v>
      </c>
      <c r="D86" s="168" t="s">
        <v>104</v>
      </c>
      <c r="E86" s="176">
        <v>1</v>
      </c>
      <c r="F86" s="176">
        <v>3</v>
      </c>
      <c r="G86" s="176">
        <v>5000</v>
      </c>
      <c r="H86" s="206">
        <f>SUM(E86*F86*G86)</f>
        <v>15000</v>
      </c>
      <c r="I86" s="207">
        <v>1</v>
      </c>
      <c r="J86" s="208">
        <v>15000</v>
      </c>
      <c r="K86" s="314">
        <f t="shared" si="84"/>
        <v>1</v>
      </c>
      <c r="L86" s="209">
        <f>SUM(I86*J86)</f>
        <v>15000</v>
      </c>
      <c r="M86" s="485"/>
      <c r="N86" s="485"/>
      <c r="O86" s="485"/>
      <c r="P86" s="210">
        <f t="shared" si="86"/>
        <v>0</v>
      </c>
      <c r="Q86" s="207"/>
      <c r="R86" s="466"/>
      <c r="S86" s="519" t="e">
        <f t="shared" si="85"/>
        <v>#DIV/0!</v>
      </c>
      <c r="T86" s="209"/>
      <c r="U86" s="211">
        <f t="shared" si="87"/>
        <v>15000</v>
      </c>
      <c r="V86" s="207">
        <v>1</v>
      </c>
      <c r="W86" s="212">
        <v>15000</v>
      </c>
      <c r="X86" s="176"/>
      <c r="Y86" s="393"/>
      <c r="AA86" s="364"/>
      <c r="AB86" s="381"/>
      <c r="AC86" s="406"/>
      <c r="AD86" s="348"/>
    </row>
    <row r="87" spans="1:31" s="213" customFormat="1" ht="51" x14ac:dyDescent="0.2">
      <c r="A87" s="756"/>
      <c r="B87" s="177" t="s">
        <v>178</v>
      </c>
      <c r="C87" s="167" t="s">
        <v>37</v>
      </c>
      <c r="D87" s="168" t="s">
        <v>104</v>
      </c>
      <c r="E87" s="176">
        <v>1</v>
      </c>
      <c r="F87" s="176">
        <v>2</v>
      </c>
      <c r="G87" s="214">
        <v>5000</v>
      </c>
      <c r="H87" s="206">
        <f>SUM(E87*F87*G87)</f>
        <v>10000</v>
      </c>
      <c r="I87" s="207">
        <v>1</v>
      </c>
      <c r="J87" s="208">
        <v>10000</v>
      </c>
      <c r="K87" s="314">
        <f t="shared" si="84"/>
        <v>1</v>
      </c>
      <c r="L87" s="209">
        <f>SUM(I87*J87)</f>
        <v>10000</v>
      </c>
      <c r="M87" s="485"/>
      <c r="N87" s="485"/>
      <c r="O87" s="485"/>
      <c r="P87" s="210">
        <f t="shared" si="86"/>
        <v>0</v>
      </c>
      <c r="Q87" s="207"/>
      <c r="R87" s="466"/>
      <c r="S87" s="519" t="e">
        <f t="shared" si="85"/>
        <v>#DIV/0!</v>
      </c>
      <c r="T87" s="209"/>
      <c r="U87" s="211">
        <f t="shared" si="87"/>
        <v>10000</v>
      </c>
      <c r="V87" s="207">
        <v>1</v>
      </c>
      <c r="W87" s="212">
        <v>10000</v>
      </c>
      <c r="X87" s="176"/>
      <c r="Y87" s="393"/>
      <c r="AA87" s="364"/>
      <c r="AB87" s="381"/>
      <c r="AC87" s="406"/>
      <c r="AD87" s="348"/>
    </row>
    <row r="88" spans="1:31" s="213" customFormat="1" ht="13.5" x14ac:dyDescent="0.2">
      <c r="A88" s="757"/>
      <c r="B88" s="726" t="s">
        <v>0</v>
      </c>
      <c r="C88" s="727"/>
      <c r="D88" s="727"/>
      <c r="E88" s="727"/>
      <c r="F88" s="727"/>
      <c r="G88" s="728"/>
      <c r="H88" s="215">
        <f>SUM(H84:H87)</f>
        <v>75000</v>
      </c>
      <c r="I88" s="216">
        <f>L88/H88</f>
        <v>1</v>
      </c>
      <c r="J88" s="215">
        <f>SUM(J84:J87)</f>
        <v>75000</v>
      </c>
      <c r="K88" s="285">
        <f t="shared" si="84"/>
        <v>1</v>
      </c>
      <c r="L88" s="217">
        <f>SUM(L84:L87)</f>
        <v>75000</v>
      </c>
      <c r="M88" s="486"/>
      <c r="N88" s="486"/>
      <c r="O88" s="486"/>
      <c r="P88" s="217">
        <f>SUM(P84:P87)</f>
        <v>0</v>
      </c>
      <c r="Q88" s="217"/>
      <c r="R88" s="217">
        <f t="shared" ref="R88" si="89">SUM(R84:R87)</f>
        <v>0</v>
      </c>
      <c r="S88" s="536" t="e">
        <f t="shared" si="85"/>
        <v>#DIV/0!</v>
      </c>
      <c r="T88" s="217">
        <f t="shared" ref="T88:W88" si="90">SUM(T84:T87)</f>
        <v>0</v>
      </c>
      <c r="U88" s="215">
        <f t="shared" si="90"/>
        <v>75000</v>
      </c>
      <c r="V88" s="217"/>
      <c r="W88" s="217">
        <f t="shared" si="90"/>
        <v>75000</v>
      </c>
      <c r="X88" s="185"/>
      <c r="Y88" s="393"/>
      <c r="AA88" s="364"/>
      <c r="AB88" s="381"/>
      <c r="AC88" s="406"/>
      <c r="AD88" s="348"/>
    </row>
    <row r="89" spans="1:31" s="213" customFormat="1" ht="53.25" customHeight="1" x14ac:dyDescent="0.2">
      <c r="A89" s="755" t="s">
        <v>106</v>
      </c>
      <c r="B89" s="218" t="s">
        <v>196</v>
      </c>
      <c r="C89" s="167" t="s">
        <v>37</v>
      </c>
      <c r="D89" s="168" t="s">
        <v>104</v>
      </c>
      <c r="E89" s="176">
        <v>1</v>
      </c>
      <c r="F89" s="176">
        <v>2000</v>
      </c>
      <c r="G89" s="176">
        <v>10</v>
      </c>
      <c r="H89" s="206">
        <f>SUM(E89*F89*G89)</f>
        <v>20000</v>
      </c>
      <c r="I89" s="207">
        <v>1</v>
      </c>
      <c r="J89" s="208">
        <v>20000</v>
      </c>
      <c r="K89" s="314">
        <f t="shared" si="84"/>
        <v>1</v>
      </c>
      <c r="L89" s="209">
        <f t="shared" ref="L89:L99" si="91">SUM(I89*J89)</f>
        <v>20000</v>
      </c>
      <c r="M89" s="485"/>
      <c r="N89" s="485"/>
      <c r="O89" s="485"/>
      <c r="P89" s="210">
        <f t="shared" si="86"/>
        <v>0</v>
      </c>
      <c r="Q89" s="207"/>
      <c r="R89" s="512"/>
      <c r="S89" s="519" t="e">
        <f t="shared" si="85"/>
        <v>#DIV/0!</v>
      </c>
      <c r="T89" s="209"/>
      <c r="U89" s="211">
        <f t="shared" si="87"/>
        <v>20000</v>
      </c>
      <c r="V89" s="219">
        <v>1</v>
      </c>
      <c r="W89" s="220">
        <f t="shared" si="88"/>
        <v>20000</v>
      </c>
      <c r="X89" s="221"/>
      <c r="Y89" s="393"/>
      <c r="AA89" s="364"/>
      <c r="AB89" s="381"/>
      <c r="AC89" s="406"/>
      <c r="AD89" s="348"/>
    </row>
    <row r="90" spans="1:31" s="213" customFormat="1" ht="51" x14ac:dyDescent="0.2">
      <c r="A90" s="756"/>
      <c r="B90" s="167" t="s">
        <v>170</v>
      </c>
      <c r="C90" s="167" t="s">
        <v>37</v>
      </c>
      <c r="D90" s="168" t="s">
        <v>104</v>
      </c>
      <c r="E90" s="176"/>
      <c r="F90" s="176"/>
      <c r="G90" s="176"/>
      <c r="H90" s="206">
        <f>SUM(E90*F90*G90)</f>
        <v>0</v>
      </c>
      <c r="I90" s="207">
        <v>1</v>
      </c>
      <c r="J90" s="208">
        <v>0</v>
      </c>
      <c r="K90" s="314" t="e">
        <f t="shared" si="84"/>
        <v>#DIV/0!</v>
      </c>
      <c r="L90" s="209">
        <f t="shared" si="91"/>
        <v>0</v>
      </c>
      <c r="M90" s="487">
        <v>1</v>
      </c>
      <c r="N90" s="487">
        <v>130</v>
      </c>
      <c r="O90" s="487">
        <v>150</v>
      </c>
      <c r="P90" s="210">
        <f t="shared" si="86"/>
        <v>19500</v>
      </c>
      <c r="Q90" s="207">
        <v>1</v>
      </c>
      <c r="R90" s="512">
        <v>19500</v>
      </c>
      <c r="S90" s="519">
        <f t="shared" si="85"/>
        <v>1</v>
      </c>
      <c r="T90" s="209">
        <f>SUM(Q90*P90)</f>
        <v>19500</v>
      </c>
      <c r="U90" s="211">
        <f t="shared" si="87"/>
        <v>19500</v>
      </c>
      <c r="V90" s="222">
        <v>1</v>
      </c>
      <c r="W90" s="220">
        <f t="shared" si="88"/>
        <v>19500</v>
      </c>
      <c r="X90" s="167"/>
      <c r="Y90" s="393"/>
      <c r="AA90" s="364"/>
      <c r="AB90" s="381"/>
      <c r="AC90" s="406"/>
      <c r="AD90" s="348"/>
    </row>
    <row r="91" spans="1:31" s="213" customFormat="1" ht="25.5" x14ac:dyDescent="0.2">
      <c r="A91" s="756"/>
      <c r="B91" s="167" t="s">
        <v>171</v>
      </c>
      <c r="C91" s="167" t="s">
        <v>14</v>
      </c>
      <c r="D91" s="168" t="s">
        <v>104</v>
      </c>
      <c r="E91" s="223">
        <v>1</v>
      </c>
      <c r="F91" s="224">
        <v>3400</v>
      </c>
      <c r="G91" s="223">
        <v>12</v>
      </c>
      <c r="H91" s="206">
        <f>SUM(E91*F91*G91)</f>
        <v>40800</v>
      </c>
      <c r="I91" s="207">
        <v>1</v>
      </c>
      <c r="J91" s="208">
        <v>40800</v>
      </c>
      <c r="K91" s="314">
        <f t="shared" si="84"/>
        <v>1</v>
      </c>
      <c r="L91" s="209">
        <f t="shared" si="91"/>
        <v>40800</v>
      </c>
      <c r="M91" s="488">
        <v>1</v>
      </c>
      <c r="N91" s="489">
        <v>3400</v>
      </c>
      <c r="O91" s="488">
        <v>0</v>
      </c>
      <c r="P91" s="210">
        <f t="shared" si="86"/>
        <v>0</v>
      </c>
      <c r="Q91" s="207">
        <v>1</v>
      </c>
      <c r="R91" s="512">
        <v>0</v>
      </c>
      <c r="S91" s="519" t="e">
        <f t="shared" si="85"/>
        <v>#DIV/0!</v>
      </c>
      <c r="T91" s="209">
        <f t="shared" ref="T91:T99" si="92">SUM(Q91*P91)</f>
        <v>0</v>
      </c>
      <c r="U91" s="211">
        <f t="shared" si="87"/>
        <v>40800</v>
      </c>
      <c r="V91" s="219">
        <v>1</v>
      </c>
      <c r="W91" s="220">
        <f t="shared" si="88"/>
        <v>40800</v>
      </c>
      <c r="X91" s="167"/>
      <c r="Y91" s="393"/>
      <c r="AA91" s="364"/>
      <c r="AB91" s="381"/>
      <c r="AC91" s="406"/>
      <c r="AD91" s="348"/>
    </row>
    <row r="92" spans="1:31" s="213" customFormat="1" ht="51" x14ac:dyDescent="0.2">
      <c r="A92" s="756"/>
      <c r="B92" s="177" t="s">
        <v>105</v>
      </c>
      <c r="C92" s="167" t="s">
        <v>37</v>
      </c>
      <c r="D92" s="168" t="s">
        <v>104</v>
      </c>
      <c r="E92" s="176"/>
      <c r="F92" s="225"/>
      <c r="G92" s="176"/>
      <c r="H92" s="206">
        <f t="shared" ref="H92:H99" si="93">SUM(E92*F92*G92)</f>
        <v>0</v>
      </c>
      <c r="I92" s="207">
        <v>1</v>
      </c>
      <c r="J92" s="208">
        <v>0</v>
      </c>
      <c r="K92" s="314" t="e">
        <f t="shared" si="84"/>
        <v>#DIV/0!</v>
      </c>
      <c r="L92" s="209">
        <f t="shared" si="91"/>
        <v>0</v>
      </c>
      <c r="M92" s="487">
        <v>1</v>
      </c>
      <c r="N92" s="490">
        <v>12000</v>
      </c>
      <c r="O92" s="487">
        <v>1</v>
      </c>
      <c r="P92" s="210">
        <f t="shared" si="86"/>
        <v>12000</v>
      </c>
      <c r="Q92" s="207">
        <v>1</v>
      </c>
      <c r="R92" s="512">
        <v>0</v>
      </c>
      <c r="S92" s="519">
        <f t="shared" si="85"/>
        <v>0</v>
      </c>
      <c r="T92" s="209">
        <f t="shared" si="92"/>
        <v>12000</v>
      </c>
      <c r="U92" s="211">
        <f t="shared" si="87"/>
        <v>12000</v>
      </c>
      <c r="V92" s="219">
        <v>1</v>
      </c>
      <c r="W92" s="220">
        <f t="shared" si="88"/>
        <v>12000</v>
      </c>
      <c r="X92" s="221"/>
      <c r="Y92" s="393"/>
      <c r="AA92" s="364"/>
      <c r="AB92" s="381"/>
      <c r="AC92" s="406"/>
      <c r="AD92" s="348"/>
    </row>
    <row r="93" spans="1:31" s="213" customFormat="1" ht="63.75" x14ac:dyDescent="0.2">
      <c r="A93" s="756"/>
      <c r="B93" s="226" t="s">
        <v>195</v>
      </c>
      <c r="C93" s="167" t="s">
        <v>37</v>
      </c>
      <c r="D93" s="221" t="s">
        <v>104</v>
      </c>
      <c r="E93" s="176">
        <v>1</v>
      </c>
      <c r="F93" s="176">
        <v>2000</v>
      </c>
      <c r="G93" s="176">
        <v>10</v>
      </c>
      <c r="H93" s="206">
        <f>SUM(E93*F93*G93)</f>
        <v>20000</v>
      </c>
      <c r="I93" s="207">
        <v>1</v>
      </c>
      <c r="J93" s="208">
        <v>20000</v>
      </c>
      <c r="K93" s="314">
        <f t="shared" si="84"/>
        <v>1</v>
      </c>
      <c r="L93" s="209">
        <f t="shared" si="91"/>
        <v>20000</v>
      </c>
      <c r="M93" s="487"/>
      <c r="N93" s="487"/>
      <c r="O93" s="487"/>
      <c r="P93" s="210">
        <f t="shared" si="86"/>
        <v>0</v>
      </c>
      <c r="Q93" s="207">
        <v>1</v>
      </c>
      <c r="R93" s="512">
        <v>0</v>
      </c>
      <c r="S93" s="519" t="e">
        <f t="shared" si="85"/>
        <v>#DIV/0!</v>
      </c>
      <c r="T93" s="209">
        <f t="shared" si="92"/>
        <v>0</v>
      </c>
      <c r="U93" s="211">
        <f t="shared" si="87"/>
        <v>20000</v>
      </c>
      <c r="V93" s="219">
        <v>1</v>
      </c>
      <c r="W93" s="220">
        <f t="shared" si="88"/>
        <v>20000</v>
      </c>
      <c r="X93" s="221"/>
      <c r="Y93" s="393"/>
      <c r="AA93" s="364"/>
      <c r="AB93" s="381"/>
      <c r="AC93" s="406"/>
      <c r="AD93" s="348"/>
    </row>
    <row r="94" spans="1:31" s="213" customFormat="1" ht="51" x14ac:dyDescent="0.2">
      <c r="A94" s="756"/>
      <c r="B94" s="227" t="s">
        <v>175</v>
      </c>
      <c r="C94" s="167" t="s">
        <v>37</v>
      </c>
      <c r="D94" s="221" t="s">
        <v>104</v>
      </c>
      <c r="E94" s="176"/>
      <c r="F94" s="176"/>
      <c r="G94" s="176"/>
      <c r="H94" s="206">
        <f t="shared" si="93"/>
        <v>0</v>
      </c>
      <c r="I94" s="207">
        <v>1</v>
      </c>
      <c r="J94" s="208">
        <v>0</v>
      </c>
      <c r="K94" s="314" t="e">
        <f t="shared" si="84"/>
        <v>#DIV/0!</v>
      </c>
      <c r="L94" s="209">
        <f t="shared" si="91"/>
        <v>0</v>
      </c>
      <c r="M94" s="487">
        <v>1</v>
      </c>
      <c r="N94" s="487">
        <v>4000</v>
      </c>
      <c r="O94" s="487">
        <v>5</v>
      </c>
      <c r="P94" s="210">
        <f t="shared" si="86"/>
        <v>20000</v>
      </c>
      <c r="Q94" s="207">
        <v>1</v>
      </c>
      <c r="R94" s="512">
        <v>20000</v>
      </c>
      <c r="S94" s="519">
        <f t="shared" si="85"/>
        <v>1</v>
      </c>
      <c r="T94" s="209">
        <f t="shared" si="92"/>
        <v>20000</v>
      </c>
      <c r="U94" s="211">
        <f t="shared" si="87"/>
        <v>20000</v>
      </c>
      <c r="V94" s="222">
        <v>1</v>
      </c>
      <c r="W94" s="228">
        <f t="shared" si="88"/>
        <v>20000</v>
      </c>
      <c r="X94" s="227"/>
      <c r="Y94" s="393"/>
      <c r="AA94" s="364"/>
      <c r="AB94" s="381"/>
      <c r="AC94" s="406"/>
      <c r="AD94" s="348"/>
    </row>
    <row r="95" spans="1:31" s="213" customFormat="1" ht="76.5" x14ac:dyDescent="0.2">
      <c r="A95" s="756"/>
      <c r="B95" s="227" t="s">
        <v>176</v>
      </c>
      <c r="C95" s="167" t="s">
        <v>37</v>
      </c>
      <c r="D95" s="221" t="s">
        <v>104</v>
      </c>
      <c r="E95" s="176"/>
      <c r="F95" s="176"/>
      <c r="G95" s="176"/>
      <c r="H95" s="206">
        <f t="shared" si="93"/>
        <v>0</v>
      </c>
      <c r="I95" s="207">
        <v>1</v>
      </c>
      <c r="J95" s="208">
        <v>0</v>
      </c>
      <c r="K95" s="314" t="e">
        <f t="shared" si="84"/>
        <v>#DIV/0!</v>
      </c>
      <c r="L95" s="209">
        <f t="shared" si="91"/>
        <v>0</v>
      </c>
      <c r="M95" s="487">
        <v>1</v>
      </c>
      <c r="N95" s="487">
        <v>2000</v>
      </c>
      <c r="O95" s="487">
        <v>5</v>
      </c>
      <c r="P95" s="210">
        <f t="shared" si="86"/>
        <v>10000</v>
      </c>
      <c r="Q95" s="207">
        <v>1</v>
      </c>
      <c r="R95" s="512">
        <v>10000</v>
      </c>
      <c r="S95" s="519">
        <f t="shared" si="85"/>
        <v>1</v>
      </c>
      <c r="T95" s="209">
        <f t="shared" si="92"/>
        <v>10000</v>
      </c>
      <c r="U95" s="211">
        <f t="shared" si="87"/>
        <v>10000</v>
      </c>
      <c r="V95" s="222">
        <v>1</v>
      </c>
      <c r="W95" s="228">
        <f t="shared" si="88"/>
        <v>10000</v>
      </c>
      <c r="X95" s="229"/>
      <c r="Y95" s="393"/>
      <c r="AA95" s="364"/>
      <c r="AB95" s="381"/>
      <c r="AC95" s="406"/>
      <c r="AD95" s="348"/>
    </row>
    <row r="96" spans="1:31" s="213" customFormat="1" ht="38.25" x14ac:dyDescent="0.2">
      <c r="A96" s="756"/>
      <c r="B96" s="227" t="s">
        <v>107</v>
      </c>
      <c r="C96" s="167" t="s">
        <v>37</v>
      </c>
      <c r="D96" s="176" t="s">
        <v>104</v>
      </c>
      <c r="E96" s="176"/>
      <c r="F96" s="176"/>
      <c r="G96" s="176"/>
      <c r="H96" s="206">
        <f t="shared" si="93"/>
        <v>0</v>
      </c>
      <c r="I96" s="207">
        <v>1</v>
      </c>
      <c r="J96" s="208">
        <v>0</v>
      </c>
      <c r="K96" s="314" t="e">
        <f t="shared" si="84"/>
        <v>#DIV/0!</v>
      </c>
      <c r="L96" s="209">
        <f t="shared" si="91"/>
        <v>0</v>
      </c>
      <c r="M96" s="487">
        <v>1</v>
      </c>
      <c r="N96" s="487">
        <v>1</v>
      </c>
      <c r="O96" s="487">
        <v>25000</v>
      </c>
      <c r="P96" s="210">
        <f t="shared" si="86"/>
        <v>25000</v>
      </c>
      <c r="Q96" s="207">
        <v>1</v>
      </c>
      <c r="R96" s="512">
        <v>25000</v>
      </c>
      <c r="S96" s="519">
        <f t="shared" si="85"/>
        <v>1</v>
      </c>
      <c r="T96" s="209">
        <f t="shared" si="92"/>
        <v>25000</v>
      </c>
      <c r="U96" s="211">
        <f t="shared" si="87"/>
        <v>25000</v>
      </c>
      <c r="V96" s="222">
        <v>1</v>
      </c>
      <c r="W96" s="228">
        <f t="shared" si="88"/>
        <v>25000</v>
      </c>
      <c r="X96" s="177"/>
      <c r="Y96" s="393"/>
      <c r="AA96" s="364"/>
      <c r="AB96" s="381"/>
      <c r="AC96" s="406"/>
      <c r="AD96" s="348"/>
    </row>
    <row r="97" spans="1:31" s="213" customFormat="1" ht="51" x14ac:dyDescent="0.2">
      <c r="A97" s="756"/>
      <c r="B97" s="227" t="s">
        <v>172</v>
      </c>
      <c r="C97" s="167" t="s">
        <v>37</v>
      </c>
      <c r="D97" s="176" t="s">
        <v>104</v>
      </c>
      <c r="E97" s="176"/>
      <c r="F97" s="176"/>
      <c r="G97" s="176"/>
      <c r="H97" s="206">
        <f t="shared" si="93"/>
        <v>0</v>
      </c>
      <c r="I97" s="207">
        <v>1</v>
      </c>
      <c r="J97" s="208">
        <v>0</v>
      </c>
      <c r="K97" s="314" t="e">
        <f t="shared" si="84"/>
        <v>#DIV/0!</v>
      </c>
      <c r="L97" s="209">
        <f t="shared" si="91"/>
        <v>0</v>
      </c>
      <c r="M97" s="487">
        <v>1</v>
      </c>
      <c r="N97" s="487">
        <v>5</v>
      </c>
      <c r="O97" s="487">
        <v>5000</v>
      </c>
      <c r="P97" s="210">
        <f t="shared" si="86"/>
        <v>25000</v>
      </c>
      <c r="Q97" s="207">
        <v>1</v>
      </c>
      <c r="R97" s="512">
        <v>0</v>
      </c>
      <c r="S97" s="519">
        <f t="shared" si="85"/>
        <v>0</v>
      </c>
      <c r="T97" s="209">
        <f t="shared" si="92"/>
        <v>25000</v>
      </c>
      <c r="U97" s="211">
        <f t="shared" si="87"/>
        <v>25000</v>
      </c>
      <c r="V97" s="222">
        <v>1</v>
      </c>
      <c r="W97" s="228">
        <f t="shared" si="88"/>
        <v>25000</v>
      </c>
      <c r="X97" s="221"/>
      <c r="Y97" s="393"/>
      <c r="AA97" s="364"/>
      <c r="AB97" s="381"/>
      <c r="AC97" s="406"/>
      <c r="AD97" s="348"/>
    </row>
    <row r="98" spans="1:31" s="213" customFormat="1" ht="25.5" x14ac:dyDescent="0.2">
      <c r="A98" s="756"/>
      <c r="B98" s="227" t="s">
        <v>265</v>
      </c>
      <c r="C98" s="167" t="s">
        <v>37</v>
      </c>
      <c r="D98" s="176" t="s">
        <v>104</v>
      </c>
      <c r="E98" s="176">
        <v>1</v>
      </c>
      <c r="F98" s="176">
        <v>2200</v>
      </c>
      <c r="G98" s="176">
        <v>12</v>
      </c>
      <c r="H98" s="206">
        <f>SUM(E98*F98*G98)</f>
        <v>26400</v>
      </c>
      <c r="I98" s="207">
        <v>0</v>
      </c>
      <c r="J98" s="208">
        <v>26400</v>
      </c>
      <c r="K98" s="314">
        <f t="shared" si="84"/>
        <v>1</v>
      </c>
      <c r="L98" s="209">
        <f t="shared" si="91"/>
        <v>0</v>
      </c>
      <c r="M98" s="487"/>
      <c r="N98" s="487"/>
      <c r="O98" s="487"/>
      <c r="P98" s="210">
        <f t="shared" si="86"/>
        <v>0</v>
      </c>
      <c r="Q98" s="207"/>
      <c r="R98" s="512"/>
      <c r="S98" s="519" t="e">
        <f t="shared" si="85"/>
        <v>#DIV/0!</v>
      </c>
      <c r="T98" s="209"/>
      <c r="U98" s="211">
        <f t="shared" si="87"/>
        <v>26400</v>
      </c>
      <c r="V98" s="222"/>
      <c r="W98" s="228"/>
      <c r="X98" s="221"/>
      <c r="Y98" s="393"/>
      <c r="AA98" s="364"/>
      <c r="AB98" s="381"/>
      <c r="AC98" s="406"/>
      <c r="AD98" s="348"/>
    </row>
    <row r="99" spans="1:31" s="213" customFormat="1" ht="38.25" x14ac:dyDescent="0.2">
      <c r="A99" s="756"/>
      <c r="B99" s="229" t="s">
        <v>173</v>
      </c>
      <c r="C99" s="167" t="s">
        <v>37</v>
      </c>
      <c r="D99" s="221" t="s">
        <v>104</v>
      </c>
      <c r="E99" s="176"/>
      <c r="F99" s="176"/>
      <c r="G99" s="176"/>
      <c r="H99" s="206">
        <f t="shared" si="93"/>
        <v>0</v>
      </c>
      <c r="I99" s="207">
        <v>1</v>
      </c>
      <c r="J99" s="208">
        <v>0</v>
      </c>
      <c r="K99" s="314" t="e">
        <f t="shared" si="84"/>
        <v>#DIV/0!</v>
      </c>
      <c r="L99" s="209">
        <f t="shared" si="91"/>
        <v>0</v>
      </c>
      <c r="M99" s="487">
        <v>1</v>
      </c>
      <c r="N99" s="487">
        <v>4000</v>
      </c>
      <c r="O99" s="487">
        <v>5</v>
      </c>
      <c r="P99" s="210">
        <f t="shared" si="86"/>
        <v>20000</v>
      </c>
      <c r="Q99" s="207">
        <v>1</v>
      </c>
      <c r="R99" s="512">
        <v>20000</v>
      </c>
      <c r="S99" s="519">
        <f t="shared" si="85"/>
        <v>1</v>
      </c>
      <c r="T99" s="209">
        <f t="shared" si="92"/>
        <v>20000</v>
      </c>
      <c r="U99" s="211">
        <f t="shared" si="87"/>
        <v>20000</v>
      </c>
      <c r="V99" s="219">
        <v>1</v>
      </c>
      <c r="W99" s="220">
        <f>V99*U99</f>
        <v>20000</v>
      </c>
      <c r="X99" s="221"/>
      <c r="Y99" s="393"/>
      <c r="AA99" s="364"/>
      <c r="AB99" s="381"/>
      <c r="AC99" s="406"/>
      <c r="AD99" s="348"/>
    </row>
    <row r="100" spans="1:31" s="213" customFormat="1" ht="13.5" x14ac:dyDescent="0.2">
      <c r="A100" s="757"/>
      <c r="B100" s="726" t="s">
        <v>0</v>
      </c>
      <c r="C100" s="727"/>
      <c r="D100" s="727" t="s">
        <v>0</v>
      </c>
      <c r="E100" s="727"/>
      <c r="F100" s="727"/>
      <c r="G100" s="728"/>
      <c r="H100" s="215">
        <f>SUM(H89:H99)</f>
        <v>107200</v>
      </c>
      <c r="I100" s="216">
        <f>L100/H100</f>
        <v>0.75373134328358204</v>
      </c>
      <c r="J100" s="215">
        <f>SUM(J89:J99)</f>
        <v>107200</v>
      </c>
      <c r="K100" s="285">
        <f t="shared" si="84"/>
        <v>1</v>
      </c>
      <c r="L100" s="217">
        <f>SUM(L89:L99)</f>
        <v>80800</v>
      </c>
      <c r="M100" s="486"/>
      <c r="N100" s="486"/>
      <c r="O100" s="486"/>
      <c r="P100" s="217">
        <f>SUM(P89:P99)</f>
        <v>131500</v>
      </c>
      <c r="Q100" s="217"/>
      <c r="R100" s="217">
        <f t="shared" ref="R100" si="94">SUM(R89:R99)</f>
        <v>94500</v>
      </c>
      <c r="S100" s="533">
        <f t="shared" si="85"/>
        <v>0.71863117870722437</v>
      </c>
      <c r="T100" s="217">
        <f>SUM(T89:T99)</f>
        <v>131500</v>
      </c>
      <c r="U100" s="215">
        <f>SUM(U89:U99)</f>
        <v>238700</v>
      </c>
      <c r="V100" s="217"/>
      <c r="W100" s="217">
        <f>SUM(W89:W99)</f>
        <v>212300</v>
      </c>
      <c r="X100" s="185">
        <f>W100/U100</f>
        <v>0.88940092165898621</v>
      </c>
      <c r="Y100" s="393"/>
      <c r="AA100" s="364"/>
      <c r="AB100" s="381"/>
      <c r="AC100" s="406"/>
      <c r="AD100" s="348"/>
    </row>
    <row r="101" spans="1:31" s="234" customFormat="1" ht="13.5" x14ac:dyDescent="0.2">
      <c r="A101" s="732" t="s">
        <v>40</v>
      </c>
      <c r="B101" s="732"/>
      <c r="C101" s="732"/>
      <c r="D101" s="732"/>
      <c r="E101" s="732"/>
      <c r="F101" s="732"/>
      <c r="G101" s="732"/>
      <c r="H101" s="230">
        <f>SUM(H100+H88)</f>
        <v>182200</v>
      </c>
      <c r="I101" s="305">
        <f>L101/H101</f>
        <v>0.85510428100987923</v>
      </c>
      <c r="J101" s="306">
        <f>SUM(J100+J88)</f>
        <v>182200</v>
      </c>
      <c r="K101" s="285">
        <f t="shared" si="61"/>
        <v>1</v>
      </c>
      <c r="L101" s="308">
        <f>SUM(L100+L88)</f>
        <v>155800</v>
      </c>
      <c r="M101" s="231">
        <f t="shared" ref="M101:W101" si="95">SUM(M100+M88)</f>
        <v>0</v>
      </c>
      <c r="N101" s="231">
        <f t="shared" si="95"/>
        <v>0</v>
      </c>
      <c r="O101" s="231">
        <f t="shared" si="95"/>
        <v>0</v>
      </c>
      <c r="P101" s="232">
        <f>SUM(P100+P88)</f>
        <v>131500</v>
      </c>
      <c r="Q101" s="232"/>
      <c r="R101" s="232">
        <f t="shared" ref="R101" si="96">SUM(R100+R88)</f>
        <v>94500</v>
      </c>
      <c r="S101" s="535">
        <f t="shared" si="85"/>
        <v>0.71863117870722437</v>
      </c>
      <c r="T101" s="231">
        <f t="shared" si="95"/>
        <v>131500</v>
      </c>
      <c r="U101" s="233">
        <f>SUM(U100+U88)</f>
        <v>313700</v>
      </c>
      <c r="V101" s="231">
        <f t="shared" si="95"/>
        <v>0</v>
      </c>
      <c r="W101" s="231">
        <f t="shared" si="95"/>
        <v>287300</v>
      </c>
      <c r="X101" s="231"/>
      <c r="Y101" s="394"/>
      <c r="AA101" s="365"/>
      <c r="AB101" s="382"/>
      <c r="AC101" s="407"/>
      <c r="AD101" s="349"/>
    </row>
    <row r="102" spans="1:31" s="205" customFormat="1" ht="13.5" x14ac:dyDescent="0.2">
      <c r="A102" s="235"/>
      <c r="B102" s="235"/>
      <c r="C102" s="235"/>
      <c r="D102" s="236"/>
      <c r="E102" s="237"/>
      <c r="F102" s="238"/>
      <c r="G102" s="237"/>
      <c r="H102" s="189"/>
      <c r="I102" s="307"/>
      <c r="J102" s="307"/>
      <c r="K102" s="285"/>
      <c r="L102" s="307"/>
      <c r="M102" s="239"/>
      <c r="N102" s="239"/>
      <c r="O102" s="239"/>
      <c r="P102" s="189"/>
      <c r="Q102" s="239"/>
      <c r="R102" s="239"/>
      <c r="S102" s="239"/>
      <c r="T102" s="239"/>
      <c r="U102" s="239"/>
      <c r="V102" s="240"/>
      <c r="W102" s="239"/>
      <c r="X102" s="241"/>
      <c r="Y102" s="343"/>
      <c r="Z102" s="134"/>
      <c r="AA102" s="358"/>
      <c r="AB102" s="375"/>
      <c r="AC102" s="400"/>
      <c r="AD102" s="40"/>
      <c r="AE102" s="134"/>
    </row>
    <row r="103" spans="1:31" ht="25.5" x14ac:dyDescent="0.2">
      <c r="A103" s="718" t="s">
        <v>79</v>
      </c>
      <c r="B103" s="226" t="s">
        <v>80</v>
      </c>
      <c r="C103" s="167" t="s">
        <v>36</v>
      </c>
      <c r="D103" s="168" t="s">
        <v>68</v>
      </c>
      <c r="E103" s="169">
        <v>1</v>
      </c>
      <c r="F103" s="170">
        <v>20000</v>
      </c>
      <c r="G103" s="169">
        <v>1</v>
      </c>
      <c r="H103" s="171">
        <f t="shared" ref="H103:H111" si="97">E103*F103*G103</f>
        <v>20000</v>
      </c>
      <c r="I103" s="312"/>
      <c r="J103" s="309">
        <v>19821</v>
      </c>
      <c r="K103" s="314">
        <f>SUM(J103/H103)</f>
        <v>0.99104999999999999</v>
      </c>
      <c r="L103" s="242">
        <f>I103*H103</f>
        <v>0</v>
      </c>
      <c r="M103" s="484"/>
      <c r="N103" s="443"/>
      <c r="O103" s="484"/>
      <c r="P103" s="171"/>
      <c r="Q103" s="195"/>
      <c r="R103" s="512"/>
      <c r="S103" s="519" t="e">
        <f t="shared" ref="S103:S114" si="98">SUM(R103/P103)</f>
        <v>#DIV/0!</v>
      </c>
      <c r="T103" s="174">
        <f>P103*Q103</f>
        <v>0</v>
      </c>
      <c r="U103" s="171">
        <f>P103+H103</f>
        <v>20000</v>
      </c>
      <c r="V103" s="243"/>
      <c r="W103" s="127">
        <f>U103*V103</f>
        <v>0</v>
      </c>
      <c r="X103" s="244"/>
    </row>
    <row r="104" spans="1:31" ht="19.5" customHeight="1" x14ac:dyDescent="0.2">
      <c r="A104" s="718"/>
      <c r="B104" s="218" t="s">
        <v>84</v>
      </c>
      <c r="C104" s="167" t="s">
        <v>17</v>
      </c>
      <c r="D104" s="168" t="s">
        <v>68</v>
      </c>
      <c r="E104" s="245">
        <v>2</v>
      </c>
      <c r="F104" s="246">
        <f>141*2*4</f>
        <v>1128</v>
      </c>
      <c r="G104" s="245">
        <v>1</v>
      </c>
      <c r="H104" s="171">
        <f t="shared" si="97"/>
        <v>2256</v>
      </c>
      <c r="I104" s="312"/>
      <c r="J104" s="309">
        <v>0</v>
      </c>
      <c r="K104" s="314">
        <f t="shared" si="61"/>
        <v>0</v>
      </c>
      <c r="L104" s="242">
        <f t="shared" ref="L104:L110" si="99">I104*H104</f>
        <v>0</v>
      </c>
      <c r="M104" s="491">
        <v>2</v>
      </c>
      <c r="N104" s="492">
        <f>141*2*4</f>
        <v>1128</v>
      </c>
      <c r="O104" s="491">
        <v>1</v>
      </c>
      <c r="P104" s="247">
        <f>M104*N104*O104</f>
        <v>2256</v>
      </c>
      <c r="Q104" s="195"/>
      <c r="R104" s="512"/>
      <c r="S104" s="519">
        <f t="shared" si="98"/>
        <v>0</v>
      </c>
      <c r="T104" s="174">
        <f t="shared" ref="T104:T111" si="100">P104*Q104</f>
        <v>0</v>
      </c>
      <c r="U104" s="171">
        <f t="shared" ref="U104:U111" si="101">P104+H104</f>
        <v>4512</v>
      </c>
      <c r="V104" s="243"/>
      <c r="W104" s="127">
        <f t="shared" ref="W104:W109" si="102">U104*V104</f>
        <v>0</v>
      </c>
      <c r="X104" s="176" t="s">
        <v>251</v>
      </c>
    </row>
    <row r="105" spans="1:31" ht="18.75" customHeight="1" x14ac:dyDescent="0.2">
      <c r="A105" s="718"/>
      <c r="B105" s="226" t="s">
        <v>135</v>
      </c>
      <c r="C105" s="167" t="s">
        <v>17</v>
      </c>
      <c r="D105" s="168" t="s">
        <v>68</v>
      </c>
      <c r="E105" s="245">
        <v>15</v>
      </c>
      <c r="F105" s="246">
        <v>200</v>
      </c>
      <c r="G105" s="245">
        <v>4</v>
      </c>
      <c r="H105" s="171">
        <f t="shared" si="97"/>
        <v>12000</v>
      </c>
      <c r="I105" s="312"/>
      <c r="J105" s="309">
        <v>11740</v>
      </c>
      <c r="K105" s="314">
        <f t="shared" si="61"/>
        <v>0.97833333333333339</v>
      </c>
      <c r="L105" s="174">
        <f>I105*H105</f>
        <v>0</v>
      </c>
      <c r="M105" s="491">
        <v>15</v>
      </c>
      <c r="N105" s="492">
        <v>200</v>
      </c>
      <c r="O105" s="491">
        <v>4</v>
      </c>
      <c r="P105" s="247">
        <f t="shared" ref="P105:P111" si="103">M105*N105*O105</f>
        <v>12000</v>
      </c>
      <c r="Q105" s="195"/>
      <c r="R105" s="512"/>
      <c r="S105" s="519">
        <f t="shared" si="98"/>
        <v>0</v>
      </c>
      <c r="T105" s="174">
        <f t="shared" si="100"/>
        <v>0</v>
      </c>
      <c r="U105" s="171">
        <f t="shared" si="101"/>
        <v>24000</v>
      </c>
      <c r="V105" s="243"/>
      <c r="W105" s="127">
        <f t="shared" si="102"/>
        <v>0</v>
      </c>
      <c r="X105" s="244" t="s">
        <v>252</v>
      </c>
    </row>
    <row r="106" spans="1:31" ht="18.75" customHeight="1" x14ac:dyDescent="0.2">
      <c r="A106" s="718"/>
      <c r="B106" s="226" t="s">
        <v>85</v>
      </c>
      <c r="C106" s="167" t="s">
        <v>17</v>
      </c>
      <c r="D106" s="168" t="s">
        <v>68</v>
      </c>
      <c r="E106" s="245">
        <v>1</v>
      </c>
      <c r="F106" s="246">
        <v>8000</v>
      </c>
      <c r="G106" s="245">
        <v>1</v>
      </c>
      <c r="H106" s="171">
        <f t="shared" si="97"/>
        <v>8000</v>
      </c>
      <c r="I106" s="312"/>
      <c r="J106" s="309">
        <v>0</v>
      </c>
      <c r="K106" s="314">
        <f t="shared" si="61"/>
        <v>0</v>
      </c>
      <c r="L106" s="174">
        <f t="shared" si="99"/>
        <v>0</v>
      </c>
      <c r="M106" s="491">
        <v>1</v>
      </c>
      <c r="N106" s="492">
        <v>8000</v>
      </c>
      <c r="O106" s="491">
        <v>1</v>
      </c>
      <c r="P106" s="247">
        <f t="shared" si="103"/>
        <v>8000</v>
      </c>
      <c r="Q106" s="195"/>
      <c r="R106" s="512"/>
      <c r="S106" s="519">
        <f t="shared" si="98"/>
        <v>0</v>
      </c>
      <c r="T106" s="174">
        <f t="shared" si="100"/>
        <v>0</v>
      </c>
      <c r="U106" s="171">
        <f t="shared" si="101"/>
        <v>16000</v>
      </c>
      <c r="V106" s="243"/>
      <c r="W106" s="127">
        <f t="shared" si="102"/>
        <v>0</v>
      </c>
      <c r="X106" s="176" t="s">
        <v>251</v>
      </c>
    </row>
    <row r="107" spans="1:31" ht="21" customHeight="1" x14ac:dyDescent="0.2">
      <c r="A107" s="718"/>
      <c r="B107" s="218" t="s">
        <v>136</v>
      </c>
      <c r="C107" s="167" t="s">
        <v>17</v>
      </c>
      <c r="D107" s="168" t="s">
        <v>68</v>
      </c>
      <c r="E107" s="245">
        <v>2</v>
      </c>
      <c r="F107" s="246">
        <f>141*6*4</f>
        <v>3384</v>
      </c>
      <c r="G107" s="245">
        <v>1</v>
      </c>
      <c r="H107" s="171">
        <f t="shared" si="97"/>
        <v>6768</v>
      </c>
      <c r="I107" s="312"/>
      <c r="J107" s="309">
        <v>6545</v>
      </c>
      <c r="K107" s="314">
        <f t="shared" si="61"/>
        <v>0.96705082742316784</v>
      </c>
      <c r="L107" s="174">
        <f t="shared" si="99"/>
        <v>0</v>
      </c>
      <c r="M107" s="491">
        <v>2</v>
      </c>
      <c r="N107" s="492">
        <f>141*6*4</f>
        <v>3384</v>
      </c>
      <c r="O107" s="491">
        <v>1</v>
      </c>
      <c r="P107" s="247">
        <f t="shared" si="103"/>
        <v>6768</v>
      </c>
      <c r="Q107" s="195"/>
      <c r="R107" s="512"/>
      <c r="S107" s="519">
        <f t="shared" si="98"/>
        <v>0</v>
      </c>
      <c r="T107" s="174">
        <f t="shared" si="100"/>
        <v>0</v>
      </c>
      <c r="U107" s="171">
        <f t="shared" si="101"/>
        <v>13536</v>
      </c>
      <c r="V107" s="243"/>
      <c r="W107" s="127">
        <f t="shared" si="102"/>
        <v>0</v>
      </c>
      <c r="X107" s="244"/>
    </row>
    <row r="108" spans="1:31" ht="20.25" customHeight="1" x14ac:dyDescent="0.2">
      <c r="A108" s="718"/>
      <c r="B108" s="226" t="s">
        <v>81</v>
      </c>
      <c r="C108" s="167" t="s">
        <v>17</v>
      </c>
      <c r="D108" s="168" t="s">
        <v>68</v>
      </c>
      <c r="E108" s="245">
        <v>1</v>
      </c>
      <c r="F108" s="246">
        <v>10000</v>
      </c>
      <c r="G108" s="245">
        <v>1</v>
      </c>
      <c r="H108" s="171">
        <f t="shared" si="97"/>
        <v>10000</v>
      </c>
      <c r="I108" s="312"/>
      <c r="J108" s="309">
        <v>0</v>
      </c>
      <c r="K108" s="314">
        <f t="shared" si="61"/>
        <v>0</v>
      </c>
      <c r="L108" s="174">
        <f t="shared" si="99"/>
        <v>0</v>
      </c>
      <c r="M108" s="491">
        <v>0</v>
      </c>
      <c r="N108" s="443">
        <v>0</v>
      </c>
      <c r="O108" s="484"/>
      <c r="P108" s="247">
        <f t="shared" si="103"/>
        <v>0</v>
      </c>
      <c r="Q108" s="195"/>
      <c r="R108" s="512"/>
      <c r="S108" s="519" t="e">
        <f t="shared" si="98"/>
        <v>#DIV/0!</v>
      </c>
      <c r="T108" s="174">
        <f t="shared" si="100"/>
        <v>0</v>
      </c>
      <c r="U108" s="171">
        <f t="shared" si="101"/>
        <v>10000</v>
      </c>
      <c r="V108" s="243"/>
      <c r="W108" s="127">
        <f t="shared" si="102"/>
        <v>0</v>
      </c>
      <c r="X108" s="176" t="s">
        <v>251</v>
      </c>
    </row>
    <row r="109" spans="1:31" ht="17.25" customHeight="1" x14ac:dyDescent="0.2">
      <c r="A109" s="718"/>
      <c r="B109" s="218" t="s">
        <v>82</v>
      </c>
      <c r="C109" s="167" t="s">
        <v>15</v>
      </c>
      <c r="D109" s="168" t="s">
        <v>68</v>
      </c>
      <c r="E109" s="245">
        <v>1</v>
      </c>
      <c r="F109" s="246">
        <v>15000</v>
      </c>
      <c r="G109" s="245">
        <v>1</v>
      </c>
      <c r="H109" s="171">
        <f t="shared" si="97"/>
        <v>15000</v>
      </c>
      <c r="I109" s="312"/>
      <c r="J109" s="309">
        <v>14900</v>
      </c>
      <c r="K109" s="314">
        <f t="shared" si="61"/>
        <v>0.99333333333333329</v>
      </c>
      <c r="L109" s="174">
        <f t="shared" si="99"/>
        <v>0</v>
      </c>
      <c r="M109" s="491">
        <v>1</v>
      </c>
      <c r="N109" s="492">
        <v>5000</v>
      </c>
      <c r="O109" s="491">
        <v>1</v>
      </c>
      <c r="P109" s="247">
        <f t="shared" si="103"/>
        <v>5000</v>
      </c>
      <c r="Q109" s="195"/>
      <c r="R109" s="512"/>
      <c r="S109" s="519">
        <f t="shared" si="98"/>
        <v>0</v>
      </c>
      <c r="T109" s="174">
        <f t="shared" si="100"/>
        <v>0</v>
      </c>
      <c r="U109" s="171">
        <f t="shared" si="101"/>
        <v>20000</v>
      </c>
      <c r="V109" s="243"/>
      <c r="W109" s="127">
        <f t="shared" si="102"/>
        <v>0</v>
      </c>
      <c r="X109" s="244"/>
    </row>
    <row r="110" spans="1:31" ht="16.5" customHeight="1" x14ac:dyDescent="0.2">
      <c r="A110" s="718"/>
      <c r="B110" s="218" t="s">
        <v>83</v>
      </c>
      <c r="C110" s="167" t="s">
        <v>36</v>
      </c>
      <c r="D110" s="168" t="s">
        <v>68</v>
      </c>
      <c r="E110" s="245">
        <v>0</v>
      </c>
      <c r="F110" s="246">
        <v>0</v>
      </c>
      <c r="G110" s="245">
        <v>0</v>
      </c>
      <c r="H110" s="171">
        <f t="shared" si="97"/>
        <v>0</v>
      </c>
      <c r="I110" s="312"/>
      <c r="J110" s="309">
        <v>0</v>
      </c>
      <c r="K110" s="314" t="e">
        <f>SUM(J110/H110)</f>
        <v>#DIV/0!</v>
      </c>
      <c r="L110" s="174">
        <f t="shared" si="99"/>
        <v>0</v>
      </c>
      <c r="M110" s="491">
        <v>1</v>
      </c>
      <c r="N110" s="492">
        <v>20000</v>
      </c>
      <c r="O110" s="491">
        <v>1</v>
      </c>
      <c r="P110" s="247">
        <f t="shared" si="103"/>
        <v>20000</v>
      </c>
      <c r="Q110" s="195"/>
      <c r="R110" s="512"/>
      <c r="S110" s="519">
        <f t="shared" si="98"/>
        <v>0</v>
      </c>
      <c r="T110" s="174">
        <f t="shared" si="100"/>
        <v>0</v>
      </c>
      <c r="U110" s="171">
        <f t="shared" si="101"/>
        <v>20000</v>
      </c>
      <c r="V110" s="243"/>
      <c r="W110" s="127">
        <f>U110*V110</f>
        <v>0</v>
      </c>
      <c r="X110" s="244"/>
    </row>
    <row r="111" spans="1:31" ht="38.25" x14ac:dyDescent="0.2">
      <c r="A111" s="718"/>
      <c r="B111" s="226" t="s">
        <v>137</v>
      </c>
      <c r="C111" s="167" t="s">
        <v>17</v>
      </c>
      <c r="D111" s="168" t="s">
        <v>68</v>
      </c>
      <c r="E111" s="245">
        <v>1</v>
      </c>
      <c r="F111" s="246">
        <v>4500</v>
      </c>
      <c r="G111" s="245">
        <v>1</v>
      </c>
      <c r="H111" s="171">
        <f t="shared" si="97"/>
        <v>4500</v>
      </c>
      <c r="I111" s="195">
        <v>0.25</v>
      </c>
      <c r="J111" s="309">
        <v>4426</v>
      </c>
      <c r="K111" s="314">
        <f t="shared" si="61"/>
        <v>0.98355555555555552</v>
      </c>
      <c r="L111" s="174">
        <f>SUM(I111*J111)</f>
        <v>1106.5</v>
      </c>
      <c r="M111" s="484"/>
      <c r="N111" s="443"/>
      <c r="O111" s="484"/>
      <c r="P111" s="247">
        <f t="shared" si="103"/>
        <v>0</v>
      </c>
      <c r="Q111" s="195"/>
      <c r="R111" s="512"/>
      <c r="S111" s="519" t="e">
        <f t="shared" si="98"/>
        <v>#DIV/0!</v>
      </c>
      <c r="T111" s="174">
        <f t="shared" si="100"/>
        <v>0</v>
      </c>
      <c r="U111" s="171">
        <f t="shared" si="101"/>
        <v>4500</v>
      </c>
      <c r="V111" s="243">
        <v>0.25</v>
      </c>
      <c r="W111" s="127">
        <f>U111*V111</f>
        <v>1125</v>
      </c>
      <c r="X111" s="244"/>
    </row>
    <row r="112" spans="1:31" x14ac:dyDescent="0.2">
      <c r="A112" s="218"/>
      <c r="B112" s="719" t="s">
        <v>0</v>
      </c>
      <c r="C112" s="719"/>
      <c r="D112" s="719"/>
      <c r="E112" s="719"/>
      <c r="F112" s="719"/>
      <c r="G112" s="719"/>
      <c r="H112" s="179">
        <f>SUM(H103:H111)</f>
        <v>78524</v>
      </c>
      <c r="I112" s="180">
        <f>L112/H112</f>
        <v>1.4091233253527584E-2</v>
      </c>
      <c r="J112" s="179">
        <f>SUM(J103:J111)</f>
        <v>57432</v>
      </c>
      <c r="K112" s="318">
        <f>SUM(J112/H112)</f>
        <v>0.73139422342213845</v>
      </c>
      <c r="L112" s="179">
        <f>SUM(L103:L111)</f>
        <v>1106.5</v>
      </c>
      <c r="M112" s="493"/>
      <c r="N112" s="479"/>
      <c r="O112" s="493"/>
      <c r="P112" s="179">
        <f>SUM(P103:P111)</f>
        <v>54024</v>
      </c>
      <c r="Q112" s="179"/>
      <c r="R112" s="179">
        <f t="shared" ref="R112" si="104">SUM(R103:R111)</f>
        <v>0</v>
      </c>
      <c r="S112" s="249">
        <f t="shared" si="98"/>
        <v>0</v>
      </c>
      <c r="T112" s="179">
        <f t="shared" ref="T112" si="105">SUM(T103:T111)</f>
        <v>0</v>
      </c>
      <c r="U112" s="179">
        <f>SUM(U103:U111)</f>
        <v>132548</v>
      </c>
      <c r="V112" s="248"/>
      <c r="W112" s="179">
        <f>SUM(W103:W111)</f>
        <v>1125</v>
      </c>
      <c r="X112" s="250"/>
    </row>
    <row r="113" spans="1:30" s="254" customFormat="1" ht="15" x14ac:dyDescent="0.2">
      <c r="A113" s="732" t="s">
        <v>156</v>
      </c>
      <c r="B113" s="732"/>
      <c r="C113" s="732"/>
      <c r="D113" s="732"/>
      <c r="E113" s="732"/>
      <c r="F113" s="732"/>
      <c r="G113" s="732"/>
      <c r="H113" s="251">
        <f>SUM(H112)</f>
        <v>78524</v>
      </c>
      <c r="I113" s="310">
        <f>L113/H113</f>
        <v>1.4091233253527584E-2</v>
      </c>
      <c r="J113" s="311">
        <f>SUM(J112)</f>
        <v>57432</v>
      </c>
      <c r="K113" s="285">
        <f t="shared" si="61"/>
        <v>0.73139422342213845</v>
      </c>
      <c r="L113" s="311">
        <f>SUM(L112)</f>
        <v>1106.5</v>
      </c>
      <c r="M113" s="494"/>
      <c r="N113" s="494"/>
      <c r="O113" s="494"/>
      <c r="P113" s="251">
        <f>SUM(P112)</f>
        <v>54024</v>
      </c>
      <c r="Q113" s="251"/>
      <c r="R113" s="251">
        <f t="shared" ref="R113" si="106">SUM(R112)</f>
        <v>0</v>
      </c>
      <c r="S113" s="531">
        <f t="shared" si="98"/>
        <v>0</v>
      </c>
      <c r="T113" s="251">
        <f t="shared" ref="T113" si="107">SUM(T112)</f>
        <v>0</v>
      </c>
      <c r="U113" s="252">
        <f>SUM(U112)</f>
        <v>132548</v>
      </c>
      <c r="V113" s="253"/>
      <c r="W113" s="734">
        <f>SUM(W112)</f>
        <v>1125</v>
      </c>
      <c r="X113" s="735"/>
      <c r="Y113" s="356"/>
      <c r="AA113" s="366"/>
      <c r="AB113" s="383"/>
      <c r="AC113" s="408"/>
      <c r="AD113" s="346"/>
    </row>
    <row r="114" spans="1:30" s="254" customFormat="1" ht="15.75" x14ac:dyDescent="0.2">
      <c r="A114" s="736" t="s">
        <v>42</v>
      </c>
      <c r="B114" s="736"/>
      <c r="C114" s="736"/>
      <c r="D114" s="736"/>
      <c r="E114" s="736"/>
      <c r="F114" s="736"/>
      <c r="G114" s="736"/>
      <c r="H114" s="255">
        <f>H113+H101+H82+H59</f>
        <v>1214746</v>
      </c>
      <c r="I114" s="256">
        <f>L114/H114</f>
        <v>0.38955935644159356</v>
      </c>
      <c r="J114" s="255">
        <f>J113+J101+J82+J59</f>
        <v>1105471</v>
      </c>
      <c r="K114" s="315">
        <f>SUM(J114/H114)</f>
        <v>0.91004292255335684</v>
      </c>
      <c r="L114" s="255">
        <f>L113+L101+L82+L59</f>
        <v>473215.67000000004</v>
      </c>
      <c r="M114" s="495"/>
      <c r="N114" s="495"/>
      <c r="O114" s="495"/>
      <c r="P114" s="255">
        <f t="shared" ref="P114:T114" si="108">P113+P101+P82+P59</f>
        <v>698684</v>
      </c>
      <c r="Q114" s="255"/>
      <c r="R114" s="255">
        <f t="shared" si="108"/>
        <v>396310</v>
      </c>
      <c r="S114" s="534">
        <f t="shared" si="98"/>
        <v>0.56722352308053425</v>
      </c>
      <c r="T114" s="255">
        <f t="shared" si="108"/>
        <v>299732</v>
      </c>
      <c r="U114" s="255">
        <f>U113+U101+U82+U59</f>
        <v>1913430</v>
      </c>
      <c r="V114" s="255"/>
      <c r="W114" s="255">
        <f>W113+W101+W82+W59</f>
        <v>772966.17</v>
      </c>
      <c r="X114" s="257"/>
      <c r="Y114" s="356"/>
      <c r="AA114" s="366"/>
      <c r="AB114" s="383"/>
      <c r="AC114" s="408"/>
      <c r="AD114" s="346"/>
    </row>
    <row r="115" spans="1:30" s="166" customFormat="1" x14ac:dyDescent="0.2">
      <c r="A115" s="737" t="s">
        <v>48</v>
      </c>
      <c r="B115" s="737"/>
      <c r="C115" s="737"/>
      <c r="D115" s="737"/>
      <c r="E115" s="737"/>
      <c r="F115" s="737"/>
      <c r="G115" s="737"/>
      <c r="H115" s="737"/>
      <c r="I115" s="737"/>
      <c r="J115" s="737"/>
      <c r="K115" s="737"/>
      <c r="L115" s="737"/>
      <c r="M115" s="737"/>
      <c r="N115" s="737"/>
      <c r="O115" s="737"/>
      <c r="P115" s="737"/>
      <c r="Q115" s="737"/>
      <c r="R115" s="737"/>
      <c r="S115" s="737"/>
      <c r="T115" s="737"/>
      <c r="U115" s="737"/>
      <c r="V115" s="737"/>
      <c r="W115" s="737"/>
      <c r="X115" s="737"/>
      <c r="Y115" s="356"/>
      <c r="AA115" s="361"/>
      <c r="AB115" s="384"/>
      <c r="AC115" s="403"/>
      <c r="AD115" s="356"/>
    </row>
    <row r="116" spans="1:30" s="263" customFormat="1" ht="12.75" customHeight="1" x14ac:dyDescent="0.2">
      <c r="A116" s="258" t="s">
        <v>43</v>
      </c>
      <c r="B116" s="259"/>
      <c r="C116" s="259"/>
      <c r="D116" s="259"/>
      <c r="E116" s="260"/>
      <c r="F116" s="261"/>
      <c r="G116" s="260"/>
      <c r="H116" s="262"/>
      <c r="I116" s="260"/>
      <c r="J116" s="260"/>
      <c r="K116" s="260"/>
      <c r="L116" s="261"/>
      <c r="M116" s="260"/>
      <c r="N116" s="261"/>
      <c r="O116" s="260"/>
      <c r="P116" s="262"/>
      <c r="Q116" s="260"/>
      <c r="R116" s="260"/>
      <c r="S116" s="260"/>
      <c r="T116" s="261"/>
      <c r="U116" s="261"/>
      <c r="V116" s="260"/>
      <c r="W116" s="261"/>
      <c r="X116" s="259"/>
      <c r="Y116" s="343"/>
      <c r="AA116" s="367"/>
      <c r="AB116" s="385"/>
      <c r="AC116" s="409"/>
      <c r="AD116" s="343"/>
    </row>
    <row r="117" spans="1:30" s="205" customFormat="1" ht="25.5" x14ac:dyDescent="0.2">
      <c r="A117" s="177"/>
      <c r="B117" s="177" t="s">
        <v>138</v>
      </c>
      <c r="C117" s="167" t="s">
        <v>14</v>
      </c>
      <c r="D117" s="264" t="s">
        <v>68</v>
      </c>
      <c r="E117" s="169">
        <v>1</v>
      </c>
      <c r="F117" s="174">
        <v>2200</v>
      </c>
      <c r="G117" s="169">
        <v>12</v>
      </c>
      <c r="H117" s="171">
        <f t="shared" ref="H117:H122" si="109">E117*F117*G117</f>
        <v>26400</v>
      </c>
      <c r="I117" s="316"/>
      <c r="J117" s="322">
        <v>26400</v>
      </c>
      <c r="K117" s="173">
        <f t="shared" ref="K117:K167" si="110">SUM(J117/H117)</f>
        <v>1</v>
      </c>
      <c r="L117" s="198">
        <f>H117*I117</f>
        <v>0</v>
      </c>
      <c r="M117" s="439">
        <v>1</v>
      </c>
      <c r="N117" s="443">
        <v>2200</v>
      </c>
      <c r="O117" s="439">
        <v>12</v>
      </c>
      <c r="P117" s="171">
        <f>M117*N117*O117</f>
        <v>26400</v>
      </c>
      <c r="Q117" s="172"/>
      <c r="R117" s="512">
        <v>8800</v>
      </c>
      <c r="S117" s="466">
        <f t="shared" ref="S117:S123" si="111">SUM(R117/P117)</f>
        <v>0.33333333333333331</v>
      </c>
      <c r="T117" s="198">
        <f t="shared" ref="T117:T122" si="112">P117*Q117</f>
        <v>0</v>
      </c>
      <c r="U117" s="174">
        <f>H117+P117</f>
        <v>52800</v>
      </c>
      <c r="V117" s="197"/>
      <c r="W117" s="127">
        <f>U117*V117</f>
        <v>0</v>
      </c>
      <c r="X117" s="209"/>
      <c r="Y117" s="357"/>
      <c r="AA117" s="368"/>
      <c r="AB117" s="386"/>
      <c r="AC117" s="410"/>
      <c r="AD117" s="41"/>
    </row>
    <row r="118" spans="1:30" s="205" customFormat="1" ht="30" x14ac:dyDescent="0.25">
      <c r="A118" s="177"/>
      <c r="B118" s="177" t="s">
        <v>190</v>
      </c>
      <c r="C118" s="167" t="s">
        <v>14</v>
      </c>
      <c r="D118" s="264" t="s">
        <v>68</v>
      </c>
      <c r="E118" s="169">
        <v>1</v>
      </c>
      <c r="F118" s="174">
        <v>4100</v>
      </c>
      <c r="G118" s="169">
        <v>12</v>
      </c>
      <c r="H118" s="171">
        <f t="shared" si="109"/>
        <v>49200</v>
      </c>
      <c r="I118" s="316"/>
      <c r="J118" s="322">
        <v>58766</v>
      </c>
      <c r="K118" s="97">
        <f>SUM(J118/H118)</f>
        <v>1.194430894308943</v>
      </c>
      <c r="L118" s="198">
        <v>0</v>
      </c>
      <c r="M118" s="439">
        <v>1</v>
      </c>
      <c r="N118" s="443">
        <v>4100</v>
      </c>
      <c r="O118" s="439">
        <v>12</v>
      </c>
      <c r="P118" s="171">
        <f>M118*N118*O118</f>
        <v>49200</v>
      </c>
      <c r="Q118" s="172"/>
      <c r="R118" s="512">
        <v>16400</v>
      </c>
      <c r="S118" s="466">
        <f t="shared" si="111"/>
        <v>0.33333333333333331</v>
      </c>
      <c r="T118" s="198">
        <v>0</v>
      </c>
      <c r="U118" s="174">
        <f>H118+P118</f>
        <v>98400</v>
      </c>
      <c r="V118" s="197"/>
      <c r="W118" s="127">
        <f t="shared" ref="W118:W122" si="113">U118*V118</f>
        <v>0</v>
      </c>
      <c r="X118" s="265" t="s">
        <v>253</v>
      </c>
      <c r="Y118" s="357"/>
      <c r="AA118" s="368"/>
      <c r="AB118" s="386"/>
      <c r="AC118" s="410"/>
      <c r="AD118" s="41"/>
    </row>
    <row r="119" spans="1:30" s="205" customFormat="1" ht="25.5" x14ac:dyDescent="0.2">
      <c r="A119" s="177"/>
      <c r="B119" s="177" t="s">
        <v>86</v>
      </c>
      <c r="C119" s="167" t="s">
        <v>14</v>
      </c>
      <c r="D119" s="264" t="s">
        <v>68</v>
      </c>
      <c r="E119" s="169">
        <v>1</v>
      </c>
      <c r="F119" s="174">
        <v>1700</v>
      </c>
      <c r="G119" s="169">
        <v>12</v>
      </c>
      <c r="H119" s="171">
        <f t="shared" si="109"/>
        <v>20400</v>
      </c>
      <c r="I119" s="316"/>
      <c r="J119" s="322">
        <v>27528</v>
      </c>
      <c r="K119" s="97">
        <f>SUM(J119/H119)</f>
        <v>1.3494117647058823</v>
      </c>
      <c r="L119" s="198">
        <f t="shared" ref="L119:L122" si="114">H119*I119</f>
        <v>0</v>
      </c>
      <c r="M119" s="439">
        <v>1</v>
      </c>
      <c r="N119" s="443">
        <v>1700</v>
      </c>
      <c r="O119" s="439">
        <v>12</v>
      </c>
      <c r="P119" s="171">
        <f t="shared" ref="P119:P122" si="115">M119*N119*O119</f>
        <v>20400</v>
      </c>
      <c r="Q119" s="172"/>
      <c r="R119" s="512">
        <v>6800</v>
      </c>
      <c r="S119" s="466">
        <f t="shared" si="111"/>
        <v>0.33333333333333331</v>
      </c>
      <c r="T119" s="198">
        <f t="shared" si="112"/>
        <v>0</v>
      </c>
      <c r="U119" s="174">
        <f t="shared" ref="U119:U122" si="116">H119+P119</f>
        <v>40800</v>
      </c>
      <c r="V119" s="197"/>
      <c r="W119" s="127">
        <f t="shared" si="113"/>
        <v>0</v>
      </c>
      <c r="X119" s="266" t="s">
        <v>254</v>
      </c>
      <c r="Y119" s="357"/>
      <c r="AA119" s="368"/>
      <c r="AB119" s="386"/>
      <c r="AC119" s="410"/>
      <c r="AD119" s="41"/>
    </row>
    <row r="120" spans="1:30" s="205" customFormat="1" ht="25.5" x14ac:dyDescent="0.2">
      <c r="A120" s="177"/>
      <c r="B120" s="177" t="s">
        <v>144</v>
      </c>
      <c r="C120" s="167" t="s">
        <v>14</v>
      </c>
      <c r="D120" s="264" t="s">
        <v>89</v>
      </c>
      <c r="E120" s="169">
        <v>1</v>
      </c>
      <c r="F120" s="170">
        <v>2600</v>
      </c>
      <c r="G120" s="169">
        <v>12</v>
      </c>
      <c r="H120" s="171">
        <f t="shared" si="109"/>
        <v>31200</v>
      </c>
      <c r="I120" s="316"/>
      <c r="J120" s="323">
        <v>31200</v>
      </c>
      <c r="K120" s="173">
        <f t="shared" si="110"/>
        <v>1</v>
      </c>
      <c r="L120" s="198">
        <f t="shared" si="114"/>
        <v>0</v>
      </c>
      <c r="M120" s="439">
        <v>1</v>
      </c>
      <c r="N120" s="477">
        <v>2600</v>
      </c>
      <c r="O120" s="439">
        <v>12</v>
      </c>
      <c r="P120" s="171">
        <f t="shared" si="115"/>
        <v>31200</v>
      </c>
      <c r="Q120" s="172"/>
      <c r="R120" s="512">
        <v>26000</v>
      </c>
      <c r="S120" s="466">
        <f t="shared" si="111"/>
        <v>0.83333333333333337</v>
      </c>
      <c r="T120" s="198">
        <f t="shared" si="112"/>
        <v>0</v>
      </c>
      <c r="U120" s="174">
        <f t="shared" si="116"/>
        <v>62400</v>
      </c>
      <c r="V120" s="197"/>
      <c r="W120" s="127">
        <f t="shared" si="113"/>
        <v>0</v>
      </c>
      <c r="X120" s="209"/>
      <c r="Y120" s="357"/>
      <c r="AA120" s="368"/>
      <c r="AB120" s="386"/>
      <c r="AC120" s="410"/>
      <c r="AD120" s="41"/>
    </row>
    <row r="121" spans="1:30" s="205" customFormat="1" ht="25.5" x14ac:dyDescent="0.2">
      <c r="A121" s="177"/>
      <c r="B121" s="177" t="s">
        <v>179</v>
      </c>
      <c r="C121" s="167" t="s">
        <v>14</v>
      </c>
      <c r="D121" s="264" t="s">
        <v>89</v>
      </c>
      <c r="E121" s="169">
        <v>1</v>
      </c>
      <c r="F121" s="170">
        <v>1700</v>
      </c>
      <c r="G121" s="169">
        <v>12</v>
      </c>
      <c r="H121" s="171">
        <f t="shared" si="109"/>
        <v>20400</v>
      </c>
      <c r="I121" s="316"/>
      <c r="J121" s="324">
        <v>20400</v>
      </c>
      <c r="K121" s="173">
        <f t="shared" si="110"/>
        <v>1</v>
      </c>
      <c r="L121" s="198">
        <f t="shared" si="114"/>
        <v>0</v>
      </c>
      <c r="M121" s="439">
        <v>1</v>
      </c>
      <c r="N121" s="477">
        <v>1700</v>
      </c>
      <c r="O121" s="439">
        <v>12</v>
      </c>
      <c r="P121" s="171">
        <f t="shared" si="115"/>
        <v>20400</v>
      </c>
      <c r="Q121" s="172"/>
      <c r="R121" s="512">
        <v>17000</v>
      </c>
      <c r="S121" s="466">
        <f t="shared" si="111"/>
        <v>0.83333333333333337</v>
      </c>
      <c r="T121" s="198">
        <f t="shared" si="112"/>
        <v>0</v>
      </c>
      <c r="U121" s="174">
        <f t="shared" si="116"/>
        <v>40800</v>
      </c>
      <c r="V121" s="197"/>
      <c r="W121" s="127">
        <f t="shared" si="113"/>
        <v>0</v>
      </c>
      <c r="X121" s="209"/>
      <c r="Y121" s="357"/>
      <c r="AA121" s="368"/>
      <c r="AB121" s="386"/>
      <c r="AC121" s="410"/>
      <c r="AD121" s="41"/>
    </row>
    <row r="122" spans="1:30" s="267" customFormat="1" ht="25.5" x14ac:dyDescent="0.2">
      <c r="A122" s="177"/>
      <c r="B122" s="177" t="s">
        <v>86</v>
      </c>
      <c r="C122" s="167" t="s">
        <v>14</v>
      </c>
      <c r="D122" s="264" t="s">
        <v>104</v>
      </c>
      <c r="E122" s="178">
        <v>1</v>
      </c>
      <c r="F122" s="170">
        <v>1700</v>
      </c>
      <c r="G122" s="178">
        <v>12</v>
      </c>
      <c r="H122" s="171">
        <f t="shared" si="109"/>
        <v>20400</v>
      </c>
      <c r="I122" s="317"/>
      <c r="J122" s="322">
        <v>20400</v>
      </c>
      <c r="K122" s="173">
        <f t="shared" si="110"/>
        <v>1</v>
      </c>
      <c r="L122" s="198">
        <f t="shared" si="114"/>
        <v>0</v>
      </c>
      <c r="M122" s="496"/>
      <c r="N122" s="497"/>
      <c r="O122" s="496"/>
      <c r="P122" s="171">
        <f t="shared" si="115"/>
        <v>0</v>
      </c>
      <c r="Q122" s="178"/>
      <c r="R122" s="512"/>
      <c r="S122" s="466" t="e">
        <f t="shared" si="111"/>
        <v>#DIV/0!</v>
      </c>
      <c r="T122" s="198">
        <f t="shared" si="112"/>
        <v>0</v>
      </c>
      <c r="U122" s="174">
        <f t="shared" si="116"/>
        <v>20400</v>
      </c>
      <c r="V122" s="178"/>
      <c r="W122" s="127">
        <f t="shared" si="113"/>
        <v>0</v>
      </c>
      <c r="X122" s="264"/>
      <c r="Y122" s="395"/>
      <c r="AA122" s="369"/>
      <c r="AB122" s="387"/>
      <c r="AC122" s="411"/>
      <c r="AD122" s="350"/>
    </row>
    <row r="123" spans="1:30" s="205" customFormat="1" x14ac:dyDescent="0.2">
      <c r="A123" s="177"/>
      <c r="B123" s="738" t="s">
        <v>0</v>
      </c>
      <c r="C123" s="719"/>
      <c r="D123" s="719" t="s">
        <v>0</v>
      </c>
      <c r="E123" s="719"/>
      <c r="F123" s="719"/>
      <c r="G123" s="719"/>
      <c r="H123" s="179">
        <f>SUM(H117:H122)</f>
        <v>168000</v>
      </c>
      <c r="I123" s="179"/>
      <c r="J123" s="179">
        <f>SUM(J117:J122)</f>
        <v>184694</v>
      </c>
      <c r="K123" s="58">
        <f>SUM(J123/H123)</f>
        <v>1.0993690476190476</v>
      </c>
      <c r="L123" s="179">
        <f>SUM(L117:L122)</f>
        <v>0</v>
      </c>
      <c r="M123" s="496"/>
      <c r="N123" s="497"/>
      <c r="O123" s="496"/>
      <c r="P123" s="179">
        <f>SUM(P117:P122)</f>
        <v>147600</v>
      </c>
      <c r="Q123" s="179"/>
      <c r="R123" s="179">
        <f t="shared" ref="R123" si="117">SUM(R117:R122)</f>
        <v>75000</v>
      </c>
      <c r="S123" s="249">
        <f t="shared" si="111"/>
        <v>0.50813008130081305</v>
      </c>
      <c r="T123" s="179"/>
      <c r="U123" s="179">
        <f>SUM(U117:U122)</f>
        <v>315600</v>
      </c>
      <c r="V123" s="248"/>
      <c r="W123" s="179">
        <f>SUM(W117:W122)</f>
        <v>0</v>
      </c>
      <c r="X123" s="250"/>
      <c r="Y123" s="343"/>
      <c r="AA123" s="368"/>
      <c r="AB123" s="386"/>
      <c r="AC123" s="410"/>
      <c r="AD123" s="41"/>
    </row>
    <row r="124" spans="1:30" s="205" customFormat="1" x14ac:dyDescent="0.2">
      <c r="A124" s="258" t="s">
        <v>44</v>
      </c>
      <c r="B124" s="259"/>
      <c r="C124" s="259"/>
      <c r="D124" s="259"/>
      <c r="E124" s="260"/>
      <c r="F124" s="261"/>
      <c r="G124" s="260"/>
      <c r="H124" s="262"/>
      <c r="I124" s="260"/>
      <c r="J124" s="260"/>
      <c r="K124" s="260"/>
      <c r="L124" s="261"/>
      <c r="M124" s="260"/>
      <c r="N124" s="261"/>
      <c r="O124" s="260"/>
      <c r="P124" s="262"/>
      <c r="Q124" s="260"/>
      <c r="R124" s="260"/>
      <c r="S124" s="260"/>
      <c r="T124" s="261"/>
      <c r="U124" s="261"/>
      <c r="V124" s="260"/>
      <c r="W124" s="261"/>
      <c r="X124" s="259"/>
      <c r="Y124" s="343"/>
      <c r="AA124" s="368"/>
      <c r="AB124" s="386"/>
      <c r="AC124" s="410"/>
      <c r="AD124" s="41"/>
    </row>
    <row r="125" spans="1:30" s="205" customFormat="1" ht="38.25" x14ac:dyDescent="0.2">
      <c r="A125" s="177"/>
      <c r="B125" s="177" t="s">
        <v>69</v>
      </c>
      <c r="C125" s="167" t="s">
        <v>17</v>
      </c>
      <c r="D125" s="176" t="s">
        <v>68</v>
      </c>
      <c r="E125" s="169">
        <v>1</v>
      </c>
      <c r="F125" s="174">
        <v>4500</v>
      </c>
      <c r="G125" s="169">
        <v>1</v>
      </c>
      <c r="H125" s="171">
        <f>E125*F125*G125</f>
        <v>4500</v>
      </c>
      <c r="I125" s="317"/>
      <c r="J125" s="325">
        <v>4500</v>
      </c>
      <c r="K125" s="173">
        <f t="shared" si="110"/>
        <v>1</v>
      </c>
      <c r="L125" s="320"/>
      <c r="M125" s="439">
        <v>1</v>
      </c>
      <c r="N125" s="477">
        <v>4500</v>
      </c>
      <c r="O125" s="439">
        <v>1</v>
      </c>
      <c r="P125" s="171">
        <f>M125*N125*O125</f>
        <v>4500</v>
      </c>
      <c r="Q125" s="197"/>
      <c r="R125" s="512"/>
      <c r="S125" s="519">
        <f t="shared" ref="S125:S138" si="118">SUM(R125/P125)</f>
        <v>0</v>
      </c>
      <c r="T125" s="198"/>
      <c r="U125" s="174">
        <f>P125+H125</f>
        <v>9000</v>
      </c>
      <c r="V125" s="197"/>
      <c r="W125" s="174">
        <f t="shared" ref="W125:W138" si="119">U125*V125</f>
        <v>0</v>
      </c>
      <c r="X125" s="209"/>
      <c r="Y125" s="343"/>
      <c r="AA125" s="368"/>
      <c r="AB125" s="386"/>
      <c r="AC125" s="410"/>
      <c r="AD125" s="41"/>
    </row>
    <row r="126" spans="1:30" s="267" customFormat="1" ht="15.75" customHeight="1" x14ac:dyDescent="0.2">
      <c r="A126" s="177"/>
      <c r="B126" s="177" t="s">
        <v>70</v>
      </c>
      <c r="C126" s="167" t="s">
        <v>17</v>
      </c>
      <c r="D126" s="264" t="s">
        <v>68</v>
      </c>
      <c r="E126" s="178">
        <v>1</v>
      </c>
      <c r="F126" s="174">
        <v>6000</v>
      </c>
      <c r="G126" s="178">
        <v>1</v>
      </c>
      <c r="H126" s="171">
        <f>E126*F126*G126</f>
        <v>6000</v>
      </c>
      <c r="I126" s="317"/>
      <c r="J126" s="325">
        <v>6000</v>
      </c>
      <c r="K126" s="173">
        <f t="shared" si="110"/>
        <v>1</v>
      </c>
      <c r="L126" s="320"/>
      <c r="M126" s="496">
        <v>1</v>
      </c>
      <c r="N126" s="497">
        <v>6000</v>
      </c>
      <c r="O126" s="496">
        <v>1</v>
      </c>
      <c r="P126" s="171">
        <f t="shared" ref="P126:P132" si="120">M126*N126*O126</f>
        <v>6000</v>
      </c>
      <c r="Q126" s="178"/>
      <c r="R126" s="512"/>
      <c r="S126" s="519">
        <f t="shared" si="118"/>
        <v>0</v>
      </c>
      <c r="T126" s="198"/>
      <c r="U126" s="174">
        <f t="shared" ref="U126:U132" si="121">P126+H126</f>
        <v>12000</v>
      </c>
      <c r="V126" s="178"/>
      <c r="W126" s="174">
        <f t="shared" si="119"/>
        <v>0</v>
      </c>
      <c r="X126" s="264"/>
      <c r="Y126" s="395"/>
      <c r="AA126" s="369"/>
      <c r="AB126" s="387"/>
      <c r="AC126" s="411"/>
      <c r="AD126" s="350"/>
    </row>
    <row r="127" spans="1:30" s="267" customFormat="1" x14ac:dyDescent="0.2">
      <c r="A127" s="177"/>
      <c r="B127" s="177" t="s">
        <v>74</v>
      </c>
      <c r="C127" s="167" t="s">
        <v>36</v>
      </c>
      <c r="D127" s="264" t="s">
        <v>68</v>
      </c>
      <c r="E127" s="178">
        <v>1</v>
      </c>
      <c r="F127" s="174">
        <v>15000</v>
      </c>
      <c r="G127" s="178">
        <v>1</v>
      </c>
      <c r="H127" s="171">
        <f>E127*F127*G127</f>
        <v>15000</v>
      </c>
      <c r="I127" s="317"/>
      <c r="J127" s="325">
        <v>15000</v>
      </c>
      <c r="K127" s="173">
        <f t="shared" si="110"/>
        <v>1</v>
      </c>
      <c r="L127" s="320"/>
      <c r="M127" s="496">
        <v>1</v>
      </c>
      <c r="N127" s="497">
        <v>10800</v>
      </c>
      <c r="O127" s="496">
        <v>1</v>
      </c>
      <c r="P127" s="171">
        <f t="shared" si="120"/>
        <v>10800</v>
      </c>
      <c r="Q127" s="178"/>
      <c r="R127" s="512">
        <v>3600</v>
      </c>
      <c r="S127" s="519">
        <f t="shared" si="118"/>
        <v>0.33333333333333331</v>
      </c>
      <c r="T127" s="198"/>
      <c r="U127" s="174">
        <f t="shared" si="121"/>
        <v>25800</v>
      </c>
      <c r="V127" s="178"/>
      <c r="W127" s="174">
        <f t="shared" si="119"/>
        <v>0</v>
      </c>
      <c r="X127" s="264"/>
      <c r="Y127" s="395"/>
      <c r="AA127" s="369"/>
      <c r="AB127" s="387"/>
      <c r="AC127" s="411"/>
      <c r="AD127" s="350"/>
    </row>
    <row r="128" spans="1:30" s="267" customFormat="1" ht="14.25" customHeight="1" x14ac:dyDescent="0.2">
      <c r="A128" s="177"/>
      <c r="B128" s="20" t="s">
        <v>200</v>
      </c>
      <c r="C128" s="167"/>
      <c r="D128" s="264" t="s">
        <v>68</v>
      </c>
      <c r="E128" s="178"/>
      <c r="F128" s="174"/>
      <c r="G128" s="178"/>
      <c r="H128" s="171"/>
      <c r="I128" s="317"/>
      <c r="J128" s="325"/>
      <c r="K128" s="173"/>
      <c r="L128" s="320"/>
      <c r="M128" s="496"/>
      <c r="N128" s="497"/>
      <c r="O128" s="496"/>
      <c r="P128" s="171"/>
      <c r="Q128" s="178"/>
      <c r="R128" s="512"/>
      <c r="S128" s="519" t="e">
        <f t="shared" si="118"/>
        <v>#DIV/0!</v>
      </c>
      <c r="T128" s="198"/>
      <c r="U128" s="174"/>
      <c r="V128" s="178"/>
      <c r="W128" s="174">
        <f t="shared" si="119"/>
        <v>0</v>
      </c>
      <c r="X128" s="264"/>
      <c r="Y128" s="395" t="s">
        <v>266</v>
      </c>
      <c r="AA128" s="369"/>
      <c r="AB128" s="387"/>
      <c r="AC128" s="411"/>
      <c r="AD128" s="350"/>
    </row>
    <row r="129" spans="1:30" s="267" customFormat="1" ht="15" customHeight="1" x14ac:dyDescent="0.2">
      <c r="A129" s="177"/>
      <c r="B129" s="177" t="s">
        <v>78</v>
      </c>
      <c r="C129" s="167" t="s">
        <v>30</v>
      </c>
      <c r="D129" s="264" t="s">
        <v>68</v>
      </c>
      <c r="E129" s="178">
        <v>1</v>
      </c>
      <c r="F129" s="174">
        <v>10000</v>
      </c>
      <c r="G129" s="178">
        <v>1</v>
      </c>
      <c r="H129" s="171">
        <f>E129*F129*G129</f>
        <v>10000</v>
      </c>
      <c r="I129" s="317"/>
      <c r="J129" s="325">
        <v>10000</v>
      </c>
      <c r="K129" s="173">
        <f t="shared" si="110"/>
        <v>1</v>
      </c>
      <c r="L129" s="320"/>
      <c r="M129" s="496"/>
      <c r="N129" s="497"/>
      <c r="O129" s="496"/>
      <c r="P129" s="171">
        <f t="shared" si="120"/>
        <v>0</v>
      </c>
      <c r="Q129" s="178"/>
      <c r="R129" s="512"/>
      <c r="S129" s="519" t="e">
        <f t="shared" si="118"/>
        <v>#DIV/0!</v>
      </c>
      <c r="T129" s="198"/>
      <c r="U129" s="174">
        <f t="shared" si="121"/>
        <v>10000</v>
      </c>
      <c r="V129" s="178"/>
      <c r="W129" s="174">
        <f t="shared" si="119"/>
        <v>0</v>
      </c>
      <c r="X129" s="264"/>
      <c r="Y129" s="395"/>
      <c r="AA129" s="369"/>
      <c r="AB129" s="387"/>
      <c r="AC129" s="411"/>
      <c r="AD129" s="350"/>
    </row>
    <row r="130" spans="1:30" s="267" customFormat="1" ht="15" customHeight="1" x14ac:dyDescent="0.2">
      <c r="A130" s="177"/>
      <c r="B130" s="177" t="s">
        <v>145</v>
      </c>
      <c r="C130" s="167" t="s">
        <v>30</v>
      </c>
      <c r="D130" s="264" t="s">
        <v>89</v>
      </c>
      <c r="E130" s="178">
        <v>1</v>
      </c>
      <c r="F130" s="174">
        <v>900</v>
      </c>
      <c r="G130" s="178">
        <v>1</v>
      </c>
      <c r="H130" s="171">
        <f t="shared" ref="H130:H132" si="122">E130*F130*G130</f>
        <v>900</v>
      </c>
      <c r="I130" s="317"/>
      <c r="J130" s="325">
        <v>900</v>
      </c>
      <c r="K130" s="173">
        <f t="shared" si="110"/>
        <v>1</v>
      </c>
      <c r="L130" s="320"/>
      <c r="M130" s="496"/>
      <c r="N130" s="497"/>
      <c r="O130" s="496"/>
      <c r="P130" s="171">
        <f t="shared" si="120"/>
        <v>0</v>
      </c>
      <c r="Q130" s="178"/>
      <c r="R130" s="512"/>
      <c r="S130" s="519" t="e">
        <f t="shared" si="118"/>
        <v>#DIV/0!</v>
      </c>
      <c r="T130" s="198"/>
      <c r="U130" s="174">
        <f t="shared" si="121"/>
        <v>900</v>
      </c>
      <c r="V130" s="178"/>
      <c r="W130" s="174">
        <f t="shared" si="119"/>
        <v>0</v>
      </c>
      <c r="X130" s="264"/>
      <c r="Y130" s="395"/>
      <c r="AA130" s="369"/>
      <c r="AB130" s="387"/>
      <c r="AC130" s="411"/>
      <c r="AD130" s="350"/>
    </row>
    <row r="131" spans="1:30" s="267" customFormat="1" ht="15.75" customHeight="1" x14ac:dyDescent="0.2">
      <c r="A131" s="177"/>
      <c r="B131" s="177" t="s">
        <v>146</v>
      </c>
      <c r="C131" s="167" t="s">
        <v>30</v>
      </c>
      <c r="D131" s="264" t="s">
        <v>89</v>
      </c>
      <c r="E131" s="178">
        <v>1</v>
      </c>
      <c r="F131" s="174">
        <v>1200</v>
      </c>
      <c r="G131" s="178">
        <v>1</v>
      </c>
      <c r="H131" s="171">
        <f t="shared" si="122"/>
        <v>1200</v>
      </c>
      <c r="I131" s="317"/>
      <c r="J131" s="325">
        <v>1200</v>
      </c>
      <c r="K131" s="173">
        <f t="shared" si="110"/>
        <v>1</v>
      </c>
      <c r="L131" s="320"/>
      <c r="M131" s="496"/>
      <c r="N131" s="497"/>
      <c r="O131" s="496"/>
      <c r="P131" s="171">
        <f t="shared" si="120"/>
        <v>0</v>
      </c>
      <c r="Q131" s="178"/>
      <c r="R131" s="512"/>
      <c r="S131" s="519" t="e">
        <f t="shared" si="118"/>
        <v>#DIV/0!</v>
      </c>
      <c r="T131" s="198"/>
      <c r="U131" s="174">
        <f t="shared" si="121"/>
        <v>1200</v>
      </c>
      <c r="V131" s="178"/>
      <c r="W131" s="174">
        <f t="shared" si="119"/>
        <v>0</v>
      </c>
      <c r="X131" s="264"/>
      <c r="Y131" s="395"/>
      <c r="AA131" s="369"/>
      <c r="AB131" s="387"/>
      <c r="AC131" s="411"/>
      <c r="AD131" s="350"/>
    </row>
    <row r="132" spans="1:30" s="267" customFormat="1" ht="15" customHeight="1" x14ac:dyDescent="0.2">
      <c r="A132" s="177"/>
      <c r="B132" s="177" t="s">
        <v>147</v>
      </c>
      <c r="C132" s="167" t="s">
        <v>30</v>
      </c>
      <c r="D132" s="264" t="s">
        <v>89</v>
      </c>
      <c r="E132" s="178">
        <v>1</v>
      </c>
      <c r="F132" s="174">
        <v>0</v>
      </c>
      <c r="G132" s="178">
        <v>1</v>
      </c>
      <c r="H132" s="171">
        <f t="shared" si="122"/>
        <v>0</v>
      </c>
      <c r="I132" s="317"/>
      <c r="J132" s="325"/>
      <c r="K132" s="173"/>
      <c r="L132" s="320"/>
      <c r="M132" s="439"/>
      <c r="N132" s="477"/>
      <c r="O132" s="439"/>
      <c r="P132" s="171">
        <f t="shared" si="120"/>
        <v>0</v>
      </c>
      <c r="Q132" s="178"/>
      <c r="R132" s="512"/>
      <c r="S132" s="519" t="e">
        <f t="shared" si="118"/>
        <v>#DIV/0!</v>
      </c>
      <c r="T132" s="198"/>
      <c r="U132" s="174">
        <f t="shared" si="121"/>
        <v>0</v>
      </c>
      <c r="V132" s="178"/>
      <c r="W132" s="174">
        <f t="shared" si="119"/>
        <v>0</v>
      </c>
      <c r="X132" s="264"/>
      <c r="Y132" s="395"/>
      <c r="AA132" s="369"/>
      <c r="AB132" s="387"/>
      <c r="AC132" s="411"/>
      <c r="AD132" s="350"/>
    </row>
    <row r="133" spans="1:30" s="205" customFormat="1" ht="18.75" customHeight="1" x14ac:dyDescent="0.2">
      <c r="A133" s="177"/>
      <c r="B133" s="177" t="s">
        <v>108</v>
      </c>
      <c r="C133" s="167" t="s">
        <v>17</v>
      </c>
      <c r="D133" s="176" t="s">
        <v>89</v>
      </c>
      <c r="E133" s="169">
        <v>1</v>
      </c>
      <c r="F133" s="170">
        <v>3000</v>
      </c>
      <c r="G133" s="169">
        <v>1</v>
      </c>
      <c r="H133" s="171">
        <f t="shared" ref="H133:H138" si="123">E133*F133*G133</f>
        <v>3000</v>
      </c>
      <c r="I133" s="319"/>
      <c r="J133" s="326">
        <v>3000</v>
      </c>
      <c r="K133" s="173">
        <f t="shared" si="110"/>
        <v>1</v>
      </c>
      <c r="L133" s="321"/>
      <c r="M133" s="439">
        <v>1</v>
      </c>
      <c r="N133" s="477">
        <v>2950</v>
      </c>
      <c r="O133" s="439">
        <v>1</v>
      </c>
      <c r="P133" s="171">
        <f t="shared" ref="P133:P138" si="124">SUM(N133*M133*O133)</f>
        <v>2950</v>
      </c>
      <c r="Q133" s="197"/>
      <c r="R133" s="512"/>
      <c r="S133" s="519">
        <f t="shared" si="118"/>
        <v>0</v>
      </c>
      <c r="T133" s="174"/>
      <c r="U133" s="174">
        <f t="shared" ref="U133:U138" si="125">P133+H133</f>
        <v>5950</v>
      </c>
      <c r="V133" s="197"/>
      <c r="W133" s="174">
        <f t="shared" si="119"/>
        <v>0</v>
      </c>
      <c r="X133" s="209"/>
      <c r="Y133" s="343"/>
      <c r="AA133" s="368"/>
      <c r="AB133" s="386"/>
      <c r="AC133" s="410"/>
      <c r="AD133" s="41"/>
    </row>
    <row r="134" spans="1:30" s="205" customFormat="1" ht="18.75" customHeight="1" x14ac:dyDescent="0.2">
      <c r="A134" s="177"/>
      <c r="B134" s="177" t="s">
        <v>151</v>
      </c>
      <c r="C134" s="167" t="s">
        <v>15</v>
      </c>
      <c r="D134" s="264" t="s">
        <v>89</v>
      </c>
      <c r="E134" s="178">
        <v>2</v>
      </c>
      <c r="F134" s="198">
        <v>400</v>
      </c>
      <c r="G134" s="178">
        <v>12</v>
      </c>
      <c r="H134" s="171">
        <f t="shared" si="123"/>
        <v>9600</v>
      </c>
      <c r="I134" s="317"/>
      <c r="J134" s="325">
        <v>9600</v>
      </c>
      <c r="K134" s="173">
        <f t="shared" si="110"/>
        <v>1</v>
      </c>
      <c r="L134" s="320"/>
      <c r="M134" s="496">
        <v>2</v>
      </c>
      <c r="N134" s="497">
        <v>400</v>
      </c>
      <c r="O134" s="496">
        <v>12</v>
      </c>
      <c r="P134" s="171">
        <f t="shared" si="124"/>
        <v>9600</v>
      </c>
      <c r="Q134" s="178"/>
      <c r="R134" s="512">
        <v>1200</v>
      </c>
      <c r="S134" s="519">
        <f t="shared" si="118"/>
        <v>0.125</v>
      </c>
      <c r="T134" s="198"/>
      <c r="U134" s="174">
        <f t="shared" si="125"/>
        <v>19200</v>
      </c>
      <c r="V134" s="178"/>
      <c r="W134" s="174">
        <f t="shared" si="119"/>
        <v>0</v>
      </c>
      <c r="X134" s="264"/>
      <c r="Y134" s="343"/>
      <c r="AA134" s="368"/>
      <c r="AB134" s="386"/>
      <c r="AC134" s="410"/>
      <c r="AD134" s="41"/>
    </row>
    <row r="135" spans="1:30" s="205" customFormat="1" ht="21.75" customHeight="1" x14ac:dyDescent="0.2">
      <c r="A135" s="177"/>
      <c r="B135" s="177" t="s">
        <v>152</v>
      </c>
      <c r="C135" s="167" t="s">
        <v>17</v>
      </c>
      <c r="D135" s="264" t="s">
        <v>89</v>
      </c>
      <c r="E135" s="178">
        <v>1</v>
      </c>
      <c r="F135" s="198">
        <v>1400</v>
      </c>
      <c r="G135" s="178">
        <v>1</v>
      </c>
      <c r="H135" s="171">
        <f t="shared" si="123"/>
        <v>1400</v>
      </c>
      <c r="I135" s="317"/>
      <c r="J135" s="325">
        <v>1396</v>
      </c>
      <c r="K135" s="173">
        <f t="shared" si="110"/>
        <v>0.99714285714285711</v>
      </c>
      <c r="L135" s="320"/>
      <c r="M135" s="496">
        <v>1</v>
      </c>
      <c r="N135" s="497">
        <v>1400</v>
      </c>
      <c r="O135" s="496">
        <v>1</v>
      </c>
      <c r="P135" s="171">
        <f t="shared" si="124"/>
        <v>1400</v>
      </c>
      <c r="Q135" s="178"/>
      <c r="R135" s="512"/>
      <c r="S135" s="519">
        <f t="shared" si="118"/>
        <v>0</v>
      </c>
      <c r="T135" s="198"/>
      <c r="U135" s="174">
        <f t="shared" si="125"/>
        <v>2800</v>
      </c>
      <c r="V135" s="178"/>
      <c r="W135" s="174">
        <f t="shared" si="119"/>
        <v>0</v>
      </c>
      <c r="X135" s="264"/>
      <c r="Y135" s="343"/>
      <c r="AA135" s="368"/>
      <c r="AB135" s="386"/>
      <c r="AC135" s="410"/>
      <c r="AD135" s="41"/>
    </row>
    <row r="136" spans="1:30" s="205" customFormat="1" ht="21.75" customHeight="1" x14ac:dyDescent="0.2">
      <c r="A136" s="177"/>
      <c r="B136" s="177" t="s">
        <v>111</v>
      </c>
      <c r="C136" s="167" t="s">
        <v>17</v>
      </c>
      <c r="D136" s="264" t="s">
        <v>104</v>
      </c>
      <c r="E136" s="178">
        <v>1</v>
      </c>
      <c r="F136" s="198">
        <v>2500</v>
      </c>
      <c r="G136" s="178">
        <v>12</v>
      </c>
      <c r="H136" s="171">
        <f t="shared" si="123"/>
        <v>30000</v>
      </c>
      <c r="I136" s="317"/>
      <c r="J136" s="327">
        <v>30000</v>
      </c>
      <c r="K136" s="173">
        <f t="shared" si="110"/>
        <v>1</v>
      </c>
      <c r="L136" s="320"/>
      <c r="M136" s="496">
        <v>0</v>
      </c>
      <c r="N136" s="497">
        <v>0</v>
      </c>
      <c r="O136" s="496">
        <v>0</v>
      </c>
      <c r="P136" s="171">
        <f t="shared" si="124"/>
        <v>0</v>
      </c>
      <c r="Q136" s="178"/>
      <c r="R136" s="512"/>
      <c r="S136" s="519" t="e">
        <f t="shared" si="118"/>
        <v>#DIV/0!</v>
      </c>
      <c r="T136" s="198"/>
      <c r="U136" s="174">
        <f t="shared" si="125"/>
        <v>30000</v>
      </c>
      <c r="V136" s="178"/>
      <c r="W136" s="174">
        <f t="shared" si="119"/>
        <v>0</v>
      </c>
      <c r="X136" s="264"/>
      <c r="Y136" s="343"/>
      <c r="AA136" s="368"/>
      <c r="AB136" s="386"/>
      <c r="AC136" s="410"/>
      <c r="AD136" s="41"/>
    </row>
    <row r="137" spans="1:30" s="205" customFormat="1" ht="21" customHeight="1" x14ac:dyDescent="0.2">
      <c r="A137" s="177"/>
      <c r="B137" s="177" t="s">
        <v>180</v>
      </c>
      <c r="C137" s="167" t="s">
        <v>17</v>
      </c>
      <c r="D137" s="176" t="s">
        <v>89</v>
      </c>
      <c r="E137" s="169">
        <v>1</v>
      </c>
      <c r="F137" s="170">
        <v>500</v>
      </c>
      <c r="G137" s="169">
        <v>12</v>
      </c>
      <c r="H137" s="171">
        <f t="shared" si="123"/>
        <v>6000</v>
      </c>
      <c r="I137" s="319"/>
      <c r="J137" s="326">
        <v>6000</v>
      </c>
      <c r="K137" s="173">
        <f t="shared" si="110"/>
        <v>1</v>
      </c>
      <c r="L137" s="321"/>
      <c r="M137" s="439">
        <v>1</v>
      </c>
      <c r="N137" s="477">
        <v>500</v>
      </c>
      <c r="O137" s="439">
        <v>12</v>
      </c>
      <c r="P137" s="171">
        <f t="shared" si="124"/>
        <v>6000</v>
      </c>
      <c r="Q137" s="197"/>
      <c r="R137" s="512">
        <v>6000</v>
      </c>
      <c r="S137" s="519">
        <f t="shared" si="118"/>
        <v>1</v>
      </c>
      <c r="T137" s="174"/>
      <c r="U137" s="174">
        <f t="shared" si="125"/>
        <v>12000</v>
      </c>
      <c r="V137" s="197"/>
      <c r="W137" s="174">
        <f t="shared" si="119"/>
        <v>0</v>
      </c>
      <c r="X137" s="209"/>
      <c r="Y137" s="343"/>
      <c r="AA137" s="368"/>
      <c r="AB137" s="386"/>
      <c r="AC137" s="410"/>
      <c r="AD137" s="41"/>
    </row>
    <row r="138" spans="1:30" s="205" customFormat="1" ht="25.5" x14ac:dyDescent="0.2">
      <c r="A138" s="177"/>
      <c r="B138" s="177" t="s">
        <v>109</v>
      </c>
      <c r="C138" s="167" t="s">
        <v>30</v>
      </c>
      <c r="D138" s="264" t="s">
        <v>89</v>
      </c>
      <c r="E138" s="178">
        <v>2</v>
      </c>
      <c r="F138" s="198">
        <v>1500</v>
      </c>
      <c r="G138" s="178">
        <v>1</v>
      </c>
      <c r="H138" s="171">
        <f t="shared" si="123"/>
        <v>3000</v>
      </c>
      <c r="I138" s="317"/>
      <c r="J138" s="325">
        <v>3000</v>
      </c>
      <c r="K138" s="173">
        <f t="shared" si="110"/>
        <v>1</v>
      </c>
      <c r="L138" s="320"/>
      <c r="M138" s="496">
        <v>1</v>
      </c>
      <c r="N138" s="497">
        <v>0</v>
      </c>
      <c r="O138" s="496">
        <v>0</v>
      </c>
      <c r="P138" s="171">
        <f t="shared" si="124"/>
        <v>0</v>
      </c>
      <c r="Q138" s="178"/>
      <c r="R138" s="512"/>
      <c r="S138" s="519" t="e">
        <f t="shared" si="118"/>
        <v>#DIV/0!</v>
      </c>
      <c r="T138" s="198"/>
      <c r="U138" s="174">
        <f t="shared" si="125"/>
        <v>3000</v>
      </c>
      <c r="V138" s="178"/>
      <c r="W138" s="174">
        <f t="shared" si="119"/>
        <v>0</v>
      </c>
      <c r="X138" s="264"/>
      <c r="Y138" s="343"/>
      <c r="AA138" s="368"/>
      <c r="AB138" s="386"/>
      <c r="AC138" s="410"/>
      <c r="AD138" s="41"/>
    </row>
    <row r="139" spans="1:30" s="205" customFormat="1" x14ac:dyDescent="0.2">
      <c r="A139" s="177"/>
      <c r="B139" s="719"/>
      <c r="C139" s="719"/>
      <c r="D139" s="719" t="s">
        <v>0</v>
      </c>
      <c r="E139" s="719"/>
      <c r="F139" s="719"/>
      <c r="G139" s="719"/>
      <c r="H139" s="179">
        <f>SUM(H125:H138)</f>
        <v>90600</v>
      </c>
      <c r="I139" s="179">
        <f>SUM(I125:I138)</f>
        <v>0</v>
      </c>
      <c r="J139" s="179">
        <f>SUM(J125:J138)</f>
        <v>90596</v>
      </c>
      <c r="K139" s="181">
        <f>SUM(J139/H139)</f>
        <v>0.99995584988962471</v>
      </c>
      <c r="L139" s="179"/>
      <c r="M139" s="248"/>
      <c r="N139" s="179"/>
      <c r="O139" s="248"/>
      <c r="P139" s="179">
        <f>SUM(P125:P138)</f>
        <v>41250</v>
      </c>
      <c r="Q139" s="249"/>
      <c r="R139" s="520">
        <f>SUM(R125:R138)</f>
        <v>10800</v>
      </c>
      <c r="S139" s="249"/>
      <c r="T139" s="179"/>
      <c r="U139" s="179">
        <f>SUM(U125:U138)</f>
        <v>131850</v>
      </c>
      <c r="V139" s="248"/>
      <c r="W139" s="179">
        <f>SUM(W125:W138)</f>
        <v>0</v>
      </c>
      <c r="X139" s="250"/>
      <c r="Y139" s="343"/>
      <c r="AA139" s="368"/>
      <c r="AB139" s="386"/>
      <c r="AC139" s="410"/>
      <c r="AD139" s="41"/>
    </row>
    <row r="140" spans="1:30" s="205" customFormat="1" x14ac:dyDescent="0.2">
      <c r="A140" s="258" t="s">
        <v>45</v>
      </c>
      <c r="B140" s="259"/>
      <c r="C140" s="259"/>
      <c r="D140" s="259"/>
      <c r="E140" s="260"/>
      <c r="F140" s="261"/>
      <c r="G140" s="260"/>
      <c r="H140" s="262"/>
      <c r="I140" s="260"/>
      <c r="J140" s="260"/>
      <c r="K140" s="261"/>
      <c r="L140" s="261"/>
      <c r="M140" s="260"/>
      <c r="N140" s="261"/>
      <c r="O140" s="260"/>
      <c r="P140" s="262"/>
      <c r="Q140" s="260"/>
      <c r="R140" s="521"/>
      <c r="S140" s="260"/>
      <c r="T140" s="261"/>
      <c r="U140" s="261"/>
      <c r="V140" s="260"/>
      <c r="W140" s="261"/>
      <c r="X140" s="259"/>
      <c r="Y140" s="343"/>
      <c r="AA140" s="368"/>
      <c r="AB140" s="386"/>
      <c r="AC140" s="410"/>
      <c r="AD140" s="41"/>
    </row>
    <row r="141" spans="1:30" s="205" customFormat="1" x14ac:dyDescent="0.2">
      <c r="A141" s="177"/>
      <c r="B141" s="177" t="s">
        <v>72</v>
      </c>
      <c r="C141" s="167" t="s">
        <v>30</v>
      </c>
      <c r="D141" s="264" t="s">
        <v>68</v>
      </c>
      <c r="E141" s="178">
        <v>1</v>
      </c>
      <c r="F141" s="174">
        <v>5000</v>
      </c>
      <c r="G141" s="178">
        <v>1</v>
      </c>
      <c r="H141" s="171">
        <f>E141*F141*G141</f>
        <v>5000</v>
      </c>
      <c r="I141" s="319"/>
      <c r="J141" s="330">
        <v>3497</v>
      </c>
      <c r="K141" s="173">
        <f t="shared" si="110"/>
        <v>0.69940000000000002</v>
      </c>
      <c r="L141" s="321"/>
      <c r="M141" s="169"/>
      <c r="N141" s="174"/>
      <c r="O141" s="175"/>
      <c r="P141" s="171">
        <f>M141*N141*O141</f>
        <v>0</v>
      </c>
      <c r="Q141" s="197"/>
      <c r="R141" s="512"/>
      <c r="S141" s="519" t="e">
        <f t="shared" ref="S141:S180" si="126">SUM(R141/P141)</f>
        <v>#DIV/0!</v>
      </c>
      <c r="T141" s="174"/>
      <c r="U141" s="174">
        <f>P141+H141</f>
        <v>5000</v>
      </c>
      <c r="V141" s="268"/>
      <c r="W141" s="174">
        <f t="shared" ref="W141:W146" si="127">U141*V141</f>
        <v>0</v>
      </c>
      <c r="X141" s="176"/>
      <c r="Y141" s="357"/>
      <c r="AA141" s="368"/>
      <c r="AB141" s="386"/>
      <c r="AC141" s="410"/>
      <c r="AD141" s="41"/>
    </row>
    <row r="142" spans="1:30" s="205" customFormat="1" ht="38.25" x14ac:dyDescent="0.2">
      <c r="A142" s="177"/>
      <c r="B142" s="177" t="s">
        <v>73</v>
      </c>
      <c r="C142" s="167" t="s">
        <v>30</v>
      </c>
      <c r="D142" s="264" t="s">
        <v>68</v>
      </c>
      <c r="E142" s="178">
        <v>3</v>
      </c>
      <c r="F142" s="174">
        <v>800</v>
      </c>
      <c r="G142" s="178">
        <v>1</v>
      </c>
      <c r="H142" s="171">
        <f>E142*F142*G142</f>
        <v>2400</v>
      </c>
      <c r="I142" s="319"/>
      <c r="J142" s="330">
        <v>4050</v>
      </c>
      <c r="K142" s="97">
        <f t="shared" si="110"/>
        <v>1.6875</v>
      </c>
      <c r="L142" s="321"/>
      <c r="M142" s="439"/>
      <c r="N142" s="443"/>
      <c r="O142" s="444"/>
      <c r="P142" s="171">
        <f t="shared" ref="P142:P145" si="128">M142*N142*O142</f>
        <v>0</v>
      </c>
      <c r="Q142" s="197"/>
      <c r="R142" s="512"/>
      <c r="S142" s="519" t="e">
        <f t="shared" si="126"/>
        <v>#DIV/0!</v>
      </c>
      <c r="T142" s="174"/>
      <c r="U142" s="174">
        <f t="shared" ref="U142:U145" si="129">P142+H142</f>
        <v>2400</v>
      </c>
      <c r="V142" s="268"/>
      <c r="W142" s="174">
        <f t="shared" si="127"/>
        <v>0</v>
      </c>
      <c r="X142" s="176" t="s">
        <v>255</v>
      </c>
      <c r="Y142" s="343"/>
      <c r="AA142" s="368"/>
      <c r="AB142" s="386"/>
      <c r="AC142" s="410"/>
      <c r="AD142" s="41"/>
    </row>
    <row r="143" spans="1:30" s="205" customFormat="1" x14ac:dyDescent="0.2">
      <c r="A143" s="177"/>
      <c r="B143" s="20" t="s">
        <v>199</v>
      </c>
      <c r="C143" s="167"/>
      <c r="D143" s="264" t="s">
        <v>68</v>
      </c>
      <c r="E143" s="178"/>
      <c r="F143" s="174"/>
      <c r="G143" s="178"/>
      <c r="H143" s="171"/>
      <c r="I143" s="319"/>
      <c r="J143" s="331"/>
      <c r="K143" s="173"/>
      <c r="L143" s="321"/>
      <c r="M143" s="439"/>
      <c r="N143" s="443"/>
      <c r="O143" s="444"/>
      <c r="P143" s="171"/>
      <c r="Q143" s="197"/>
      <c r="R143" s="512"/>
      <c r="S143" s="519" t="e">
        <f t="shared" si="126"/>
        <v>#DIV/0!</v>
      </c>
      <c r="T143" s="174"/>
      <c r="U143" s="174"/>
      <c r="V143" s="268"/>
      <c r="W143" s="174">
        <f t="shared" si="127"/>
        <v>0</v>
      </c>
      <c r="X143" s="209"/>
      <c r="Y143" s="395" t="s">
        <v>266</v>
      </c>
      <c r="AA143" s="368"/>
      <c r="AB143" s="386"/>
      <c r="AC143" s="410"/>
      <c r="AD143" s="41"/>
    </row>
    <row r="144" spans="1:30" s="205" customFormat="1" x14ac:dyDescent="0.2">
      <c r="A144" s="177"/>
      <c r="B144" s="177" t="s">
        <v>77</v>
      </c>
      <c r="C144" s="167" t="s">
        <v>30</v>
      </c>
      <c r="D144" s="264" t="s">
        <v>68</v>
      </c>
      <c r="E144" s="178">
        <v>1</v>
      </c>
      <c r="F144" s="174">
        <v>2000</v>
      </c>
      <c r="G144" s="178">
        <v>1</v>
      </c>
      <c r="H144" s="171">
        <f>E144*F144*G144</f>
        <v>2000</v>
      </c>
      <c r="I144" s="319"/>
      <c r="J144" s="331">
        <v>1850</v>
      </c>
      <c r="K144" s="173">
        <f t="shared" si="110"/>
        <v>0.92500000000000004</v>
      </c>
      <c r="L144" s="321"/>
      <c r="M144" s="439"/>
      <c r="N144" s="443"/>
      <c r="O144" s="444"/>
      <c r="P144" s="171">
        <f t="shared" si="128"/>
        <v>0</v>
      </c>
      <c r="Q144" s="197"/>
      <c r="R144" s="512"/>
      <c r="S144" s="519" t="e">
        <f t="shared" si="126"/>
        <v>#DIV/0!</v>
      </c>
      <c r="T144" s="174"/>
      <c r="U144" s="174">
        <f t="shared" si="129"/>
        <v>2000</v>
      </c>
      <c r="V144" s="268"/>
      <c r="W144" s="174">
        <f t="shared" si="127"/>
        <v>0</v>
      </c>
      <c r="X144" s="209"/>
      <c r="Y144" s="343"/>
      <c r="AA144" s="368"/>
      <c r="AB144" s="386"/>
      <c r="AC144" s="410"/>
      <c r="AD144" s="41"/>
    </row>
    <row r="145" spans="1:30" s="267" customFormat="1" x14ac:dyDescent="0.2">
      <c r="A145" s="177"/>
      <c r="B145" s="177" t="s">
        <v>111</v>
      </c>
      <c r="C145" s="167" t="s">
        <v>30</v>
      </c>
      <c r="D145" s="264" t="s">
        <v>104</v>
      </c>
      <c r="E145" s="178">
        <v>1</v>
      </c>
      <c r="F145" s="174">
        <v>0</v>
      </c>
      <c r="G145" s="178">
        <v>12</v>
      </c>
      <c r="H145" s="171">
        <f t="shared" ref="H145" si="130">E145*F145*G145</f>
        <v>0</v>
      </c>
      <c r="I145" s="317"/>
      <c r="J145" s="330"/>
      <c r="K145" s="173"/>
      <c r="L145" s="320"/>
      <c r="M145" s="498"/>
      <c r="N145" s="499"/>
      <c r="O145" s="498"/>
      <c r="P145" s="171">
        <f t="shared" si="128"/>
        <v>0</v>
      </c>
      <c r="Q145" s="178"/>
      <c r="R145" s="512"/>
      <c r="S145" s="519" t="e">
        <f t="shared" si="126"/>
        <v>#DIV/0!</v>
      </c>
      <c r="T145" s="198"/>
      <c r="U145" s="174">
        <f t="shared" si="129"/>
        <v>0</v>
      </c>
      <c r="V145" s="178"/>
      <c r="W145" s="174">
        <f t="shared" si="127"/>
        <v>0</v>
      </c>
      <c r="X145" s="264"/>
      <c r="Y145" s="395"/>
      <c r="AA145" s="369"/>
      <c r="AB145" s="387"/>
      <c r="AC145" s="411"/>
      <c r="AD145" s="350"/>
    </row>
    <row r="146" spans="1:30" s="267" customFormat="1" x14ac:dyDescent="0.2">
      <c r="A146" s="177"/>
      <c r="B146" s="177" t="s">
        <v>150</v>
      </c>
      <c r="C146" s="167" t="s">
        <v>30</v>
      </c>
      <c r="D146" s="176" t="s">
        <v>89</v>
      </c>
      <c r="E146" s="169">
        <v>1</v>
      </c>
      <c r="F146" s="170">
        <v>1000</v>
      </c>
      <c r="G146" s="169">
        <v>1</v>
      </c>
      <c r="H146" s="171">
        <f>E146*F146*G146</f>
        <v>1000</v>
      </c>
      <c r="I146" s="319"/>
      <c r="J146" s="331">
        <v>1000</v>
      </c>
      <c r="K146" s="173">
        <f t="shared" si="110"/>
        <v>1</v>
      </c>
      <c r="L146" s="321"/>
      <c r="M146" s="439">
        <v>1</v>
      </c>
      <c r="N146" s="477">
        <v>0</v>
      </c>
      <c r="O146" s="439">
        <v>0</v>
      </c>
      <c r="P146" s="171">
        <f>SUM(N146*M146*O146)</f>
        <v>0</v>
      </c>
      <c r="Q146" s="197"/>
      <c r="R146" s="512"/>
      <c r="S146" s="519" t="e">
        <f t="shared" si="126"/>
        <v>#DIV/0!</v>
      </c>
      <c r="T146" s="174"/>
      <c r="U146" s="174">
        <f>P146+H146</f>
        <v>1000</v>
      </c>
      <c r="V146" s="197"/>
      <c r="W146" s="174">
        <f t="shared" si="127"/>
        <v>0</v>
      </c>
      <c r="X146" s="209"/>
      <c r="Y146" s="395"/>
      <c r="AA146" s="369"/>
      <c r="AB146" s="387"/>
      <c r="AC146" s="411"/>
      <c r="AD146" s="350"/>
    </row>
    <row r="147" spans="1:30" s="205" customFormat="1" x14ac:dyDescent="0.2">
      <c r="A147" s="177"/>
      <c r="B147" s="719"/>
      <c r="C147" s="719"/>
      <c r="D147" s="719" t="s">
        <v>0</v>
      </c>
      <c r="E147" s="719"/>
      <c r="F147" s="719"/>
      <c r="G147" s="719"/>
      <c r="H147" s="179">
        <f>SUM(H141:H146)</f>
        <v>10400</v>
      </c>
      <c r="I147" s="179">
        <f>SUM(I141:I146)</f>
        <v>0</v>
      </c>
      <c r="J147" s="179">
        <f>SUM(J141:J146)</f>
        <v>10397</v>
      </c>
      <c r="K147" s="181">
        <f>SUM(J147/H147)</f>
        <v>0.99971153846153848</v>
      </c>
      <c r="L147" s="179"/>
      <c r="M147" s="248"/>
      <c r="N147" s="179"/>
      <c r="O147" s="248"/>
      <c r="P147" s="179">
        <f>SUM(P141:P146)</f>
        <v>0</v>
      </c>
      <c r="Q147" s="179"/>
      <c r="R147" s="179">
        <f>SUM(R141:R146)</f>
        <v>0</v>
      </c>
      <c r="S147" s="536" t="e">
        <f t="shared" si="126"/>
        <v>#DIV/0!</v>
      </c>
      <c r="T147" s="179">
        <f>SUM(T141:T144)</f>
        <v>0</v>
      </c>
      <c r="U147" s="179">
        <f>SUM(U141:U146)</f>
        <v>10400</v>
      </c>
      <c r="V147" s="248"/>
      <c r="W147" s="179">
        <f>SUM(W141:W146)</f>
        <v>0</v>
      </c>
      <c r="X147" s="250"/>
      <c r="Y147" s="343"/>
      <c r="AA147" s="368"/>
      <c r="AB147" s="386"/>
      <c r="AC147" s="410"/>
      <c r="AD147" s="41"/>
    </row>
    <row r="148" spans="1:30" s="205" customFormat="1" x14ac:dyDescent="0.2">
      <c r="A148" s="258" t="s">
        <v>46</v>
      </c>
      <c r="B148" s="259"/>
      <c r="C148" s="259"/>
      <c r="D148" s="259"/>
      <c r="E148" s="260"/>
      <c r="F148" s="261"/>
      <c r="G148" s="260"/>
      <c r="H148" s="262"/>
      <c r="I148" s="260"/>
      <c r="J148" s="260"/>
      <c r="K148" s="261"/>
      <c r="L148" s="261"/>
      <c r="M148" s="260"/>
      <c r="N148" s="261"/>
      <c r="O148" s="260"/>
      <c r="P148" s="262"/>
      <c r="Q148" s="260"/>
      <c r="R148" s="521"/>
      <c r="S148" s="261"/>
      <c r="T148" s="261"/>
      <c r="U148" s="261"/>
      <c r="V148" s="260"/>
      <c r="W148" s="261"/>
      <c r="X148" s="259"/>
      <c r="Y148" s="343"/>
      <c r="AA148" s="368"/>
      <c r="AB148" s="386"/>
      <c r="AC148" s="410"/>
      <c r="AD148" s="41"/>
    </row>
    <row r="149" spans="1:30" s="205" customFormat="1" ht="25.5" x14ac:dyDescent="0.2">
      <c r="A149" s="177"/>
      <c r="B149" s="177" t="s">
        <v>76</v>
      </c>
      <c r="C149" s="167" t="s">
        <v>36</v>
      </c>
      <c r="D149" s="176" t="s">
        <v>68</v>
      </c>
      <c r="E149" s="169">
        <v>1</v>
      </c>
      <c r="F149" s="170">
        <v>1500</v>
      </c>
      <c r="G149" s="169">
        <v>12</v>
      </c>
      <c r="H149" s="171">
        <f>E149*F149*G149</f>
        <v>18000</v>
      </c>
      <c r="I149" s="317"/>
      <c r="J149" s="330">
        <v>18000</v>
      </c>
      <c r="K149" s="173">
        <f t="shared" si="110"/>
        <v>1</v>
      </c>
      <c r="L149" s="320"/>
      <c r="M149" s="439">
        <v>1</v>
      </c>
      <c r="N149" s="477">
        <v>1500</v>
      </c>
      <c r="O149" s="439">
        <v>12</v>
      </c>
      <c r="P149" s="171">
        <f>M149*N149*O149</f>
        <v>18000</v>
      </c>
      <c r="Q149" s="197"/>
      <c r="R149" s="512">
        <v>6000</v>
      </c>
      <c r="S149" s="519">
        <f t="shared" si="126"/>
        <v>0.33333333333333331</v>
      </c>
      <c r="T149" s="174"/>
      <c r="U149" s="174">
        <f t="shared" ref="U149" si="131">P149+H149</f>
        <v>36000</v>
      </c>
      <c r="V149" s="197"/>
      <c r="W149" s="174">
        <f t="shared" ref="W149:W153" si="132">U149*V149</f>
        <v>0</v>
      </c>
      <c r="X149" s="209"/>
      <c r="Y149" s="343"/>
      <c r="AA149" s="368"/>
      <c r="AB149" s="386"/>
      <c r="AC149" s="410"/>
      <c r="AD149" s="41"/>
    </row>
    <row r="150" spans="1:30" s="205" customFormat="1" ht="25.5" x14ac:dyDescent="0.2">
      <c r="A150" s="177"/>
      <c r="B150" s="177" t="s">
        <v>75</v>
      </c>
      <c r="C150" s="167" t="s">
        <v>36</v>
      </c>
      <c r="D150" s="176" t="s">
        <v>68</v>
      </c>
      <c r="E150" s="169">
        <v>1</v>
      </c>
      <c r="F150" s="170">
        <v>1000</v>
      </c>
      <c r="G150" s="169">
        <v>12</v>
      </c>
      <c r="H150" s="171">
        <f>E150*F150*G150</f>
        <v>12000</v>
      </c>
      <c r="I150" s="317"/>
      <c r="J150" s="330">
        <v>12000</v>
      </c>
      <c r="K150" s="173">
        <f t="shared" si="110"/>
        <v>1</v>
      </c>
      <c r="L150" s="320"/>
      <c r="M150" s="439">
        <v>1</v>
      </c>
      <c r="N150" s="477">
        <v>1000</v>
      </c>
      <c r="O150" s="439">
        <v>12</v>
      </c>
      <c r="P150" s="171">
        <f>M150*N150*O150</f>
        <v>12000</v>
      </c>
      <c r="Q150" s="197"/>
      <c r="R150" s="512">
        <v>4000</v>
      </c>
      <c r="S150" s="519">
        <f t="shared" si="126"/>
        <v>0.33333333333333331</v>
      </c>
      <c r="T150" s="174"/>
      <c r="U150" s="174">
        <f>P150+H150</f>
        <v>24000</v>
      </c>
      <c r="V150" s="197"/>
      <c r="W150" s="174">
        <f t="shared" si="132"/>
        <v>0</v>
      </c>
      <c r="X150" s="209"/>
      <c r="Y150" s="343"/>
      <c r="AA150" s="368"/>
      <c r="AB150" s="386"/>
      <c r="AC150" s="410"/>
      <c r="AD150" s="41"/>
    </row>
    <row r="151" spans="1:30" s="205" customFormat="1" ht="25.5" x14ac:dyDescent="0.2">
      <c r="A151" s="177"/>
      <c r="B151" s="20" t="s">
        <v>202</v>
      </c>
      <c r="C151" s="167"/>
      <c r="D151" s="176" t="s">
        <v>68</v>
      </c>
      <c r="E151" s="169"/>
      <c r="F151" s="170"/>
      <c r="G151" s="169"/>
      <c r="H151" s="171"/>
      <c r="I151" s="317"/>
      <c r="J151" s="330"/>
      <c r="K151" s="173"/>
      <c r="L151" s="320"/>
      <c r="M151" s="496"/>
      <c r="N151" s="497"/>
      <c r="O151" s="496"/>
      <c r="P151" s="171"/>
      <c r="Q151" s="197"/>
      <c r="R151" s="512"/>
      <c r="S151" s="519" t="e">
        <f t="shared" si="126"/>
        <v>#DIV/0!</v>
      </c>
      <c r="T151" s="174"/>
      <c r="U151" s="174"/>
      <c r="V151" s="197"/>
      <c r="W151" s="174">
        <f t="shared" si="132"/>
        <v>0</v>
      </c>
      <c r="X151" s="209"/>
      <c r="Y151" s="395" t="s">
        <v>266</v>
      </c>
      <c r="AA151" s="368"/>
      <c r="AB151" s="386"/>
      <c r="AC151" s="410"/>
      <c r="AD151" s="41"/>
    </row>
    <row r="152" spans="1:30" s="205" customFormat="1" ht="25.5" x14ac:dyDescent="0.2">
      <c r="A152" s="177"/>
      <c r="B152" s="20" t="s">
        <v>203</v>
      </c>
      <c r="C152" s="167"/>
      <c r="D152" s="176" t="s">
        <v>68</v>
      </c>
      <c r="E152" s="169"/>
      <c r="F152" s="170"/>
      <c r="G152" s="169"/>
      <c r="H152" s="171"/>
      <c r="I152" s="317"/>
      <c r="J152" s="330"/>
      <c r="K152" s="173"/>
      <c r="L152" s="320"/>
      <c r="M152" s="169"/>
      <c r="N152" s="170"/>
      <c r="O152" s="169"/>
      <c r="P152" s="171"/>
      <c r="Q152" s="197"/>
      <c r="R152" s="512"/>
      <c r="S152" s="519" t="e">
        <f t="shared" si="126"/>
        <v>#DIV/0!</v>
      </c>
      <c r="T152" s="174"/>
      <c r="U152" s="174"/>
      <c r="V152" s="197"/>
      <c r="W152" s="174">
        <f t="shared" si="132"/>
        <v>0</v>
      </c>
      <c r="X152" s="209"/>
      <c r="Y152" s="395" t="s">
        <v>266</v>
      </c>
      <c r="AA152" s="368"/>
      <c r="AB152" s="386"/>
      <c r="AC152" s="410"/>
      <c r="AD152" s="41"/>
    </row>
    <row r="153" spans="1:30" s="205" customFormat="1" x14ac:dyDescent="0.2">
      <c r="A153" s="177"/>
      <c r="B153" s="177" t="s">
        <v>189</v>
      </c>
      <c r="C153" s="167" t="s">
        <v>36</v>
      </c>
      <c r="D153" s="264" t="s">
        <v>104</v>
      </c>
      <c r="E153" s="178">
        <v>2</v>
      </c>
      <c r="F153" s="170">
        <v>625</v>
      </c>
      <c r="G153" s="178">
        <v>12</v>
      </c>
      <c r="H153" s="171">
        <f>E153*F153*G153</f>
        <v>15000</v>
      </c>
      <c r="I153" s="317"/>
      <c r="J153" s="330">
        <v>15000</v>
      </c>
      <c r="K153" s="173">
        <f t="shared" si="110"/>
        <v>1</v>
      </c>
      <c r="L153" s="320">
        <f>H153*I153</f>
        <v>0</v>
      </c>
      <c r="M153" s="178"/>
      <c r="N153" s="198"/>
      <c r="O153" s="178"/>
      <c r="P153" s="171">
        <f>M153*N153*O153</f>
        <v>0</v>
      </c>
      <c r="Q153" s="178"/>
      <c r="R153" s="512"/>
      <c r="S153" s="519" t="e">
        <f t="shared" si="126"/>
        <v>#DIV/0!</v>
      </c>
      <c r="T153" s="198">
        <f>P153*Q153</f>
        <v>0</v>
      </c>
      <c r="U153" s="174">
        <f>H153+P153</f>
        <v>15000</v>
      </c>
      <c r="V153" s="178"/>
      <c r="W153" s="174">
        <f t="shared" si="132"/>
        <v>0</v>
      </c>
      <c r="X153" s="264"/>
      <c r="Y153" s="343"/>
      <c r="AA153" s="368"/>
      <c r="AB153" s="386"/>
      <c r="AC153" s="410"/>
      <c r="AD153" s="41"/>
    </row>
    <row r="154" spans="1:30" s="205" customFormat="1" x14ac:dyDescent="0.2">
      <c r="A154" s="177"/>
      <c r="B154" s="719"/>
      <c r="C154" s="719"/>
      <c r="D154" s="719" t="s">
        <v>0</v>
      </c>
      <c r="E154" s="719"/>
      <c r="F154" s="719"/>
      <c r="G154" s="719"/>
      <c r="H154" s="179">
        <f>SUM(H149:H153)</f>
        <v>45000</v>
      </c>
      <c r="I154" s="179">
        <f>SUM(I149:I153)</f>
        <v>0</v>
      </c>
      <c r="J154" s="179">
        <f>SUM(J149:J153)</f>
        <v>45000</v>
      </c>
      <c r="K154" s="181">
        <f>SUM(J154/H154)</f>
        <v>1</v>
      </c>
      <c r="L154" s="179"/>
      <c r="M154" s="248"/>
      <c r="N154" s="179"/>
      <c r="O154" s="248"/>
      <c r="P154" s="179">
        <f>SUM(P149:P153)</f>
        <v>30000</v>
      </c>
      <c r="Q154" s="249">
        <f>SUM(Q149:Q150)</f>
        <v>0</v>
      </c>
      <c r="R154" s="520">
        <f>SUM(R149:R153)</f>
        <v>10000</v>
      </c>
      <c r="S154" s="249">
        <f t="shared" si="126"/>
        <v>0.33333333333333331</v>
      </c>
      <c r="T154" s="179">
        <f>SUM(T149:T150)</f>
        <v>0</v>
      </c>
      <c r="U154" s="179">
        <f>SUM(U149:U153)</f>
        <v>75000</v>
      </c>
      <c r="V154" s="248"/>
      <c r="W154" s="179">
        <f>SUM(W149:W153)</f>
        <v>0</v>
      </c>
      <c r="X154" s="250"/>
      <c r="Y154" s="343"/>
      <c r="AA154" s="368"/>
      <c r="AB154" s="386"/>
      <c r="AC154" s="410"/>
      <c r="AD154" s="41"/>
    </row>
    <row r="155" spans="1:30" s="205" customFormat="1" x14ac:dyDescent="0.2">
      <c r="A155" s="258" t="s">
        <v>47</v>
      </c>
      <c r="B155" s="259"/>
      <c r="C155" s="259"/>
      <c r="D155" s="259"/>
      <c r="E155" s="260"/>
      <c r="F155" s="261"/>
      <c r="G155" s="260"/>
      <c r="H155" s="262"/>
      <c r="I155" s="260"/>
      <c r="J155" s="260"/>
      <c r="K155" s="261"/>
      <c r="L155" s="261"/>
      <c r="M155" s="260"/>
      <c r="N155" s="261"/>
      <c r="O155" s="260"/>
      <c r="P155" s="262"/>
      <c r="Q155" s="260"/>
      <c r="R155" s="521"/>
      <c r="S155" s="260"/>
      <c r="T155" s="261"/>
      <c r="U155" s="261"/>
      <c r="V155" s="260"/>
      <c r="W155" s="261"/>
      <c r="X155" s="259"/>
      <c r="Y155" s="343"/>
      <c r="AA155" s="368"/>
      <c r="AB155" s="386"/>
      <c r="AC155" s="410"/>
      <c r="AD155" s="41"/>
    </row>
    <row r="156" spans="1:30" s="205" customFormat="1" ht="25.5" x14ac:dyDescent="0.2">
      <c r="A156" s="177"/>
      <c r="B156" s="177" t="s">
        <v>71</v>
      </c>
      <c r="C156" s="167" t="s">
        <v>16</v>
      </c>
      <c r="D156" s="176" t="s">
        <v>68</v>
      </c>
      <c r="E156" s="169">
        <v>1</v>
      </c>
      <c r="F156" s="170">
        <v>5000</v>
      </c>
      <c r="G156" s="169">
        <v>1</v>
      </c>
      <c r="H156" s="171">
        <f>E156*F156*G156</f>
        <v>5000</v>
      </c>
      <c r="I156" s="319"/>
      <c r="J156" s="331">
        <v>5000</v>
      </c>
      <c r="K156" s="173">
        <f t="shared" si="110"/>
        <v>1</v>
      </c>
      <c r="L156" s="321"/>
      <c r="M156" s="439">
        <v>1</v>
      </c>
      <c r="N156" s="477">
        <v>5000</v>
      </c>
      <c r="O156" s="439">
        <v>1</v>
      </c>
      <c r="P156" s="171">
        <f>M156*N156*O156</f>
        <v>5000</v>
      </c>
      <c r="Q156" s="197"/>
      <c r="R156" s="512"/>
      <c r="S156" s="519">
        <f t="shared" si="126"/>
        <v>0</v>
      </c>
      <c r="T156" s="174"/>
      <c r="U156" s="174">
        <f t="shared" ref="U156:U163" si="133">P156+H156</f>
        <v>10000</v>
      </c>
      <c r="V156" s="197"/>
      <c r="W156" s="174">
        <f t="shared" ref="W156:W163" si="134">U156*V156</f>
        <v>0</v>
      </c>
      <c r="X156" s="209"/>
      <c r="Y156" s="343"/>
      <c r="AA156" s="368"/>
      <c r="AB156" s="386"/>
      <c r="AC156" s="410"/>
      <c r="AD156" s="41"/>
    </row>
    <row r="157" spans="1:30" s="205" customFormat="1" ht="25.5" x14ac:dyDescent="0.2">
      <c r="A157" s="177"/>
      <c r="B157" s="20" t="s">
        <v>201</v>
      </c>
      <c r="C157" s="167"/>
      <c r="D157" s="176" t="s">
        <v>68</v>
      </c>
      <c r="E157" s="169"/>
      <c r="F157" s="170"/>
      <c r="G157" s="169"/>
      <c r="H157" s="171"/>
      <c r="I157" s="319"/>
      <c r="J157" s="331"/>
      <c r="K157" s="173"/>
      <c r="L157" s="321"/>
      <c r="M157" s="439"/>
      <c r="N157" s="477"/>
      <c r="O157" s="439"/>
      <c r="P157" s="171"/>
      <c r="Q157" s="197"/>
      <c r="R157" s="512"/>
      <c r="S157" s="519" t="e">
        <f t="shared" si="126"/>
        <v>#DIV/0!</v>
      </c>
      <c r="T157" s="174"/>
      <c r="U157" s="174"/>
      <c r="V157" s="197"/>
      <c r="W157" s="174">
        <f t="shared" si="134"/>
        <v>0</v>
      </c>
      <c r="X157" s="209"/>
      <c r="Y157" s="395" t="s">
        <v>266</v>
      </c>
      <c r="AA157" s="368"/>
      <c r="AB157" s="386"/>
      <c r="AC157" s="410"/>
      <c r="AD157" s="41"/>
    </row>
    <row r="158" spans="1:30" s="205" customFormat="1" ht="25.5" x14ac:dyDescent="0.2">
      <c r="A158" s="177"/>
      <c r="B158" s="177" t="s">
        <v>110</v>
      </c>
      <c r="C158" s="167" t="s">
        <v>16</v>
      </c>
      <c r="D158" s="176" t="s">
        <v>68</v>
      </c>
      <c r="E158" s="169">
        <v>1</v>
      </c>
      <c r="F158" s="170">
        <v>70000</v>
      </c>
      <c r="G158" s="169">
        <v>1</v>
      </c>
      <c r="H158" s="171">
        <f>E158*F158*G158</f>
        <v>70000</v>
      </c>
      <c r="I158" s="319"/>
      <c r="J158" s="523">
        <v>70000</v>
      </c>
      <c r="K158" s="173">
        <f t="shared" si="110"/>
        <v>1</v>
      </c>
      <c r="L158" s="321"/>
      <c r="M158" s="439">
        <v>1</v>
      </c>
      <c r="N158" s="477">
        <v>70000</v>
      </c>
      <c r="O158" s="439">
        <v>1</v>
      </c>
      <c r="P158" s="171">
        <f>M158*N158*O158</f>
        <v>70000</v>
      </c>
      <c r="Q158" s="197"/>
      <c r="R158" s="512"/>
      <c r="S158" s="519">
        <f t="shared" si="126"/>
        <v>0</v>
      </c>
      <c r="T158" s="174"/>
      <c r="U158" s="174">
        <f t="shared" si="133"/>
        <v>140000</v>
      </c>
      <c r="V158" s="197"/>
      <c r="W158" s="174">
        <f t="shared" si="134"/>
        <v>0</v>
      </c>
      <c r="X158" s="209"/>
      <c r="Y158" s="343"/>
      <c r="AA158" s="368"/>
      <c r="AB158" s="386"/>
      <c r="AC158" s="410"/>
      <c r="AD158" s="41"/>
    </row>
    <row r="159" spans="1:30" s="205" customFormat="1" ht="25.5" x14ac:dyDescent="0.2">
      <c r="A159" s="177"/>
      <c r="B159" s="20" t="s">
        <v>204</v>
      </c>
      <c r="C159" s="167"/>
      <c r="D159" s="176" t="s">
        <v>68</v>
      </c>
      <c r="E159" s="169"/>
      <c r="F159" s="170"/>
      <c r="G159" s="169"/>
      <c r="H159" s="171"/>
      <c r="I159" s="319"/>
      <c r="J159" s="331"/>
      <c r="K159" s="173"/>
      <c r="L159" s="321"/>
      <c r="M159" s="496"/>
      <c r="N159" s="497"/>
      <c r="O159" s="496"/>
      <c r="P159" s="171"/>
      <c r="Q159" s="197"/>
      <c r="R159" s="512"/>
      <c r="S159" s="519" t="e">
        <f t="shared" si="126"/>
        <v>#DIV/0!</v>
      </c>
      <c r="T159" s="174"/>
      <c r="U159" s="174"/>
      <c r="V159" s="197"/>
      <c r="W159" s="174">
        <f t="shared" si="134"/>
        <v>0</v>
      </c>
      <c r="X159" s="209"/>
      <c r="Y159" s="395" t="s">
        <v>266</v>
      </c>
      <c r="AA159" s="368"/>
      <c r="AB159" s="386"/>
      <c r="AC159" s="410"/>
      <c r="AD159" s="41"/>
    </row>
    <row r="160" spans="1:30" s="267" customFormat="1" x14ac:dyDescent="0.2">
      <c r="A160" s="177"/>
      <c r="B160" s="177" t="s">
        <v>110</v>
      </c>
      <c r="C160" s="167" t="s">
        <v>16</v>
      </c>
      <c r="D160" s="264" t="s">
        <v>89</v>
      </c>
      <c r="E160" s="178">
        <v>4</v>
      </c>
      <c r="F160" s="198">
        <v>141</v>
      </c>
      <c r="G160" s="178">
        <v>84</v>
      </c>
      <c r="H160" s="171">
        <f>E160*F160*G160</f>
        <v>47376</v>
      </c>
      <c r="I160" s="317"/>
      <c r="J160" s="330">
        <v>47350</v>
      </c>
      <c r="K160" s="173">
        <f t="shared" si="110"/>
        <v>0.99945119891928402</v>
      </c>
      <c r="L160" s="320"/>
      <c r="M160" s="496">
        <v>4</v>
      </c>
      <c r="N160" s="497">
        <v>141</v>
      </c>
      <c r="O160" s="496">
        <v>84</v>
      </c>
      <c r="P160" s="171">
        <f t="shared" ref="P160:P163" si="135">M160*N160*O160</f>
        <v>47376</v>
      </c>
      <c r="Q160" s="178"/>
      <c r="R160" s="512">
        <v>28658</v>
      </c>
      <c r="S160" s="519">
        <f t="shared" si="126"/>
        <v>0.60490543735224589</v>
      </c>
      <c r="T160" s="198"/>
      <c r="U160" s="174">
        <f t="shared" si="133"/>
        <v>94752</v>
      </c>
      <c r="V160" s="178"/>
      <c r="W160" s="174">
        <f t="shared" si="134"/>
        <v>0</v>
      </c>
      <c r="X160" s="264"/>
      <c r="Y160" s="395"/>
      <c r="AA160" s="369"/>
      <c r="AB160" s="387"/>
      <c r="AC160" s="411"/>
      <c r="AD160" s="350"/>
    </row>
    <row r="161" spans="1:30" s="267" customFormat="1" x14ac:dyDescent="0.2">
      <c r="A161" s="177"/>
      <c r="B161" s="177" t="s">
        <v>148</v>
      </c>
      <c r="C161" s="167" t="s">
        <v>16</v>
      </c>
      <c r="D161" s="264" t="s">
        <v>89</v>
      </c>
      <c r="E161" s="178"/>
      <c r="F161" s="198">
        <v>1.4</v>
      </c>
      <c r="G161" s="178">
        <v>12</v>
      </c>
      <c r="H161" s="171">
        <f>E161*F161*G161</f>
        <v>0</v>
      </c>
      <c r="I161" s="317"/>
      <c r="J161" s="330"/>
      <c r="K161" s="173"/>
      <c r="L161" s="320"/>
      <c r="M161" s="496"/>
      <c r="N161" s="497">
        <v>1.4</v>
      </c>
      <c r="O161" s="496">
        <v>12</v>
      </c>
      <c r="P161" s="171">
        <f t="shared" si="135"/>
        <v>0</v>
      </c>
      <c r="Q161" s="178"/>
      <c r="R161" s="512"/>
      <c r="S161" s="519" t="e">
        <f t="shared" si="126"/>
        <v>#DIV/0!</v>
      </c>
      <c r="T161" s="198"/>
      <c r="U161" s="174">
        <f t="shared" si="133"/>
        <v>0</v>
      </c>
      <c r="V161" s="178"/>
      <c r="W161" s="174">
        <f t="shared" si="134"/>
        <v>0</v>
      </c>
      <c r="X161" s="264"/>
      <c r="Y161" s="395"/>
      <c r="AA161" s="369"/>
      <c r="AB161" s="387"/>
      <c r="AC161" s="411"/>
      <c r="AD161" s="350"/>
    </row>
    <row r="162" spans="1:30" s="267" customFormat="1" x14ac:dyDescent="0.2">
      <c r="A162" s="177"/>
      <c r="B162" s="177" t="s">
        <v>149</v>
      </c>
      <c r="C162" s="167" t="s">
        <v>16</v>
      </c>
      <c r="D162" s="264" t="s">
        <v>89</v>
      </c>
      <c r="E162" s="178">
        <v>150</v>
      </c>
      <c r="F162" s="198">
        <v>1.4</v>
      </c>
      <c r="G162" s="178">
        <v>12</v>
      </c>
      <c r="H162" s="171">
        <f>E162*F162*G162</f>
        <v>2520</v>
      </c>
      <c r="I162" s="317"/>
      <c r="J162" s="330">
        <v>2520</v>
      </c>
      <c r="K162" s="173">
        <f t="shared" si="110"/>
        <v>1</v>
      </c>
      <c r="L162" s="320"/>
      <c r="M162" s="496">
        <v>150</v>
      </c>
      <c r="N162" s="497">
        <v>1.4</v>
      </c>
      <c r="O162" s="496">
        <v>12</v>
      </c>
      <c r="P162" s="171">
        <f t="shared" si="135"/>
        <v>2520</v>
      </c>
      <c r="Q162" s="178"/>
      <c r="R162" s="512">
        <v>1800</v>
      </c>
      <c r="S162" s="519">
        <f t="shared" si="126"/>
        <v>0.7142857142857143</v>
      </c>
      <c r="T162" s="198"/>
      <c r="U162" s="174">
        <f t="shared" si="133"/>
        <v>5040</v>
      </c>
      <c r="V162" s="178"/>
      <c r="W162" s="174">
        <f t="shared" si="134"/>
        <v>0</v>
      </c>
      <c r="X162" s="264"/>
      <c r="Y162" s="395"/>
      <c r="AA162" s="369"/>
      <c r="AB162" s="387"/>
      <c r="AC162" s="411"/>
      <c r="AD162" s="350"/>
    </row>
    <row r="163" spans="1:30" s="267" customFormat="1" x14ac:dyDescent="0.2">
      <c r="A163" s="177"/>
      <c r="B163" s="177" t="s">
        <v>110</v>
      </c>
      <c r="C163" s="167" t="s">
        <v>16</v>
      </c>
      <c r="D163" s="264" t="s">
        <v>104</v>
      </c>
      <c r="E163" s="178">
        <v>107</v>
      </c>
      <c r="F163" s="198">
        <v>141</v>
      </c>
      <c r="G163" s="178">
        <v>1</v>
      </c>
      <c r="H163" s="171">
        <f>E163*F163*G163</f>
        <v>15087</v>
      </c>
      <c r="I163" s="317"/>
      <c r="J163" s="330">
        <v>15085</v>
      </c>
      <c r="K163" s="173">
        <f t="shared" si="110"/>
        <v>0.99986743554053159</v>
      </c>
      <c r="L163" s="320"/>
      <c r="M163" s="496">
        <v>55</v>
      </c>
      <c r="N163" s="497">
        <v>141</v>
      </c>
      <c r="O163" s="496">
        <v>1</v>
      </c>
      <c r="P163" s="171">
        <f t="shared" si="135"/>
        <v>7755</v>
      </c>
      <c r="Q163" s="178"/>
      <c r="R163" s="512">
        <v>7755</v>
      </c>
      <c r="S163" s="519">
        <f t="shared" si="126"/>
        <v>1</v>
      </c>
      <c r="T163" s="198"/>
      <c r="U163" s="174">
        <f t="shared" si="133"/>
        <v>22842</v>
      </c>
      <c r="V163" s="178"/>
      <c r="W163" s="174">
        <f t="shared" si="134"/>
        <v>0</v>
      </c>
      <c r="X163" s="264"/>
      <c r="Y163" s="395"/>
      <c r="AA163" s="369"/>
      <c r="AB163" s="387"/>
      <c r="AC163" s="411"/>
      <c r="AD163" s="350"/>
    </row>
    <row r="164" spans="1:30" s="205" customFormat="1" x14ac:dyDescent="0.2">
      <c r="A164" s="177"/>
      <c r="B164" s="719"/>
      <c r="C164" s="719"/>
      <c r="D164" s="719" t="s">
        <v>0</v>
      </c>
      <c r="E164" s="719"/>
      <c r="F164" s="719"/>
      <c r="G164" s="719"/>
      <c r="H164" s="179">
        <f>SUM(H156:H163)</f>
        <v>139983</v>
      </c>
      <c r="I164" s="179">
        <f>SUM(I156:I163)</f>
        <v>0</v>
      </c>
      <c r="J164" s="179">
        <f>SUM(J156:J163)</f>
        <v>139955</v>
      </c>
      <c r="K164" s="269">
        <f>SUM(J164/H164)</f>
        <v>0.99979997571133639</v>
      </c>
      <c r="L164" s="179"/>
      <c r="M164" s="248"/>
      <c r="N164" s="179"/>
      <c r="O164" s="248"/>
      <c r="P164" s="179">
        <f>SUM(P156:P163)</f>
        <v>132651</v>
      </c>
      <c r="Q164" s="179">
        <f>SUM(Q156:Q163)</f>
        <v>0</v>
      </c>
      <c r="R164" s="179">
        <f>SUM(R156:R163)</f>
        <v>38213</v>
      </c>
      <c r="S164" s="249">
        <f t="shared" si="126"/>
        <v>0.28807170696036971</v>
      </c>
      <c r="T164" s="179"/>
      <c r="U164" s="179">
        <f>SUM(U156:U163)</f>
        <v>272634</v>
      </c>
      <c r="V164" s="248"/>
      <c r="W164" s="179">
        <f>SUM(W156:W163)</f>
        <v>0</v>
      </c>
      <c r="X164" s="250"/>
      <c r="Y164" s="343"/>
      <c r="AA164" s="368"/>
      <c r="AB164" s="386"/>
      <c r="AC164" s="410"/>
      <c r="AD164" s="41"/>
    </row>
    <row r="165" spans="1:30" s="205" customFormat="1" x14ac:dyDescent="0.2">
      <c r="A165" s="258" t="s">
        <v>161</v>
      </c>
      <c r="B165" s="259"/>
      <c r="C165" s="259"/>
      <c r="D165" s="259"/>
      <c r="E165" s="260"/>
      <c r="F165" s="261"/>
      <c r="G165" s="260"/>
      <c r="H165" s="262"/>
      <c r="I165" s="260"/>
      <c r="J165" s="260"/>
      <c r="K165" s="260"/>
      <c r="L165" s="261"/>
      <c r="M165" s="260"/>
      <c r="N165" s="261"/>
      <c r="O165" s="260"/>
      <c r="P165" s="262"/>
      <c r="Q165" s="260"/>
      <c r="R165" s="521"/>
      <c r="S165" s="260"/>
      <c r="T165" s="261"/>
      <c r="U165" s="261"/>
      <c r="V165" s="260"/>
      <c r="W165" s="261"/>
      <c r="X165" s="259"/>
      <c r="Y165" s="343"/>
      <c r="AA165" s="368"/>
      <c r="AB165" s="386"/>
      <c r="AC165" s="410"/>
      <c r="AD165" s="41"/>
    </row>
    <row r="166" spans="1:30" s="205" customFormat="1" ht="25.5" x14ac:dyDescent="0.2">
      <c r="A166" s="177"/>
      <c r="B166" s="177" t="s">
        <v>153</v>
      </c>
      <c r="C166" s="167" t="s">
        <v>37</v>
      </c>
      <c r="D166" s="176" t="s">
        <v>89</v>
      </c>
      <c r="E166" s="169">
        <v>1</v>
      </c>
      <c r="F166" s="170">
        <v>38854</v>
      </c>
      <c r="G166" s="169">
        <v>1</v>
      </c>
      <c r="H166" s="171">
        <f>E166*F166*G166</f>
        <v>38854</v>
      </c>
      <c r="I166" s="328"/>
      <c r="J166" s="330">
        <v>38854</v>
      </c>
      <c r="K166" s="173">
        <f t="shared" si="110"/>
        <v>1</v>
      </c>
      <c r="L166" s="329"/>
      <c r="M166" s="500">
        <v>1</v>
      </c>
      <c r="N166" s="501">
        <v>22201</v>
      </c>
      <c r="O166" s="500">
        <v>1</v>
      </c>
      <c r="P166" s="171">
        <f t="shared" ref="P166" si="136">SUM(N166*M166*O166)</f>
        <v>22201</v>
      </c>
      <c r="Q166" s="197"/>
      <c r="R166" s="512">
        <v>16400</v>
      </c>
      <c r="S166" s="519">
        <f t="shared" si="126"/>
        <v>0.73870546371785051</v>
      </c>
      <c r="T166" s="174"/>
      <c r="U166" s="174">
        <f t="shared" ref="U166:U167" si="137">P166+H166</f>
        <v>61055</v>
      </c>
      <c r="V166" s="197"/>
      <c r="W166" s="174">
        <f t="shared" ref="W166:W167" si="138">U166*V166</f>
        <v>0</v>
      </c>
      <c r="X166" s="270"/>
      <c r="Y166" s="343"/>
      <c r="AA166" s="368"/>
      <c r="AB166" s="386"/>
      <c r="AC166" s="410"/>
      <c r="AD166" s="41"/>
    </row>
    <row r="167" spans="1:30" s="267" customFormat="1" ht="38.25" x14ac:dyDescent="0.2">
      <c r="A167" s="177"/>
      <c r="B167" s="177" t="s">
        <v>154</v>
      </c>
      <c r="C167" s="167" t="s">
        <v>17</v>
      </c>
      <c r="D167" s="264" t="s">
        <v>89</v>
      </c>
      <c r="E167" s="178">
        <v>1</v>
      </c>
      <c r="F167" s="198">
        <v>14430</v>
      </c>
      <c r="G167" s="178">
        <v>1</v>
      </c>
      <c r="H167" s="171">
        <f>E167*F167*G167</f>
        <v>14430</v>
      </c>
      <c r="I167" s="317"/>
      <c r="J167" s="330">
        <v>14430</v>
      </c>
      <c r="K167" s="173">
        <f t="shared" si="110"/>
        <v>1</v>
      </c>
      <c r="L167" s="320"/>
      <c r="M167" s="496">
        <v>1</v>
      </c>
      <c r="N167" s="497">
        <v>9216</v>
      </c>
      <c r="O167" s="496">
        <v>1</v>
      </c>
      <c r="P167" s="171">
        <f>SUM(N167*M167*O167)</f>
        <v>9216</v>
      </c>
      <c r="Q167" s="178"/>
      <c r="R167" s="512">
        <v>7562</v>
      </c>
      <c r="S167" s="519">
        <f t="shared" si="126"/>
        <v>0.82052951388888884</v>
      </c>
      <c r="T167" s="198"/>
      <c r="U167" s="174">
        <f t="shared" si="137"/>
        <v>23646</v>
      </c>
      <c r="V167" s="178"/>
      <c r="W167" s="174">
        <f t="shared" si="138"/>
        <v>0</v>
      </c>
      <c r="X167" s="264"/>
      <c r="Y167" s="395"/>
      <c r="AA167" s="369"/>
      <c r="AB167" s="387"/>
      <c r="AC167" s="411"/>
      <c r="AD167" s="350"/>
    </row>
    <row r="168" spans="1:30" s="205" customFormat="1" x14ac:dyDescent="0.2">
      <c r="A168" s="177"/>
      <c r="B168" s="719"/>
      <c r="C168" s="719"/>
      <c r="D168" s="719" t="s">
        <v>0</v>
      </c>
      <c r="E168" s="719"/>
      <c r="F168" s="719"/>
      <c r="G168" s="719"/>
      <c r="H168" s="179">
        <f>SUM(H166:H167)</f>
        <v>53284</v>
      </c>
      <c r="I168" s="179">
        <f t="shared" ref="I168" si="139">SUM(I166:I167)</f>
        <v>0</v>
      </c>
      <c r="J168" s="179">
        <f>SUM(J166:J167)</f>
        <v>53284</v>
      </c>
      <c r="K168" s="269">
        <f>SUM(J168/H168)</f>
        <v>1</v>
      </c>
      <c r="L168" s="179"/>
      <c r="M168" s="248"/>
      <c r="N168" s="179"/>
      <c r="O168" s="248"/>
      <c r="P168" s="179">
        <f>SUM(P166:P167)</f>
        <v>31417</v>
      </c>
      <c r="Q168" s="179"/>
      <c r="R168" s="179">
        <f t="shared" ref="R168" si="140">SUM(R166:R167)</f>
        <v>23962</v>
      </c>
      <c r="S168" s="249">
        <f t="shared" si="126"/>
        <v>0.76270808797784639</v>
      </c>
      <c r="T168" s="179"/>
      <c r="U168" s="179">
        <f>SUM(U166:U167)</f>
        <v>84701</v>
      </c>
      <c r="V168" s="248"/>
      <c r="W168" s="179">
        <f>SUM(W166:W167)</f>
        <v>0</v>
      </c>
      <c r="X168" s="250"/>
      <c r="Y168" s="343"/>
      <c r="AA168" s="368"/>
      <c r="AB168" s="386"/>
      <c r="AC168" s="410"/>
      <c r="AD168" s="41"/>
    </row>
    <row r="169" spans="1:30" s="277" customFormat="1" x14ac:dyDescent="0.2">
      <c r="A169" s="754" t="s">
        <v>41</v>
      </c>
      <c r="B169" s="754"/>
      <c r="C169" s="754"/>
      <c r="D169" s="754"/>
      <c r="E169" s="754"/>
      <c r="F169" s="754"/>
      <c r="G169" s="754"/>
      <c r="H169" s="271">
        <f>H168+H164+H154+H147+H139+H123</f>
        <v>507267</v>
      </c>
      <c r="I169" s="271">
        <f>I168+I164+I154+I147+I139+I123</f>
        <v>0</v>
      </c>
      <c r="J169" s="271">
        <f>J168+J164+J154+J147+J139+J123</f>
        <v>523926</v>
      </c>
      <c r="K169" s="272">
        <f>SUM(J169/H169)</f>
        <v>1.032840693362667</v>
      </c>
      <c r="L169" s="273"/>
      <c r="M169" s="274"/>
      <c r="N169" s="273"/>
      <c r="O169" s="274"/>
      <c r="P169" s="271">
        <f>P168+P164+P154+P147+P139+P123</f>
        <v>382918</v>
      </c>
      <c r="Q169" s="271"/>
      <c r="R169" s="271">
        <f>R168+R164+R154+R147+R139+R123</f>
        <v>157975</v>
      </c>
      <c r="S169" s="532">
        <f t="shared" si="126"/>
        <v>0.41255569077452614</v>
      </c>
      <c r="T169" s="273"/>
      <c r="U169" s="271">
        <f>U168+U164+U154+U147+U139+U123</f>
        <v>890185</v>
      </c>
      <c r="V169" s="275">
        <f>U169/U171</f>
        <v>0.31751328195918482</v>
      </c>
      <c r="W169" s="273">
        <f>W168+W164+W154+W147+W139+W123</f>
        <v>0</v>
      </c>
      <c r="X169" s="276"/>
      <c r="Y169" s="396"/>
      <c r="AA169" s="370"/>
      <c r="AB169" s="388"/>
      <c r="AC169" s="412"/>
      <c r="AD169" s="351"/>
    </row>
    <row r="170" spans="1:30" s="283" customFormat="1" x14ac:dyDescent="0.2">
      <c r="A170" s="753" t="s">
        <v>52</v>
      </c>
      <c r="B170" s="753"/>
      <c r="C170" s="753"/>
      <c r="D170" s="753"/>
      <c r="E170" s="278"/>
      <c r="F170" s="279"/>
      <c r="G170" s="278"/>
      <c r="H170" s="280" t="s">
        <v>3</v>
      </c>
      <c r="I170" s="281"/>
      <c r="J170" s="281"/>
      <c r="K170" s="191"/>
      <c r="L170" s="280"/>
      <c r="M170" s="281"/>
      <c r="N170" s="280"/>
      <c r="O170" s="281"/>
      <c r="P170" s="280" t="s">
        <v>4</v>
      </c>
      <c r="Q170" s="281"/>
      <c r="R170" s="522"/>
      <c r="S170" s="281"/>
      <c r="T170" s="280"/>
      <c r="U170" s="280"/>
      <c r="V170" s="281"/>
      <c r="W170" s="280"/>
      <c r="X170" s="282"/>
      <c r="Y170" s="397"/>
      <c r="AA170" s="371"/>
      <c r="AB170" s="389"/>
      <c r="AC170" s="413"/>
      <c r="AD170" s="352"/>
    </row>
    <row r="171" spans="1:30" s="283" customFormat="1" x14ac:dyDescent="0.2">
      <c r="A171" s="753"/>
      <c r="B171" s="753"/>
      <c r="C171" s="753"/>
      <c r="D171" s="753"/>
      <c r="E171" s="278"/>
      <c r="F171" s="279"/>
      <c r="G171" s="278"/>
      <c r="H171" s="280">
        <f>H114+H169</f>
        <v>1722013</v>
      </c>
      <c r="I171" s="280"/>
      <c r="J171" s="280">
        <f>J114+J169</f>
        <v>1629397</v>
      </c>
      <c r="K171" s="191">
        <f>SUM(J171/H171)</f>
        <v>0.94621643390613197</v>
      </c>
      <c r="L171" s="280">
        <f>L114+L169</f>
        <v>473215.67000000004</v>
      </c>
      <c r="M171" s="284"/>
      <c r="N171" s="280"/>
      <c r="O171" s="284"/>
      <c r="P171" s="280">
        <f>P114+P169</f>
        <v>1081602</v>
      </c>
      <c r="Q171" s="280">
        <f>Q114+Q169</f>
        <v>0</v>
      </c>
      <c r="R171" s="280">
        <f>R114+R169</f>
        <v>554285</v>
      </c>
      <c r="S171" s="529">
        <f t="shared" si="126"/>
        <v>0.51246669292401459</v>
      </c>
      <c r="T171" s="280">
        <f>T114+T169</f>
        <v>299732</v>
      </c>
      <c r="U171" s="280">
        <f>U114+U169</f>
        <v>2803615</v>
      </c>
      <c r="V171" s="281"/>
      <c r="W171" s="280">
        <f>W114+W169</f>
        <v>772966.17</v>
      </c>
      <c r="X171" s="282"/>
      <c r="Y171" s="397"/>
      <c r="AA171" s="371"/>
      <c r="AB171" s="389"/>
      <c r="AC171" s="413"/>
      <c r="AD171" s="352"/>
    </row>
    <row r="172" spans="1:30" s="199" customFormat="1" x14ac:dyDescent="0.2">
      <c r="A172" s="177"/>
      <c r="B172" s="719" t="s">
        <v>67</v>
      </c>
      <c r="C172" s="719"/>
      <c r="D172" s="719" t="s">
        <v>67</v>
      </c>
      <c r="E172" s="719"/>
      <c r="F172" s="719"/>
      <c r="G172" s="719"/>
      <c r="H172" s="59"/>
      <c r="I172" s="249"/>
      <c r="J172" s="249"/>
      <c r="K172" s="285">
        <f>L172/J171</f>
        <v>0.29042380095213138</v>
      </c>
      <c r="L172" s="179">
        <f>L171</f>
        <v>473215.67000000004</v>
      </c>
      <c r="M172" s="248"/>
      <c r="N172" s="179"/>
      <c r="O172" s="248"/>
      <c r="P172" s="179">
        <f>T171</f>
        <v>299732</v>
      </c>
      <c r="Q172" s="249"/>
      <c r="R172" s="520">
        <f>R171</f>
        <v>554285</v>
      </c>
      <c r="S172" s="249">
        <f>T172/R171</f>
        <v>0.54075430509575395</v>
      </c>
      <c r="T172" s="179">
        <f>T171</f>
        <v>299732</v>
      </c>
      <c r="U172" s="179"/>
      <c r="V172" s="249">
        <f>W172/U171</f>
        <v>0.10690911555259905</v>
      </c>
      <c r="W172" s="179">
        <f>P172+H172</f>
        <v>299732</v>
      </c>
      <c r="X172" s="250"/>
      <c r="Y172" s="392"/>
      <c r="AA172" s="372"/>
      <c r="AB172" s="390"/>
      <c r="AC172" s="414"/>
      <c r="AD172" s="304"/>
    </row>
    <row r="173" spans="1:30" ht="15.75" customHeight="1" x14ac:dyDescent="0.2">
      <c r="A173" s="740" t="s">
        <v>54</v>
      </c>
      <c r="B173" s="741"/>
      <c r="C173" s="741"/>
      <c r="D173" s="741"/>
      <c r="E173" s="741"/>
      <c r="F173" s="741"/>
      <c r="G173" s="742"/>
      <c r="H173" s="333">
        <f>SUM(H171)*0.07</f>
        <v>120540.91000000002</v>
      </c>
      <c r="I173" s="318">
        <f>H173/H171</f>
        <v>7.0000000000000007E-2</v>
      </c>
      <c r="J173" s="333">
        <f>J171*0.07</f>
        <v>114057.79000000001</v>
      </c>
      <c r="K173" s="181">
        <f>SUM(J173/H173)</f>
        <v>0.94621643390613186</v>
      </c>
      <c r="L173" s="286"/>
      <c r="M173" s="705"/>
      <c r="N173" s="706"/>
      <c r="O173" s="707"/>
      <c r="P173" s="286">
        <f>SUM(P171)*0.07</f>
        <v>75712.140000000014</v>
      </c>
      <c r="Q173" s="286"/>
      <c r="R173" s="286">
        <f>SUM(R171)*0.07</f>
        <v>38799.950000000004</v>
      </c>
      <c r="S173" s="519">
        <f t="shared" si="126"/>
        <v>0.51246669292401448</v>
      </c>
      <c r="T173" s="286"/>
      <c r="U173" s="286">
        <f>SUM(U171)*0.07</f>
        <v>196253.05000000002</v>
      </c>
      <c r="V173" s="288"/>
      <c r="W173" s="198"/>
      <c r="X173" s="289"/>
    </row>
    <row r="174" spans="1:30" ht="15.75" customHeight="1" x14ac:dyDescent="0.2">
      <c r="A174" s="290"/>
      <c r="B174" s="741" t="s">
        <v>207</v>
      </c>
      <c r="C174" s="741"/>
      <c r="D174" s="741"/>
      <c r="E174" s="741"/>
      <c r="F174" s="741"/>
      <c r="G174" s="742"/>
      <c r="H174" s="334">
        <f>SUM(Budget_Recapitulatif!C18)</f>
        <v>50637.58</v>
      </c>
      <c r="I174" s="336">
        <v>7.0000000000000007E-2</v>
      </c>
      <c r="J174" s="334">
        <f>SUM(J59+J113+J117+J118+J119+J125+J126+J127+J128+J129+J141+J142+J143+J144+J149+J150+J151+J152+J156+J157+J158+J159)*0.07</f>
        <v>46291.700000000004</v>
      </c>
      <c r="K174" s="303">
        <f>J174/H174</f>
        <v>0.9141767833296931</v>
      </c>
      <c r="L174" s="286"/>
      <c r="M174" s="705"/>
      <c r="N174" s="706"/>
      <c r="O174" s="707"/>
      <c r="P174" s="334">
        <f>SUM(Budget_Recapitulatif!D18)</f>
        <v>33063.379999999997</v>
      </c>
      <c r="Q174" s="286"/>
      <c r="R174" s="512">
        <f>SUM(R59+R113+R117+R118+R119+R125+R126+R127+R128+R129+R141+R142+R143+R144+R149+R150+R151+R152+R156+R157+R158+R159)*0.07</f>
        <v>5268.2000000000007</v>
      </c>
      <c r="S174" s="519">
        <f t="shared" si="126"/>
        <v>0.15933640178348377</v>
      </c>
      <c r="T174" s="286"/>
      <c r="U174" s="286"/>
      <c r="V174" s="288"/>
      <c r="W174" s="198"/>
      <c r="X174" s="289"/>
    </row>
    <row r="175" spans="1:30" ht="15.75" customHeight="1" x14ac:dyDescent="0.2">
      <c r="A175" s="290"/>
      <c r="B175" s="741" t="s">
        <v>205</v>
      </c>
      <c r="C175" s="741"/>
      <c r="D175" s="741"/>
      <c r="E175" s="741"/>
      <c r="F175" s="741"/>
      <c r="G175" s="742"/>
      <c r="H175" s="334">
        <f>SUM(Budget_Recapitulatif!G18)</f>
        <v>18388.09</v>
      </c>
      <c r="I175" s="336">
        <v>7.0000000000000007E-2</v>
      </c>
      <c r="J175" s="334">
        <f>SUM(J101+J122+J136+J145+J153+J163)*0.07</f>
        <v>18387.95</v>
      </c>
      <c r="K175" s="303">
        <f t="shared" ref="K175:K176" si="141">J175/H175</f>
        <v>0.9999923863761816</v>
      </c>
      <c r="L175" s="286"/>
      <c r="M175" s="705"/>
      <c r="N175" s="706"/>
      <c r="O175" s="707"/>
      <c r="P175" s="286">
        <f>SUM(Budget_Recapitulatif!H18)</f>
        <v>9747.85</v>
      </c>
      <c r="Q175" s="286"/>
      <c r="R175" s="512">
        <f>SUM(R101+R122+R136+R145+R153+R163)*0.07</f>
        <v>7157.85</v>
      </c>
      <c r="S175" s="519">
        <f t="shared" si="126"/>
        <v>0.73430038418728238</v>
      </c>
      <c r="T175" s="286"/>
      <c r="U175" s="286"/>
      <c r="V175" s="288"/>
      <c r="W175" s="198"/>
      <c r="X175" s="289"/>
    </row>
    <row r="176" spans="1:30" ht="15.75" customHeight="1" x14ac:dyDescent="0.2">
      <c r="A176" s="290"/>
      <c r="B176" s="741" t="s">
        <v>206</v>
      </c>
      <c r="C176" s="741"/>
      <c r="D176" s="741"/>
      <c r="E176" s="741"/>
      <c r="F176" s="741"/>
      <c r="G176" s="742"/>
      <c r="H176" s="334">
        <f>SUM(Budget_Recapitulatif!K18)</f>
        <v>51515.24</v>
      </c>
      <c r="I176" s="336">
        <v>7.0000000000000007E-2</v>
      </c>
      <c r="J176" s="334">
        <f>SUM(J82+J120+J121+J130+J131+J132+J133+J134+J135+J137+J138+J146+J160+J161+J162+J166+J167)*0.07</f>
        <v>49378.140000000007</v>
      </c>
      <c r="K176" s="303">
        <f t="shared" si="141"/>
        <v>0.95851518890332277</v>
      </c>
      <c r="L176" s="286"/>
      <c r="M176" s="705"/>
      <c r="N176" s="706"/>
      <c r="O176" s="707"/>
      <c r="P176" s="286">
        <f>SUM(Budget_Recapitulatif!L18)</f>
        <v>32900.910000000003</v>
      </c>
      <c r="Q176" s="286"/>
      <c r="R176" s="512">
        <f>SUM(R82+R120+R121+R130+R131+R132+R133+R134+R135+R137+R138+R146+R160+R161+R162+R166+R167)*0.07</f>
        <v>26373.9</v>
      </c>
      <c r="S176" s="519">
        <f t="shared" si="126"/>
        <v>0.80161612551142203</v>
      </c>
      <c r="T176" s="286"/>
      <c r="U176" s="286"/>
      <c r="V176" s="288"/>
      <c r="W176" s="198"/>
      <c r="X176" s="289"/>
    </row>
    <row r="177" spans="1:31" ht="15.75" customHeight="1" x14ac:dyDescent="0.2">
      <c r="A177" s="290"/>
      <c r="B177" s="750" t="s">
        <v>267</v>
      </c>
      <c r="C177" s="751"/>
      <c r="D177" s="751"/>
      <c r="E177" s="751"/>
      <c r="F177" s="751"/>
      <c r="G177" s="752"/>
      <c r="H177" s="334">
        <f>H169</f>
        <v>507267</v>
      </c>
      <c r="I177" s="336">
        <f>H169/H171</f>
        <v>0.29457791549773432</v>
      </c>
      <c r="J177" s="334">
        <f>J169</f>
        <v>523926</v>
      </c>
      <c r="K177" s="303">
        <f>J177/J171</f>
        <v>0.32154594613835669</v>
      </c>
      <c r="L177" s="286"/>
      <c r="M177" s="705"/>
      <c r="N177" s="706"/>
      <c r="O177" s="707"/>
      <c r="P177" s="286">
        <f>P169</f>
        <v>382918</v>
      </c>
      <c r="Q177" s="286"/>
      <c r="R177" s="512">
        <f>R169</f>
        <v>157975</v>
      </c>
      <c r="S177" s="519">
        <f>R177/R171</f>
        <v>0.28500681057578681</v>
      </c>
      <c r="T177" s="286"/>
      <c r="U177" s="286"/>
      <c r="V177" s="288"/>
      <c r="W177" s="198"/>
      <c r="X177" s="289"/>
    </row>
    <row r="178" spans="1:31" s="145" customFormat="1" x14ac:dyDescent="0.2">
      <c r="A178" s="743" t="s">
        <v>56</v>
      </c>
      <c r="B178" s="744"/>
      <c r="C178" s="744"/>
      <c r="D178" s="744"/>
      <c r="E178" s="744"/>
      <c r="F178" s="744"/>
      <c r="G178" s="745"/>
      <c r="H178" s="291">
        <f>SUM(H171+H173)</f>
        <v>1842553.91</v>
      </c>
      <c r="I178" s="291"/>
      <c r="J178" s="291">
        <f>SUM(J171+J173)</f>
        <v>1743454.79</v>
      </c>
      <c r="K178" s="292">
        <f>J178/H178</f>
        <v>0.94621643390613197</v>
      </c>
      <c r="L178" s="291"/>
      <c r="M178" s="291"/>
      <c r="N178" s="291"/>
      <c r="O178" s="291"/>
      <c r="P178" s="291">
        <f>SUM(P171+P173)</f>
        <v>1157314.1400000001</v>
      </c>
      <c r="Q178" s="291">
        <f t="shared" ref="Q178:R178" si="142">SUM(Q171+Q173)</f>
        <v>0</v>
      </c>
      <c r="R178" s="291">
        <f t="shared" si="142"/>
        <v>593084.94999999995</v>
      </c>
      <c r="S178" s="530">
        <f t="shared" si="126"/>
        <v>0.51246669292401448</v>
      </c>
      <c r="T178" s="291">
        <f>SUM(T171+T173)</f>
        <v>299732</v>
      </c>
      <c r="U178" s="291">
        <f>SUM(U171+U173)</f>
        <v>2999868.05</v>
      </c>
      <c r="V178" s="293"/>
      <c r="W178" s="291"/>
      <c r="X178" s="294"/>
      <c r="Y178" s="373"/>
      <c r="AA178" s="362"/>
      <c r="AB178" s="379"/>
      <c r="AC178" s="405"/>
      <c r="AD178" s="302"/>
    </row>
    <row r="179" spans="1:31" s="145" customFormat="1" ht="15.75" customHeight="1" x14ac:dyDescent="0.2">
      <c r="A179" s="746" t="s">
        <v>55</v>
      </c>
      <c r="B179" s="747"/>
      <c r="C179" s="747"/>
      <c r="D179" s="747"/>
      <c r="E179" s="747"/>
      <c r="F179" s="747"/>
      <c r="G179" s="748"/>
      <c r="H179" s="286"/>
      <c r="I179" s="295"/>
      <c r="J179" s="296"/>
      <c r="K179" s="173"/>
      <c r="L179" s="286"/>
      <c r="M179" s="295"/>
      <c r="N179" s="286"/>
      <c r="O179" s="295"/>
      <c r="P179" s="286"/>
      <c r="Q179" s="295"/>
      <c r="R179" s="512"/>
      <c r="S179" s="519" t="e">
        <f t="shared" si="126"/>
        <v>#DIV/0!</v>
      </c>
      <c r="T179" s="286"/>
      <c r="U179" s="286">
        <f>H179+P179</f>
        <v>0</v>
      </c>
      <c r="V179" s="295"/>
      <c r="W179" s="286"/>
      <c r="X179" s="297"/>
      <c r="Y179" s="373"/>
      <c r="AA179" s="362"/>
      <c r="AB179" s="379"/>
      <c r="AC179" s="405"/>
      <c r="AD179" s="302"/>
    </row>
    <row r="180" spans="1:31" s="145" customFormat="1" x14ac:dyDescent="0.2">
      <c r="A180" s="749"/>
      <c r="B180" s="749"/>
      <c r="C180" s="749"/>
      <c r="D180" s="524" t="s">
        <v>23</v>
      </c>
      <c r="E180" s="298"/>
      <c r="F180" s="286"/>
      <c r="G180" s="298"/>
      <c r="H180" s="286">
        <f>SUM(H178:H179)</f>
        <v>1842553.91</v>
      </c>
      <c r="I180" s="286">
        <f t="shared" ref="I180" si="143">SUM(I178:I179)</f>
        <v>0</v>
      </c>
      <c r="J180" s="287">
        <f>SUM(J178:J179)</f>
        <v>1743454.79</v>
      </c>
      <c r="K180" s="173"/>
      <c r="L180" s="286"/>
      <c r="M180" s="295"/>
      <c r="N180" s="286"/>
      <c r="O180" s="295"/>
      <c r="P180" s="286">
        <f>SUM(P178:P179)</f>
        <v>1157314.1400000001</v>
      </c>
      <c r="Q180" s="286">
        <f t="shared" ref="Q180:R180" si="144">SUM(Q178:Q179)</f>
        <v>0</v>
      </c>
      <c r="R180" s="286">
        <f t="shared" si="144"/>
        <v>593084.94999999995</v>
      </c>
      <c r="S180" s="519">
        <f t="shared" si="126"/>
        <v>0.51246669292401448</v>
      </c>
      <c r="T180" s="286"/>
      <c r="U180" s="286">
        <f>SUM(U178:U179)</f>
        <v>2999868.05</v>
      </c>
      <c r="V180" s="295"/>
      <c r="W180" s="286"/>
      <c r="X180" s="297"/>
      <c r="Y180" s="373"/>
      <c r="AA180" s="362"/>
      <c r="AB180" s="379"/>
      <c r="AC180" s="405"/>
      <c r="AD180" s="302"/>
    </row>
    <row r="181" spans="1:31" x14ac:dyDescent="0.2">
      <c r="A181" s="158"/>
      <c r="J181" s="332"/>
      <c r="K181" s="149"/>
      <c r="R181" s="149"/>
      <c r="X181" s="299"/>
    </row>
    <row r="182" spans="1:31" ht="20.25" x14ac:dyDescent="0.2">
      <c r="A182" s="158" t="s">
        <v>5</v>
      </c>
      <c r="B182" s="158"/>
      <c r="C182" s="158"/>
      <c r="D182" s="145"/>
      <c r="E182" s="146"/>
      <c r="F182" s="132"/>
      <c r="G182" s="146"/>
      <c r="H182" s="132"/>
      <c r="I182" s="704" t="s">
        <v>303</v>
      </c>
      <c r="J182" s="704"/>
      <c r="K182" s="704"/>
      <c r="L182" s="704"/>
      <c r="M182" s="704"/>
      <c r="N182" s="704"/>
      <c r="O182" s="146"/>
      <c r="P182" s="132"/>
      <c r="Q182" s="150"/>
      <c r="R182" s="150"/>
      <c r="S182" s="150"/>
      <c r="T182" s="151"/>
      <c r="U182" s="151"/>
    </row>
    <row r="183" spans="1:31" ht="29.25" customHeight="1" x14ac:dyDescent="0.2">
      <c r="A183" s="300" t="s">
        <v>24</v>
      </c>
      <c r="B183" s="143"/>
      <c r="C183" s="143"/>
      <c r="F183" s="340"/>
      <c r="G183" s="332"/>
      <c r="H183" s="340"/>
      <c r="I183" s="538" t="s">
        <v>297</v>
      </c>
      <c r="J183" s="546" t="s">
        <v>298</v>
      </c>
      <c r="K183" s="579" t="s">
        <v>292</v>
      </c>
      <c r="L183" s="580" t="s">
        <v>296</v>
      </c>
      <c r="M183" s="539" t="s">
        <v>293</v>
      </c>
      <c r="N183" s="540" t="s">
        <v>299</v>
      </c>
      <c r="O183" s="146"/>
      <c r="P183" s="132"/>
      <c r="Q183" s="150"/>
      <c r="R183" s="150"/>
      <c r="S183" s="150"/>
      <c r="T183" s="151"/>
      <c r="U183" s="151"/>
    </row>
    <row r="184" spans="1:31" ht="12.75" customHeight="1" x14ac:dyDescent="0.2">
      <c r="A184" s="739" t="s">
        <v>35</v>
      </c>
      <c r="B184" s="739"/>
      <c r="C184" s="739"/>
      <c r="D184" s="739"/>
      <c r="E184" s="739"/>
      <c r="F184" s="341"/>
      <c r="G184" s="342"/>
      <c r="H184" s="340"/>
      <c r="I184" s="701" t="s">
        <v>311</v>
      </c>
      <c r="J184" s="541" t="s">
        <v>68</v>
      </c>
      <c r="K184" s="542">
        <v>774031.58</v>
      </c>
      <c r="L184" s="542">
        <v>774031.58</v>
      </c>
      <c r="M184" s="543">
        <v>707601.7</v>
      </c>
      <c r="N184" s="544">
        <f>SUM(L184-M184)</f>
        <v>66429.88</v>
      </c>
      <c r="O184" s="150"/>
      <c r="P184" s="132"/>
      <c r="Q184" s="150"/>
      <c r="R184" s="150"/>
      <c r="S184" s="150"/>
      <c r="T184" s="151"/>
      <c r="U184" s="151"/>
    </row>
    <row r="185" spans="1:31" x14ac:dyDescent="0.2">
      <c r="A185" s="300" t="s">
        <v>49</v>
      </c>
      <c r="D185" s="145"/>
      <c r="F185" s="341"/>
      <c r="G185" s="342"/>
      <c r="H185" s="335"/>
      <c r="I185" s="701"/>
      <c r="J185" s="545" t="s">
        <v>89</v>
      </c>
      <c r="K185" s="497">
        <v>787447.24</v>
      </c>
      <c r="L185" s="497">
        <v>787447.24</v>
      </c>
      <c r="M185" s="496">
        <v>754780.14</v>
      </c>
      <c r="N185" s="544">
        <f t="shared" ref="N185:N189" si="145">SUM(L185-M185)</f>
        <v>32667.099999999977</v>
      </c>
    </row>
    <row r="186" spans="1:31" x14ac:dyDescent="0.2">
      <c r="B186" s="144" t="s">
        <v>27</v>
      </c>
      <c r="F186" s="341"/>
      <c r="G186" s="342"/>
      <c r="H186" s="335"/>
      <c r="I186" s="701"/>
      <c r="J186" s="545" t="s">
        <v>104</v>
      </c>
      <c r="K186" s="496">
        <v>281075.09000000003</v>
      </c>
      <c r="L186" s="497">
        <v>281075.09000000003</v>
      </c>
      <c r="M186" s="496">
        <v>281072.95</v>
      </c>
      <c r="N186" s="544">
        <f t="shared" si="145"/>
        <v>2.1400000000139698</v>
      </c>
    </row>
    <row r="187" spans="1:31" x14ac:dyDescent="0.2">
      <c r="B187" s="144" t="s">
        <v>28</v>
      </c>
      <c r="F187" s="341"/>
      <c r="G187" s="342"/>
      <c r="H187" s="335"/>
      <c r="I187" s="702" t="s">
        <v>312</v>
      </c>
      <c r="J187" s="541" t="s">
        <v>68</v>
      </c>
      <c r="K187" s="496">
        <v>505397.38</v>
      </c>
      <c r="L187" s="497">
        <v>505397.38</v>
      </c>
      <c r="M187" s="496">
        <v>80528.2</v>
      </c>
      <c r="N187" s="544">
        <f t="shared" si="145"/>
        <v>424869.18</v>
      </c>
    </row>
    <row r="188" spans="1:31" x14ac:dyDescent="0.2">
      <c r="A188" s="739" t="s">
        <v>50</v>
      </c>
      <c r="B188" s="739"/>
      <c r="C188" s="739"/>
      <c r="D188" s="739"/>
      <c r="E188" s="739"/>
      <c r="F188" s="341"/>
      <c r="G188" s="342"/>
      <c r="H188" s="335"/>
      <c r="I188" s="702"/>
      <c r="J188" s="545" t="s">
        <v>89</v>
      </c>
      <c r="K188" s="496">
        <v>502913.91000000003</v>
      </c>
      <c r="L188" s="497">
        <v>502913.91000000003</v>
      </c>
      <c r="M188" s="496">
        <v>403143.9</v>
      </c>
      <c r="N188" s="544">
        <f t="shared" si="145"/>
        <v>99770.010000000009</v>
      </c>
    </row>
    <row r="189" spans="1:31" x14ac:dyDescent="0.2">
      <c r="A189" s="739" t="s">
        <v>58</v>
      </c>
      <c r="B189" s="739"/>
      <c r="C189" s="739"/>
      <c r="D189" s="739"/>
      <c r="E189" s="739"/>
      <c r="I189" s="702"/>
      <c r="J189" s="545" t="s">
        <v>104</v>
      </c>
      <c r="K189" s="496">
        <v>149002.85</v>
      </c>
      <c r="L189" s="497">
        <v>149002.85</v>
      </c>
      <c r="M189" s="496">
        <v>109412.85</v>
      </c>
      <c r="N189" s="544">
        <f t="shared" si="145"/>
        <v>39590</v>
      </c>
    </row>
    <row r="190" spans="1:31" ht="25.5" customHeight="1" x14ac:dyDescent="0.2">
      <c r="I190" s="703" t="s">
        <v>301</v>
      </c>
      <c r="J190" s="555" t="s">
        <v>68</v>
      </c>
      <c r="K190" s="544">
        <f>SUM(K184+K187)</f>
        <v>1279428.96</v>
      </c>
      <c r="L190" s="544">
        <f>SUM(L184+L187)</f>
        <v>1279428.96</v>
      </c>
      <c r="M190" s="544">
        <f>SUM(M184+M187)</f>
        <v>788129.89999999991</v>
      </c>
      <c r="N190" s="544">
        <f>SUM(N184+N187)</f>
        <v>491299.06</v>
      </c>
    </row>
    <row r="191" spans="1:31" s="150" customFormat="1" x14ac:dyDescent="0.2">
      <c r="A191" s="301" t="s">
        <v>38</v>
      </c>
      <c r="B191" s="144"/>
      <c r="C191" s="144"/>
      <c r="D191" s="134"/>
      <c r="F191" s="151"/>
      <c r="H191" s="147"/>
      <c r="I191" s="703"/>
      <c r="J191" s="555" t="s">
        <v>89</v>
      </c>
      <c r="K191" s="544">
        <f t="shared" ref="K191:N192" si="146">SUM(K188+K185)</f>
        <v>1290361.1499999999</v>
      </c>
      <c r="L191" s="544">
        <f t="shared" si="146"/>
        <v>1290361.1499999999</v>
      </c>
      <c r="M191" s="544">
        <f t="shared" si="146"/>
        <v>1157924.04</v>
      </c>
      <c r="N191" s="544">
        <f t="shared" si="146"/>
        <v>132437.10999999999</v>
      </c>
      <c r="O191" s="148"/>
      <c r="P191" s="147"/>
      <c r="Q191" s="148"/>
      <c r="R191" s="148"/>
      <c r="S191" s="148"/>
      <c r="T191" s="149"/>
      <c r="U191" s="149"/>
      <c r="W191" s="151"/>
      <c r="X191" s="134"/>
      <c r="Y191" s="357"/>
      <c r="Z191" s="134"/>
      <c r="AA191" s="358"/>
      <c r="AB191" s="375"/>
      <c r="AC191" s="400"/>
      <c r="AD191" s="40"/>
      <c r="AE191" s="134"/>
    </row>
    <row r="192" spans="1:31" s="150" customFormat="1" x14ac:dyDescent="0.2">
      <c r="A192" s="300" t="s">
        <v>14</v>
      </c>
      <c r="B192" s="144"/>
      <c r="C192" s="144"/>
      <c r="D192" s="134"/>
      <c r="F192" s="151"/>
      <c r="H192" s="132"/>
      <c r="I192" s="703"/>
      <c r="J192" s="555" t="s">
        <v>104</v>
      </c>
      <c r="K192" s="544">
        <f t="shared" si="146"/>
        <v>430077.94000000006</v>
      </c>
      <c r="L192" s="544">
        <f t="shared" si="146"/>
        <v>430077.94000000006</v>
      </c>
      <c r="M192" s="544">
        <f t="shared" si="146"/>
        <v>390485.80000000005</v>
      </c>
      <c r="N192" s="544">
        <f t="shared" si="146"/>
        <v>39592.140000000014</v>
      </c>
      <c r="P192" s="132"/>
      <c r="T192" s="151"/>
      <c r="U192" s="151"/>
      <c r="W192" s="151"/>
      <c r="X192" s="134"/>
      <c r="Y192" s="357"/>
      <c r="Z192" s="134"/>
      <c r="AA192" s="358"/>
      <c r="AB192" s="375"/>
      <c r="AC192" s="400"/>
      <c r="AD192" s="40"/>
      <c r="AE192" s="134"/>
    </row>
    <row r="193" spans="1:31" s="150" customFormat="1" x14ac:dyDescent="0.2">
      <c r="A193" s="300" t="s">
        <v>15</v>
      </c>
      <c r="B193" s="144"/>
      <c r="C193" s="144"/>
      <c r="D193" s="134"/>
      <c r="F193" s="151"/>
      <c r="H193" s="132"/>
      <c r="I193" s="703"/>
      <c r="J193" s="555" t="s">
        <v>302</v>
      </c>
      <c r="K193" s="544">
        <f>SUM(K190:K192)</f>
        <v>2999868.05</v>
      </c>
      <c r="L193" s="544">
        <f t="shared" ref="L193:N193" si="147">SUM(L190:L192)</f>
        <v>2999868.05</v>
      </c>
      <c r="M193" s="544">
        <f t="shared" si="147"/>
        <v>2336539.7400000002</v>
      </c>
      <c r="N193" s="544">
        <f t="shared" si="147"/>
        <v>663328.30999999994</v>
      </c>
      <c r="P193" s="132"/>
      <c r="T193" s="151"/>
      <c r="U193" s="151"/>
      <c r="W193" s="151"/>
      <c r="X193" s="134"/>
      <c r="Y193" s="357"/>
      <c r="Z193" s="134"/>
      <c r="AA193" s="358"/>
      <c r="AB193" s="375"/>
      <c r="AC193" s="400"/>
      <c r="AD193" s="40"/>
      <c r="AE193" s="134"/>
    </row>
    <row r="194" spans="1:31" s="150" customFormat="1" x14ac:dyDescent="0.2">
      <c r="A194" s="300" t="s">
        <v>30</v>
      </c>
      <c r="B194" s="144"/>
      <c r="C194" s="144"/>
      <c r="D194" s="134"/>
      <c r="F194" s="151"/>
      <c r="H194" s="132"/>
      <c r="L194" s="151"/>
      <c r="N194" s="151"/>
      <c r="P194" s="132"/>
      <c r="T194" s="151"/>
      <c r="U194" s="151"/>
      <c r="W194" s="151"/>
      <c r="X194" s="134"/>
      <c r="Y194" s="357"/>
      <c r="Z194" s="134"/>
      <c r="AA194" s="358"/>
      <c r="AB194" s="375"/>
      <c r="AC194" s="400"/>
      <c r="AD194" s="40"/>
      <c r="AE194" s="134"/>
    </row>
    <row r="195" spans="1:31" s="150" customFormat="1" x14ac:dyDescent="0.2">
      <c r="A195" s="300" t="s">
        <v>36</v>
      </c>
      <c r="B195" s="144"/>
      <c r="C195" s="144"/>
      <c r="D195" s="134"/>
      <c r="F195" s="151"/>
      <c r="H195" s="132"/>
      <c r="L195" s="151"/>
      <c r="N195" s="151"/>
      <c r="P195" s="132"/>
      <c r="T195" s="151"/>
      <c r="U195" s="151"/>
      <c r="W195" s="151"/>
      <c r="X195" s="134"/>
      <c r="Y195" s="357"/>
      <c r="Z195" s="134"/>
      <c r="AA195" s="358"/>
      <c r="AB195" s="375"/>
      <c r="AC195" s="400"/>
      <c r="AD195" s="40"/>
      <c r="AE195" s="134"/>
    </row>
    <row r="196" spans="1:31" s="150" customFormat="1" x14ac:dyDescent="0.2">
      <c r="A196" s="300" t="s">
        <v>16</v>
      </c>
      <c r="B196" s="144"/>
      <c r="C196" s="144"/>
      <c r="D196" s="134"/>
      <c r="F196" s="151"/>
      <c r="H196" s="132"/>
      <c r="L196" s="151"/>
      <c r="N196" s="151"/>
      <c r="P196" s="132"/>
      <c r="T196" s="151"/>
      <c r="U196" s="151"/>
      <c r="W196" s="151"/>
      <c r="X196" s="134"/>
      <c r="Y196" s="357"/>
      <c r="Z196" s="134"/>
      <c r="AA196" s="358"/>
      <c r="AB196" s="375"/>
      <c r="AC196" s="400"/>
      <c r="AD196" s="40"/>
      <c r="AE196" s="134"/>
    </row>
    <row r="197" spans="1:31" s="150" customFormat="1" x14ac:dyDescent="0.2">
      <c r="A197" s="300" t="s">
        <v>37</v>
      </c>
      <c r="B197" s="144"/>
      <c r="C197" s="144"/>
      <c r="D197" s="134"/>
      <c r="F197" s="151"/>
      <c r="H197" s="132"/>
      <c r="L197" s="151"/>
      <c r="N197" s="151"/>
      <c r="P197" s="132"/>
      <c r="T197" s="151"/>
      <c r="U197" s="151"/>
      <c r="W197" s="151"/>
      <c r="X197" s="134"/>
      <c r="Y197" s="357"/>
      <c r="Z197" s="134"/>
      <c r="AA197" s="358"/>
      <c r="AB197" s="375"/>
      <c r="AC197" s="400"/>
      <c r="AD197" s="40"/>
      <c r="AE197" s="134"/>
    </row>
    <row r="198" spans="1:31" s="150" customFormat="1" x14ac:dyDescent="0.2">
      <c r="A198" s="300" t="s">
        <v>17</v>
      </c>
      <c r="B198" s="144"/>
      <c r="C198" s="144"/>
      <c r="D198" s="134"/>
      <c r="F198" s="151"/>
      <c r="H198" s="132"/>
      <c r="L198" s="151"/>
      <c r="N198" s="151"/>
      <c r="P198" s="132"/>
      <c r="T198" s="151"/>
      <c r="U198" s="151"/>
      <c r="W198" s="151"/>
      <c r="X198" s="134"/>
      <c r="Y198" s="357"/>
      <c r="Z198" s="134"/>
      <c r="AA198" s="358"/>
      <c r="AB198" s="375"/>
      <c r="AC198" s="400"/>
      <c r="AD198" s="40"/>
      <c r="AE198" s="134"/>
    </row>
  </sheetData>
  <dataConsolidate/>
  <mergeCells count="75">
    <mergeCell ref="A101:G101"/>
    <mergeCell ref="A103:A111"/>
    <mergeCell ref="B112:G112"/>
    <mergeCell ref="A73:A81"/>
    <mergeCell ref="B81:G81"/>
    <mergeCell ref="A82:G82"/>
    <mergeCell ref="A83:X83"/>
    <mergeCell ref="A84:A88"/>
    <mergeCell ref="B88:G88"/>
    <mergeCell ref="A89:A100"/>
    <mergeCell ref="B100:G100"/>
    <mergeCell ref="A170:D171"/>
    <mergeCell ref="B147:G147"/>
    <mergeCell ref="B154:G154"/>
    <mergeCell ref="B164:G164"/>
    <mergeCell ref="B168:G168"/>
    <mergeCell ref="A169:G169"/>
    <mergeCell ref="A188:E188"/>
    <mergeCell ref="A189:E189"/>
    <mergeCell ref="B172:G172"/>
    <mergeCell ref="A173:G173"/>
    <mergeCell ref="A178:G178"/>
    <mergeCell ref="A179:G179"/>
    <mergeCell ref="A180:C180"/>
    <mergeCell ref="A184:E184"/>
    <mergeCell ref="B174:G174"/>
    <mergeCell ref="B175:G175"/>
    <mergeCell ref="B176:G176"/>
    <mergeCell ref="B177:G177"/>
    <mergeCell ref="W113:X113"/>
    <mergeCell ref="A114:G114"/>
    <mergeCell ref="A115:X115"/>
    <mergeCell ref="B123:G123"/>
    <mergeCell ref="B139:G139"/>
    <mergeCell ref="A113:G113"/>
    <mergeCell ref="A68:A72"/>
    <mergeCell ref="B72:G72"/>
    <mergeCell ref="A49:A58"/>
    <mergeCell ref="B58:G58"/>
    <mergeCell ref="A17:A27"/>
    <mergeCell ref="B27:G27"/>
    <mergeCell ref="A28:A35"/>
    <mergeCell ref="B35:G35"/>
    <mergeCell ref="A36:A41"/>
    <mergeCell ref="B41:G41"/>
    <mergeCell ref="A42:A48"/>
    <mergeCell ref="A59:G59"/>
    <mergeCell ref="A60:X60"/>
    <mergeCell ref="A61:A67"/>
    <mergeCell ref="B67:G67"/>
    <mergeCell ref="B48:G48"/>
    <mergeCell ref="Z8:Z9"/>
    <mergeCell ref="AA8:AC8"/>
    <mergeCell ref="N8:N9"/>
    <mergeCell ref="A4:B4"/>
    <mergeCell ref="A5:B5"/>
    <mergeCell ref="A6:B6"/>
    <mergeCell ref="A7:B7"/>
    <mergeCell ref="A8:B8"/>
    <mergeCell ref="O8:Q8"/>
    <mergeCell ref="A9:B9"/>
    <mergeCell ref="U8:U9"/>
    <mergeCell ref="V8:X8"/>
    <mergeCell ref="I8:K8"/>
    <mergeCell ref="L8:L9"/>
    <mergeCell ref="H8:H9"/>
    <mergeCell ref="I184:I186"/>
    <mergeCell ref="I187:I189"/>
    <mergeCell ref="I190:I193"/>
    <mergeCell ref="I182:N182"/>
    <mergeCell ref="M173:O173"/>
    <mergeCell ref="M174:O174"/>
    <mergeCell ref="M175:O175"/>
    <mergeCell ref="M176:O176"/>
    <mergeCell ref="M177:O177"/>
  </mergeCells>
  <dataValidations count="3">
    <dataValidation type="list" allowBlank="1" showInputMessage="1" showErrorMessage="1" sqref="C164 C168 C72 C123 C147 C154 C100 C81 C67 C139 D153 D122">
      <formula1>categories</formula1>
    </dataValidation>
    <dataValidation type="list" allowBlank="1" showInputMessage="1" showErrorMessage="1" sqref="C89:C99 C17:C26 C166:C167 C73:C80 C141:C146 C125:C138 C84:C87 C117:C122 C36:C40 C42:C47 C49:C57 C103:C111 C149:C153 C156:C163 C68:C71 C61:C66 C28:C34">
      <formula1>$A$192:$A$198</formula1>
    </dataValidation>
    <dataValidation type="list" allowBlank="1" showInputMessage="1" showErrorMessage="1" sqref="C35">
      <formula1>$A$112:$A$119</formula1>
    </dataValidation>
  </dataValidations>
  <pageMargins left="0.19685039370078741" right="3.937007874015748E-2" top="0.9055118110236221" bottom="0.6692913385826772" header="0" footer="0"/>
  <pageSetup scale="24" fitToHeight="0" orientation="landscape" r:id="rId1"/>
  <headerFooter alignWithMargins="0">
    <oddFooter>Página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topLeftCell="B1" zoomScale="80" zoomScaleNormal="80" zoomScalePageLayoutView="80" workbookViewId="0">
      <selection activeCell="L14" sqref="L14"/>
    </sheetView>
  </sheetViews>
  <sheetFormatPr defaultColWidth="11.42578125" defaultRowHeight="15.75" x14ac:dyDescent="0.2"/>
  <cols>
    <col min="1" max="1" width="6.140625" style="2" customWidth="1"/>
    <col min="2" max="2" width="36.42578125" style="2" customWidth="1"/>
    <col min="3" max="3" width="15.85546875" style="12" customWidth="1"/>
    <col min="4" max="4" width="18.5703125" style="12" customWidth="1"/>
    <col min="5" max="5" width="16.140625" style="12" customWidth="1"/>
    <col min="6" max="6" width="18.42578125" style="12" customWidth="1"/>
    <col min="7" max="7" width="16.85546875" style="12" customWidth="1"/>
    <col min="8" max="8" width="13" style="12" customWidth="1"/>
    <col min="9" max="9" width="12.42578125" style="12" customWidth="1"/>
    <col min="10" max="10" width="15.42578125" style="12" customWidth="1"/>
    <col min="11" max="11" width="14.42578125" style="12" customWidth="1"/>
    <col min="12" max="12" width="13.5703125" style="12" customWidth="1"/>
    <col min="13" max="13" width="15.5703125" style="4" customWidth="1"/>
    <col min="14" max="14" width="15.42578125" style="4" customWidth="1"/>
    <col min="15" max="15" width="18.140625" style="2" customWidth="1"/>
    <col min="16" max="16" width="16.42578125" style="2" customWidth="1"/>
    <col min="17" max="17" width="17.42578125" style="2" customWidth="1"/>
    <col min="18" max="18" width="17.140625" style="2" customWidth="1"/>
    <col min="19" max="19" width="14.85546875" style="2" bestFit="1" customWidth="1"/>
    <col min="20" max="16384" width="11.42578125" style="2"/>
  </cols>
  <sheetData>
    <row r="1" spans="2:19" x14ac:dyDescent="0.2">
      <c r="M1" s="3"/>
      <c r="O1" s="2" t="s">
        <v>213</v>
      </c>
    </row>
    <row r="2" spans="2:19" x14ac:dyDescent="0.2">
      <c r="B2" s="42" t="s">
        <v>20</v>
      </c>
      <c r="C2" s="42"/>
      <c r="D2" s="42"/>
      <c r="E2" s="42"/>
      <c r="F2" s="42"/>
      <c r="G2" s="42"/>
      <c r="H2" s="42"/>
      <c r="I2" s="42"/>
      <c r="J2" s="42"/>
      <c r="K2" s="42"/>
      <c r="L2" s="42"/>
      <c r="M2" s="42"/>
    </row>
    <row r="3" spans="2:19" x14ac:dyDescent="0.2">
      <c r="B3" s="42" t="s">
        <v>21</v>
      </c>
      <c r="C3" s="42"/>
      <c r="D3" s="42"/>
      <c r="E3" s="42"/>
      <c r="F3" s="42"/>
      <c r="G3" s="42"/>
      <c r="H3" s="42"/>
      <c r="I3" s="42"/>
      <c r="J3" s="42"/>
      <c r="K3" s="42"/>
      <c r="L3" s="42"/>
      <c r="M3" s="42"/>
    </row>
    <row r="4" spans="2:19" x14ac:dyDescent="0.2">
      <c r="B4" s="42" t="s">
        <v>19</v>
      </c>
      <c r="C4" s="42"/>
      <c r="D4" s="42"/>
      <c r="E4" s="42"/>
      <c r="F4" s="42"/>
      <c r="G4" s="42"/>
      <c r="H4" s="42"/>
      <c r="I4" s="42"/>
      <c r="J4" s="42"/>
      <c r="K4" s="42"/>
      <c r="L4" s="42"/>
      <c r="M4" s="42"/>
    </row>
    <row r="5" spans="2:19" x14ac:dyDescent="0.2">
      <c r="B5" s="42" t="s">
        <v>53</v>
      </c>
      <c r="C5" s="42"/>
      <c r="D5" s="42"/>
      <c r="E5" s="42"/>
      <c r="F5" s="42"/>
      <c r="G5" s="42"/>
      <c r="H5" s="42"/>
      <c r="I5" s="42"/>
      <c r="J5" s="42"/>
      <c r="K5" s="42"/>
      <c r="L5" s="42"/>
      <c r="M5" s="42"/>
      <c r="N5" s="42"/>
      <c r="O5" s="42"/>
    </row>
    <row r="6" spans="2:19" x14ac:dyDescent="0.2">
      <c r="B6" s="42" t="s">
        <v>59</v>
      </c>
      <c r="C6" s="42"/>
      <c r="D6" s="42"/>
      <c r="E6" s="42"/>
      <c r="F6" s="42"/>
      <c r="G6" s="42"/>
      <c r="H6" s="42"/>
      <c r="I6" s="42"/>
      <c r="J6" s="42"/>
      <c r="K6" s="42"/>
      <c r="L6" s="42"/>
      <c r="M6" s="42"/>
      <c r="N6" s="42"/>
      <c r="O6" s="42"/>
    </row>
    <row r="7" spans="2:19" x14ac:dyDescent="0.2">
      <c r="B7" s="42" t="s">
        <v>61</v>
      </c>
      <c r="C7" s="42"/>
      <c r="D7" s="42"/>
      <c r="E7" s="42"/>
      <c r="F7" s="42"/>
      <c r="G7" s="42"/>
      <c r="H7" s="42"/>
      <c r="I7" s="42"/>
      <c r="J7" s="42"/>
      <c r="K7" s="42"/>
      <c r="L7" s="42"/>
      <c r="M7" s="42"/>
      <c r="N7" s="42"/>
      <c r="O7" s="42"/>
    </row>
    <row r="8" spans="2:19" s="8" customFormat="1" x14ac:dyDescent="0.2">
      <c r="C8" s="81" t="s">
        <v>68</v>
      </c>
      <c r="D8" s="81"/>
      <c r="E8" s="81"/>
      <c r="F8" s="81"/>
      <c r="G8" s="81" t="s">
        <v>104</v>
      </c>
      <c r="H8" s="81"/>
      <c r="I8" s="81"/>
      <c r="J8" s="81"/>
      <c r="K8" s="81" t="s">
        <v>89</v>
      </c>
      <c r="L8" s="81"/>
      <c r="M8" s="82"/>
      <c r="N8" s="82"/>
      <c r="O8" s="83" t="s">
        <v>214</v>
      </c>
      <c r="P8" s="84"/>
      <c r="Q8" s="84"/>
      <c r="R8" s="84"/>
    </row>
    <row r="9" spans="2:19" ht="31.5" x14ac:dyDescent="0.2">
      <c r="B9" s="28" t="s">
        <v>1</v>
      </c>
      <c r="C9" s="21" t="s">
        <v>192</v>
      </c>
      <c r="D9" s="21" t="s">
        <v>215</v>
      </c>
      <c r="E9" s="30" t="s">
        <v>191</v>
      </c>
      <c r="F9" s="30" t="s">
        <v>193</v>
      </c>
      <c r="G9" s="29" t="s">
        <v>192</v>
      </c>
      <c r="H9" s="29" t="s">
        <v>215</v>
      </c>
      <c r="I9" s="30" t="s">
        <v>191</v>
      </c>
      <c r="J9" s="30" t="s">
        <v>193</v>
      </c>
      <c r="K9" s="29" t="s">
        <v>192</v>
      </c>
      <c r="L9" s="29" t="s">
        <v>215</v>
      </c>
      <c r="M9" s="32" t="s">
        <v>191</v>
      </c>
      <c r="N9" s="32" t="s">
        <v>193</v>
      </c>
      <c r="O9" s="68" t="s">
        <v>216</v>
      </c>
      <c r="P9" s="70" t="s">
        <v>217</v>
      </c>
      <c r="Q9" s="71" t="s">
        <v>218</v>
      </c>
      <c r="R9" s="72" t="s">
        <v>31</v>
      </c>
    </row>
    <row r="10" spans="2:19" ht="31.5" x14ac:dyDescent="0.2">
      <c r="B10" s="5" t="s">
        <v>183</v>
      </c>
      <c r="C10" s="22">
        <v>96000</v>
      </c>
      <c r="D10" s="22">
        <v>96000</v>
      </c>
      <c r="E10" s="31">
        <v>192000</v>
      </c>
      <c r="F10" s="45">
        <f>E10/E17</f>
        <v>0.16057163502067359</v>
      </c>
      <c r="G10" s="22">
        <v>61200</v>
      </c>
      <c r="H10" s="62">
        <v>0</v>
      </c>
      <c r="I10" s="47">
        <f>G10+H10</f>
        <v>61200</v>
      </c>
      <c r="J10" s="64">
        <f>I10/I17</f>
        <v>0.15226077394250911</v>
      </c>
      <c r="K10" s="62">
        <v>51600</v>
      </c>
      <c r="L10" s="63">
        <v>51600</v>
      </c>
      <c r="M10" s="65">
        <f>K10+L10</f>
        <v>103200</v>
      </c>
      <c r="N10" s="57">
        <f>M10/M17</f>
        <v>8.5576042025133817E-2</v>
      </c>
      <c r="O10" s="66">
        <f>C10+G10+K10</f>
        <v>208800</v>
      </c>
      <c r="P10" s="66">
        <f>D10+H10+L10</f>
        <v>147600</v>
      </c>
      <c r="Q10" s="61">
        <f>SUM(O10+P10)</f>
        <v>356400</v>
      </c>
      <c r="R10" s="69">
        <f>Q10/Q17</f>
        <v>0.127121591231321</v>
      </c>
    </row>
    <row r="11" spans="2:19" ht="31.5" x14ac:dyDescent="0.2">
      <c r="B11" s="6" t="s">
        <v>184</v>
      </c>
      <c r="C11" s="23">
        <v>50500</v>
      </c>
      <c r="D11" s="23">
        <v>26300</v>
      </c>
      <c r="E11" s="31">
        <v>76800</v>
      </c>
      <c r="F11" s="46">
        <f>E11/E17</f>
        <v>6.4228654008269437E-2</v>
      </c>
      <c r="G11" s="23">
        <v>0</v>
      </c>
      <c r="H11" s="62">
        <v>0</v>
      </c>
      <c r="I11" s="48">
        <f t="shared" ref="I11:I16" si="0">G11+H11</f>
        <v>0</v>
      </c>
      <c r="J11" s="64">
        <v>0</v>
      </c>
      <c r="K11" s="62">
        <v>25100</v>
      </c>
      <c r="L11" s="63">
        <v>19950</v>
      </c>
      <c r="M11" s="65">
        <f t="shared" ref="M11:M16" si="1">K11+L11</f>
        <v>45050</v>
      </c>
      <c r="N11" s="57">
        <f>M11/M17</f>
        <v>3.7356595864653862E-2</v>
      </c>
      <c r="O11" s="66">
        <f t="shared" ref="O11:O15" si="2">C11+G11+K11</f>
        <v>75600</v>
      </c>
      <c r="P11" s="67">
        <f t="shared" ref="P11:P15" si="3">D11+H11+L11</f>
        <v>46250</v>
      </c>
      <c r="Q11" s="61">
        <f>SUM(O11+P11)</f>
        <v>121850</v>
      </c>
      <c r="R11" s="69">
        <f>Q11/Q17</f>
        <v>4.3461744925747649E-2</v>
      </c>
    </row>
    <row r="12" spans="2:19" x14ac:dyDescent="0.2">
      <c r="B12" s="6" t="s">
        <v>185</v>
      </c>
      <c r="C12" s="23">
        <v>9400</v>
      </c>
      <c r="D12" s="23">
        <v>0</v>
      </c>
      <c r="E12" s="31">
        <v>9400</v>
      </c>
      <c r="F12" s="46">
        <f>E12/E17</f>
        <v>7.861319631220479E-3</v>
      </c>
      <c r="G12" s="23">
        <v>0</v>
      </c>
      <c r="H12" s="62">
        <v>0</v>
      </c>
      <c r="I12" s="48">
        <f t="shared" si="0"/>
        <v>0</v>
      </c>
      <c r="J12" s="64">
        <v>0</v>
      </c>
      <c r="K12" s="62">
        <v>1000</v>
      </c>
      <c r="L12" s="63">
        <v>0</v>
      </c>
      <c r="M12" s="65">
        <f t="shared" si="1"/>
        <v>1000</v>
      </c>
      <c r="N12" s="57">
        <f>M12/M17</f>
        <v>8.2922521342183929E-4</v>
      </c>
      <c r="O12" s="66">
        <f t="shared" si="2"/>
        <v>10400</v>
      </c>
      <c r="P12" s="67">
        <f t="shared" si="3"/>
        <v>0</v>
      </c>
      <c r="Q12" s="61">
        <f>SUM(O12+P12)</f>
        <v>10400</v>
      </c>
      <c r="R12" s="69">
        <f>Q12/Q17</f>
        <v>3.7094964893539233E-3</v>
      </c>
    </row>
    <row r="13" spans="2:19" x14ac:dyDescent="0.2">
      <c r="B13" s="6" t="s">
        <v>186</v>
      </c>
      <c r="C13" s="23">
        <v>129600</v>
      </c>
      <c r="D13" s="23">
        <v>50000</v>
      </c>
      <c r="E13" s="31">
        <v>179600</v>
      </c>
      <c r="F13" s="45">
        <f>E13/E17</f>
        <v>0.1502013835922551</v>
      </c>
      <c r="G13" s="23">
        <v>15000</v>
      </c>
      <c r="H13" s="62">
        <v>0</v>
      </c>
      <c r="I13" s="48">
        <f t="shared" si="0"/>
        <v>15000</v>
      </c>
      <c r="J13" s="64">
        <f>I13/I17</f>
        <v>3.731881714277184E-2</v>
      </c>
      <c r="K13" s="62">
        <v>0</v>
      </c>
      <c r="L13" s="63">
        <v>0</v>
      </c>
      <c r="M13" s="65">
        <v>0</v>
      </c>
      <c r="N13" s="57">
        <f>M13/M17</f>
        <v>0</v>
      </c>
      <c r="O13" s="66">
        <f t="shared" si="2"/>
        <v>144600</v>
      </c>
      <c r="P13" s="67">
        <f t="shared" si="3"/>
        <v>50000</v>
      </c>
      <c r="Q13" s="61">
        <f>SUM(O13+P13)</f>
        <v>194600</v>
      </c>
      <c r="R13" s="69">
        <f>Q13/Q17</f>
        <v>6.9410386233487831E-2</v>
      </c>
    </row>
    <row r="14" spans="2:19" x14ac:dyDescent="0.2">
      <c r="B14" s="7" t="s">
        <v>187</v>
      </c>
      <c r="C14" s="24">
        <v>75000</v>
      </c>
      <c r="D14" s="24">
        <v>75000</v>
      </c>
      <c r="E14" s="31">
        <v>150000</v>
      </c>
      <c r="F14" s="45">
        <f>E14/E17</f>
        <v>0.12544658985990126</v>
      </c>
      <c r="G14" s="24">
        <v>15087</v>
      </c>
      <c r="H14" s="62">
        <v>7755</v>
      </c>
      <c r="I14" s="48">
        <f t="shared" si="0"/>
        <v>22842</v>
      </c>
      <c r="J14" s="64">
        <f>I14/I17</f>
        <v>5.6829094745012965E-2</v>
      </c>
      <c r="K14" s="62">
        <v>49896</v>
      </c>
      <c r="L14" s="63">
        <v>49896</v>
      </c>
      <c r="M14" s="65">
        <f t="shared" si="1"/>
        <v>99792</v>
      </c>
      <c r="N14" s="57">
        <f>M14/M17</f>
        <v>8.2750042497792192E-2</v>
      </c>
      <c r="O14" s="66">
        <f t="shared" si="2"/>
        <v>139983</v>
      </c>
      <c r="P14" s="67">
        <f t="shared" si="3"/>
        <v>132651</v>
      </c>
      <c r="Q14" s="61">
        <f>SUM(O14+P14)</f>
        <v>272634</v>
      </c>
      <c r="R14" s="69">
        <f>Q14/Q17</f>
        <v>9.7243737103703612E-2</v>
      </c>
    </row>
    <row r="15" spans="2:19" x14ac:dyDescent="0.2">
      <c r="B15" s="7" t="s">
        <v>188</v>
      </c>
      <c r="C15" s="24">
        <v>279770</v>
      </c>
      <c r="D15" s="24">
        <v>156410</v>
      </c>
      <c r="E15" s="31">
        <v>436180</v>
      </c>
      <c r="F15" s="45">
        <f>E15/E17</f>
        <v>0.36478195710061151</v>
      </c>
      <c r="G15" s="24">
        <v>141400</v>
      </c>
      <c r="H15" s="62">
        <v>131500</v>
      </c>
      <c r="I15" s="48">
        <f t="shared" si="0"/>
        <v>272900</v>
      </c>
      <c r="J15" s="64">
        <f>I15/I17</f>
        <v>0.67895367988416244</v>
      </c>
      <c r="K15" s="62">
        <v>555052</v>
      </c>
      <c r="L15" s="63">
        <v>317150</v>
      </c>
      <c r="M15" s="65">
        <f t="shared" si="1"/>
        <v>872202</v>
      </c>
      <c r="N15" s="57">
        <f>M15/M17</f>
        <v>0.72325188959695508</v>
      </c>
      <c r="O15" s="66">
        <f t="shared" si="2"/>
        <v>976222</v>
      </c>
      <c r="P15" s="67">
        <f t="shared" si="3"/>
        <v>605060</v>
      </c>
      <c r="Q15" s="61">
        <f t="shared" ref="Q15:Q16" si="4">SUM(O15+P15)</f>
        <v>1581282</v>
      </c>
      <c r="R15" s="69">
        <f>Q15/Q17</f>
        <v>0.56401538727678369</v>
      </c>
    </row>
    <row r="16" spans="2:19" ht="31.5" x14ac:dyDescent="0.2">
      <c r="B16" s="7" t="s">
        <v>219</v>
      </c>
      <c r="C16" s="24">
        <v>83124</v>
      </c>
      <c r="D16" s="24">
        <v>68624</v>
      </c>
      <c r="E16" s="31">
        <v>151748</v>
      </c>
      <c r="F16" s="45">
        <f>E16/E17</f>
        <v>0.12690846078706863</v>
      </c>
      <c r="G16" s="24">
        <v>30000</v>
      </c>
      <c r="H16" s="62">
        <v>0</v>
      </c>
      <c r="I16" s="47">
        <f t="shared" si="0"/>
        <v>30000</v>
      </c>
      <c r="J16" s="64">
        <f>I16/I17</f>
        <v>7.463763428554368E-2</v>
      </c>
      <c r="K16" s="62">
        <v>53284</v>
      </c>
      <c r="L16" s="63">
        <v>31417</v>
      </c>
      <c r="M16" s="65">
        <f t="shared" si="1"/>
        <v>84701</v>
      </c>
      <c r="N16" s="57">
        <f>M16/M17</f>
        <v>7.0236204802043206E-2</v>
      </c>
      <c r="O16" s="66">
        <f>C16+G16+K16</f>
        <v>166408</v>
      </c>
      <c r="P16" s="67">
        <f>D16+H16+L16</f>
        <v>100041</v>
      </c>
      <c r="Q16" s="61">
        <f t="shared" si="4"/>
        <v>266449</v>
      </c>
      <c r="R16" s="69">
        <f>Q16/Q17</f>
        <v>9.5037656739602266E-2</v>
      </c>
      <c r="S16" s="4"/>
    </row>
    <row r="17" spans="2:21" x14ac:dyDescent="0.2">
      <c r="B17" s="10" t="s">
        <v>18</v>
      </c>
      <c r="C17" s="25">
        <f>SUM(C10:C16)</f>
        <v>723394</v>
      </c>
      <c r="D17" s="25">
        <f t="shared" ref="D17:N17" si="5">SUM(D10:D16)</f>
        <v>472334</v>
      </c>
      <c r="E17" s="25">
        <f t="shared" si="5"/>
        <v>1195728</v>
      </c>
      <c r="F17" s="51">
        <f t="shared" si="5"/>
        <v>0.99999999999999989</v>
      </c>
      <c r="G17" s="25">
        <f t="shared" si="5"/>
        <v>262687</v>
      </c>
      <c r="H17" s="25">
        <f t="shared" si="5"/>
        <v>139255</v>
      </c>
      <c r="I17" s="49">
        <f t="shared" si="5"/>
        <v>401942</v>
      </c>
      <c r="J17" s="50">
        <f t="shared" si="5"/>
        <v>1</v>
      </c>
      <c r="K17" s="25">
        <f>SUM(K10:K16)</f>
        <v>735932</v>
      </c>
      <c r="L17" s="49">
        <f t="shared" si="5"/>
        <v>470013</v>
      </c>
      <c r="M17" s="25">
        <f t="shared" si="5"/>
        <v>1205945</v>
      </c>
      <c r="N17" s="50">
        <f t="shared" si="5"/>
        <v>0.99999999999999989</v>
      </c>
      <c r="O17" s="73">
        <f>SUM(O10:O16)</f>
        <v>1722013</v>
      </c>
      <c r="P17" s="80">
        <f>SUM(P10:P16)</f>
        <v>1081602</v>
      </c>
      <c r="Q17" s="80">
        <f>SUM(Q10:Q16)</f>
        <v>2803615</v>
      </c>
      <c r="R17" s="74">
        <f>SUM(R10:R16)</f>
        <v>1</v>
      </c>
    </row>
    <row r="18" spans="2:21" s="19" customFormat="1" x14ac:dyDescent="0.2">
      <c r="B18" s="18" t="s">
        <v>62</v>
      </c>
      <c r="C18" s="26">
        <v>50637.58</v>
      </c>
      <c r="D18" s="26">
        <v>33063.379999999997</v>
      </c>
      <c r="E18" s="26">
        <f>C18+D18</f>
        <v>83700.959999999992</v>
      </c>
      <c r="F18" s="54">
        <f>E18/E17</f>
        <v>6.9999999999999993E-2</v>
      </c>
      <c r="G18" s="26">
        <v>18388.09</v>
      </c>
      <c r="H18" s="26">
        <v>9747.85</v>
      </c>
      <c r="I18" s="53">
        <f>G18+H18</f>
        <v>28135.940000000002</v>
      </c>
      <c r="J18" s="52">
        <f>I18/I17</f>
        <v>7.0000000000000007E-2</v>
      </c>
      <c r="K18" s="26">
        <v>51515.24</v>
      </c>
      <c r="L18" s="53">
        <v>32900.910000000003</v>
      </c>
      <c r="M18" s="27">
        <f>SUM(K18:L18)</f>
        <v>84416.15</v>
      </c>
      <c r="N18" s="55">
        <f>M18/M17</f>
        <v>6.9999999999999993E-2</v>
      </c>
      <c r="O18" s="60">
        <f>C18+G18+K18</f>
        <v>120540.91</v>
      </c>
      <c r="P18" s="75">
        <f>D18+H18+L18</f>
        <v>75712.14</v>
      </c>
      <c r="Q18" s="75">
        <f>SUM(O18:P18)</f>
        <v>196253.05</v>
      </c>
      <c r="R18" s="76">
        <f>Q18/Q17</f>
        <v>6.9999999999999993E-2</v>
      </c>
    </row>
    <row r="19" spans="2:21" x14ac:dyDescent="0.2">
      <c r="B19" s="11" t="s">
        <v>2</v>
      </c>
      <c r="C19" s="34">
        <f>SUM(C17+C18)</f>
        <v>774031.58</v>
      </c>
      <c r="D19" s="34">
        <f>SUM(D17:D18)</f>
        <v>505397.38</v>
      </c>
      <c r="E19" s="34">
        <f>SUM(E17:E18)</f>
        <v>1279428.96</v>
      </c>
      <c r="F19" s="44">
        <f>E19/Q19</f>
        <v>0.42649507867521042</v>
      </c>
      <c r="G19" s="34">
        <f>SUM(G17+G18)</f>
        <v>281075.09000000003</v>
      </c>
      <c r="H19" s="34">
        <f>H17+H18</f>
        <v>149002.85</v>
      </c>
      <c r="I19" s="34">
        <f>I17+I18</f>
        <v>430077.94</v>
      </c>
      <c r="J19" s="56">
        <f>I19/Q19</f>
        <v>0.14336561903114373</v>
      </c>
      <c r="K19" s="34">
        <f>SUM(K17+K18)</f>
        <v>787447.24</v>
      </c>
      <c r="L19" s="34">
        <f>SUM(L17+L18)</f>
        <v>502913.91000000003</v>
      </c>
      <c r="M19" s="34">
        <f>SUM(M17:M18)</f>
        <v>1290361.1499999999</v>
      </c>
      <c r="N19" s="56">
        <f>M19/Q19</f>
        <v>0.43013930229364589</v>
      </c>
      <c r="O19" s="79">
        <f>SUM(O17:O18)</f>
        <v>1842553.91</v>
      </c>
      <c r="P19" s="77">
        <f>P17+P18</f>
        <v>1157314.1399999999</v>
      </c>
      <c r="Q19" s="77">
        <f>Q17+Q18</f>
        <v>2999868.05</v>
      </c>
      <c r="R19" s="78">
        <f>F19+J19+N19</f>
        <v>1</v>
      </c>
    </row>
    <row r="20" spans="2:21" x14ac:dyDescent="0.2">
      <c r="B20" s="2" t="s">
        <v>51</v>
      </c>
    </row>
    <row r="21" spans="2:21" ht="15.75" customHeight="1" x14ac:dyDescent="0.2">
      <c r="B21" s="43" t="s">
        <v>60</v>
      </c>
      <c r="C21" s="427"/>
      <c r="D21" s="427"/>
      <c r="E21" s="427"/>
      <c r="F21" s="427"/>
      <c r="G21" s="427"/>
      <c r="H21" s="427">
        <v>155422</v>
      </c>
      <c r="I21" s="427"/>
      <c r="J21" s="427"/>
      <c r="K21" s="427"/>
      <c r="L21" s="427">
        <v>496493.91</v>
      </c>
      <c r="M21" s="427"/>
      <c r="N21" s="427"/>
      <c r="O21" s="43"/>
      <c r="P21" s="43"/>
      <c r="Q21" s="43"/>
      <c r="R21" s="43"/>
      <c r="S21" s="43"/>
      <c r="T21" s="43"/>
      <c r="U21" s="43"/>
    </row>
    <row r="22" spans="2:21" ht="17.25" customHeight="1" x14ac:dyDescent="0.2"/>
    <row r="23" spans="2:21" x14ac:dyDescent="0.2">
      <c r="H23" s="12">
        <f>SUM(H21-H19)</f>
        <v>6419.1499999999942</v>
      </c>
      <c r="L23" s="12">
        <f>SUM(L21-L19)</f>
        <v>-6420.0000000000582</v>
      </c>
    </row>
    <row r="24" spans="2:21" x14ac:dyDescent="0.2">
      <c r="B24" s="8" t="s">
        <v>164</v>
      </c>
      <c r="C24" s="13"/>
      <c r="D24" s="13"/>
      <c r="E24" s="13"/>
      <c r="F24" s="13"/>
      <c r="G24" s="13"/>
      <c r="H24" s="13"/>
      <c r="I24" s="13"/>
      <c r="J24" s="13"/>
      <c r="K24" s="13"/>
      <c r="L24" s="13"/>
    </row>
    <row r="26" spans="2:21" x14ac:dyDescent="0.2">
      <c r="B26" s="9" t="s">
        <v>166</v>
      </c>
      <c r="C26" s="14" t="s">
        <v>167</v>
      </c>
      <c r="D26" s="14" t="s">
        <v>220</v>
      </c>
      <c r="E26" s="14" t="s">
        <v>0</v>
      </c>
      <c r="F26" s="14" t="s">
        <v>168</v>
      </c>
      <c r="M26" s="35"/>
      <c r="N26" s="1"/>
    </row>
    <row r="27" spans="2:21" x14ac:dyDescent="0.2">
      <c r="B27" s="9" t="s">
        <v>165</v>
      </c>
      <c r="C27" s="15">
        <f>C19</f>
        <v>774031.58</v>
      </c>
      <c r="D27" s="15">
        <f>D19</f>
        <v>505397.38</v>
      </c>
      <c r="E27" s="14">
        <f>E19</f>
        <v>1279428.96</v>
      </c>
      <c r="F27" s="85">
        <f>F19</f>
        <v>0.42649507867521042</v>
      </c>
      <c r="M27" s="37"/>
      <c r="N27" s="1"/>
    </row>
    <row r="28" spans="2:21" x14ac:dyDescent="0.2">
      <c r="B28" s="9" t="s">
        <v>104</v>
      </c>
      <c r="C28" s="15">
        <f>G19</f>
        <v>281075.09000000003</v>
      </c>
      <c r="D28" s="15">
        <f>H19</f>
        <v>149002.85</v>
      </c>
      <c r="E28" s="14">
        <f>I19</f>
        <v>430077.94</v>
      </c>
      <c r="F28" s="85">
        <f>J19</f>
        <v>0.14336561903114373</v>
      </c>
      <c r="M28" s="38"/>
      <c r="N28" s="1"/>
    </row>
    <row r="29" spans="2:21" x14ac:dyDescent="0.2">
      <c r="B29" s="9" t="s">
        <v>89</v>
      </c>
      <c r="C29" s="15">
        <f>K19</f>
        <v>787447.24</v>
      </c>
      <c r="D29" s="15">
        <f>L19</f>
        <v>502913.91000000003</v>
      </c>
      <c r="E29" s="14">
        <f>M19</f>
        <v>1290361.1499999999</v>
      </c>
      <c r="F29" s="85">
        <f>N19</f>
        <v>0.43013930229364589</v>
      </c>
      <c r="M29" s="38"/>
      <c r="N29" s="1"/>
    </row>
    <row r="30" spans="2:21" x14ac:dyDescent="0.2">
      <c r="B30" s="9" t="s">
        <v>0</v>
      </c>
      <c r="C30" s="33">
        <f>SUM(C27:C29)</f>
        <v>1842553.91</v>
      </c>
      <c r="D30" s="33">
        <f>SUM(D27:D29)</f>
        <v>1157314.1400000001</v>
      </c>
      <c r="E30" s="33">
        <f>SUM(E27:E29)</f>
        <v>2999868.05</v>
      </c>
      <c r="F30" s="86">
        <f>SUM(F27:F29)</f>
        <v>1</v>
      </c>
      <c r="M30" s="38"/>
      <c r="N30" s="1"/>
    </row>
    <row r="31" spans="2:21" x14ac:dyDescent="0.2">
      <c r="M31" s="39"/>
      <c r="N31" s="36"/>
    </row>
    <row r="32" spans="2:21" ht="31.5" x14ac:dyDescent="0.2">
      <c r="B32" s="16" t="s">
        <v>181</v>
      </c>
      <c r="C32" s="17" t="s">
        <v>182</v>
      </c>
      <c r="D32" s="17" t="s">
        <v>221</v>
      </c>
      <c r="E32" s="35"/>
      <c r="F32" s="88"/>
      <c r="G32" s="35"/>
      <c r="H32" s="35"/>
      <c r="M32" s="39"/>
      <c r="N32" s="1"/>
    </row>
    <row r="33" spans="2:23" ht="47.25" x14ac:dyDescent="0.2">
      <c r="B33" s="7" t="s">
        <v>42</v>
      </c>
      <c r="C33" s="87">
        <v>1913430</v>
      </c>
      <c r="D33" s="91">
        <f>C33/C36</f>
        <v>0.63783805424375251</v>
      </c>
      <c r="E33" s="35"/>
      <c r="F33" s="88"/>
      <c r="G33" s="88"/>
      <c r="H33" s="35"/>
      <c r="M33" s="39"/>
      <c r="N33" s="1"/>
    </row>
    <row r="34" spans="2:23" ht="47.25" x14ac:dyDescent="0.2">
      <c r="B34" s="7" t="s">
        <v>41</v>
      </c>
      <c r="C34" s="87">
        <v>890185</v>
      </c>
      <c r="D34" s="91">
        <f>C34/C36</f>
        <v>0.29674138500858399</v>
      </c>
      <c r="E34" s="35"/>
      <c r="F34" s="88"/>
      <c r="G34" s="90"/>
      <c r="H34" s="35"/>
      <c r="M34" s="1"/>
      <c r="N34" s="1"/>
    </row>
    <row r="35" spans="2:23" x14ac:dyDescent="0.2">
      <c r="B35" s="7" t="s">
        <v>222</v>
      </c>
      <c r="C35" s="93">
        <f>Q18</f>
        <v>196253.05</v>
      </c>
      <c r="D35" s="94">
        <f>C35/SUM(C33+C34)</f>
        <v>6.9999999999999993E-2</v>
      </c>
      <c r="E35" s="35"/>
      <c r="F35" s="89"/>
      <c r="G35" s="88"/>
      <c r="H35" s="35"/>
      <c r="L35" s="107"/>
      <c r="M35" s="108"/>
      <c r="N35" s="108"/>
      <c r="O35" s="108"/>
      <c r="P35" s="108"/>
      <c r="Q35" s="108"/>
      <c r="R35" s="108"/>
      <c r="S35" s="108"/>
      <c r="T35" s="108"/>
      <c r="U35" s="108"/>
      <c r="V35" s="108"/>
      <c r="W35" s="108"/>
    </row>
    <row r="36" spans="2:23" x14ac:dyDescent="0.2">
      <c r="B36" s="96" t="s">
        <v>26</v>
      </c>
      <c r="C36" s="95">
        <f>SUM(C33:C35)</f>
        <v>2999868.05</v>
      </c>
      <c r="D36" s="92"/>
      <c r="E36" s="35"/>
      <c r="F36" s="89"/>
      <c r="G36" s="89"/>
      <c r="H36" s="35"/>
      <c r="L36" s="107"/>
      <c r="M36" s="108"/>
      <c r="N36" s="108"/>
      <c r="O36" s="108"/>
      <c r="P36" s="108"/>
      <c r="Q36" s="108"/>
      <c r="R36" s="108"/>
      <c r="S36" s="108"/>
      <c r="T36" s="108"/>
      <c r="U36" s="108"/>
      <c r="V36" s="108"/>
      <c r="W36" s="108"/>
    </row>
    <row r="37" spans="2:23" x14ac:dyDescent="0.2">
      <c r="E37" s="35"/>
      <c r="F37" s="35"/>
      <c r="G37" s="35"/>
      <c r="H37" s="35"/>
      <c r="L37" s="107"/>
      <c r="M37" s="109"/>
      <c r="N37" s="109"/>
      <c r="O37" s="108"/>
      <c r="P37" s="108"/>
      <c r="Q37" s="108"/>
      <c r="R37" s="108"/>
      <c r="S37" s="108"/>
      <c r="T37" s="108"/>
      <c r="U37" s="108"/>
      <c r="V37" s="108"/>
      <c r="W37" s="108"/>
    </row>
    <row r="38" spans="2:23" x14ac:dyDescent="0.2">
      <c r="B38" s="125" t="s">
        <v>232</v>
      </c>
      <c r="C38" s="123" t="s">
        <v>233</v>
      </c>
      <c r="D38" s="124" t="s">
        <v>193</v>
      </c>
      <c r="E38" s="123" t="s">
        <v>233</v>
      </c>
      <c r="F38" s="124" t="s">
        <v>193</v>
      </c>
      <c r="G38" s="123" t="s">
        <v>233</v>
      </c>
      <c r="H38" s="124" t="s">
        <v>193</v>
      </c>
      <c r="I38" s="123" t="s">
        <v>233</v>
      </c>
      <c r="J38" s="124" t="s">
        <v>193</v>
      </c>
      <c r="K38" s="123" t="s">
        <v>233</v>
      </c>
      <c r="L38" s="124" t="s">
        <v>193</v>
      </c>
      <c r="M38" s="123" t="s">
        <v>191</v>
      </c>
      <c r="N38" s="123" t="s">
        <v>239</v>
      </c>
      <c r="O38" s="110"/>
      <c r="P38" s="110"/>
      <c r="Q38" s="110"/>
      <c r="R38" s="110"/>
      <c r="S38" s="110"/>
      <c r="T38" s="108"/>
      <c r="U38" s="108"/>
      <c r="V38" s="108"/>
      <c r="W38" s="108"/>
    </row>
    <row r="39" spans="2:23" x14ac:dyDescent="0.2">
      <c r="B39" s="115" t="s">
        <v>234</v>
      </c>
      <c r="C39" s="116">
        <f>C25</f>
        <v>0</v>
      </c>
      <c r="D39" s="119" t="e">
        <f>C39/C41</f>
        <v>#DIV/0!</v>
      </c>
      <c r="E39" s="116">
        <f>J25</f>
        <v>0</v>
      </c>
      <c r="F39" s="119" t="e">
        <f>E39/E41</f>
        <v>#DIV/0!</v>
      </c>
      <c r="G39" s="116">
        <f>K25</f>
        <v>0</v>
      </c>
      <c r="H39" s="119" t="e">
        <f>G39/G41</f>
        <v>#DIV/0!</v>
      </c>
      <c r="I39" s="116">
        <f>L25</f>
        <v>0</v>
      </c>
      <c r="J39" s="119" t="e">
        <f>I39/I41</f>
        <v>#DIV/0!</v>
      </c>
      <c r="K39" s="116">
        <f>M25</f>
        <v>0</v>
      </c>
      <c r="L39" s="119" t="e">
        <f>K39/K41</f>
        <v>#DIV/0!</v>
      </c>
      <c r="M39" s="117">
        <f>C39+E39+G39+I39+K39</f>
        <v>0</v>
      </c>
      <c r="N39" s="117" t="e">
        <f>D39+F39+H39+J39+L39</f>
        <v>#DIV/0!</v>
      </c>
      <c r="O39" s="111"/>
      <c r="P39" s="111"/>
      <c r="Q39" s="111"/>
      <c r="R39" s="111"/>
      <c r="S39" s="112"/>
      <c r="T39" s="108"/>
      <c r="U39" s="108"/>
      <c r="V39" s="108"/>
      <c r="W39" s="108"/>
    </row>
    <row r="40" spans="2:23" x14ac:dyDescent="0.2">
      <c r="B40" s="99" t="s">
        <v>235</v>
      </c>
      <c r="C40" s="100">
        <f>C39*0.07</f>
        <v>0</v>
      </c>
      <c r="D40" s="120" t="e">
        <f>C40/C41</f>
        <v>#DIV/0!</v>
      </c>
      <c r="E40" s="100">
        <f>E39*0.07</f>
        <v>0</v>
      </c>
      <c r="F40" s="120" t="e">
        <f>E40/E41</f>
        <v>#DIV/0!</v>
      </c>
      <c r="G40" s="100">
        <f>G39*0.07</f>
        <v>0</v>
      </c>
      <c r="H40" s="120" t="e">
        <f>G40/G41</f>
        <v>#DIV/0!</v>
      </c>
      <c r="I40" s="100">
        <f t="shared" ref="I40" si="6">I39*0.07</f>
        <v>0</v>
      </c>
      <c r="J40" s="120" t="e">
        <f>I40/I41</f>
        <v>#DIV/0!</v>
      </c>
      <c r="K40" s="100">
        <f>K39*0.07</f>
        <v>0</v>
      </c>
      <c r="L40" s="120" t="e">
        <f>K40/K41</f>
        <v>#DIV/0!</v>
      </c>
      <c r="M40" s="100">
        <f>C40+E40+G40+I40+K40</f>
        <v>0</v>
      </c>
      <c r="N40" s="118" t="e">
        <f>D40+F40+H40+J40+L40</f>
        <v>#DIV/0!</v>
      </c>
      <c r="O40" s="111"/>
      <c r="P40" s="111"/>
      <c r="Q40" s="111"/>
      <c r="R40" s="111"/>
      <c r="S40" s="111"/>
      <c r="T40" s="108"/>
      <c r="U40" s="108"/>
      <c r="V40" s="108"/>
      <c r="W40" s="108"/>
    </row>
    <row r="41" spans="2:23" x14ac:dyDescent="0.2">
      <c r="B41" s="101" t="s">
        <v>236</v>
      </c>
      <c r="C41" s="102">
        <f t="shared" ref="C41" si="7">C39+C40</f>
        <v>0</v>
      </c>
      <c r="D41" s="121" t="e">
        <f>SUM(D39:D40)</f>
        <v>#DIV/0!</v>
      </c>
      <c r="E41" s="102">
        <f>SUM(E39:E40)</f>
        <v>0</v>
      </c>
      <c r="F41" s="121" t="e">
        <f>SUM(F39:F40)</f>
        <v>#DIV/0!</v>
      </c>
      <c r="G41" s="102">
        <f t="shared" ref="G41" si="8">SUM(G39:G40)</f>
        <v>0</v>
      </c>
      <c r="H41" s="121" t="e">
        <f>SUM(H39:H40)</f>
        <v>#DIV/0!</v>
      </c>
      <c r="I41" s="102">
        <f>SUM(I39:I40)</f>
        <v>0</v>
      </c>
      <c r="J41" s="121" t="e">
        <f>SUM(J39:J40)</f>
        <v>#DIV/0!</v>
      </c>
      <c r="K41" s="102">
        <f>SUM(K39:K40)</f>
        <v>0</v>
      </c>
      <c r="L41" s="121" t="e">
        <f>SUM(L39:L40)</f>
        <v>#DIV/0!</v>
      </c>
      <c r="M41" s="103">
        <f>C41+E41+G41+I41+K41</f>
        <v>0</v>
      </c>
      <c r="N41" s="103" t="e">
        <f t="shared" ref="N41:N44" si="9">D41+F41+H41+J41+L41</f>
        <v>#DIV/0!</v>
      </c>
      <c r="O41" s="111"/>
      <c r="P41" s="111"/>
      <c r="Q41" s="111"/>
      <c r="R41" s="111"/>
      <c r="S41" s="112"/>
      <c r="T41" s="108"/>
      <c r="U41" s="108"/>
      <c r="V41" s="108"/>
      <c r="W41" s="108"/>
    </row>
    <row r="42" spans="2:23" x14ac:dyDescent="0.2">
      <c r="B42" s="104" t="s">
        <v>237</v>
      </c>
      <c r="C42" s="105">
        <f>C41*0.07</f>
        <v>0</v>
      </c>
      <c r="D42" s="122" t="e">
        <f>C42/C44</f>
        <v>#DIV/0!</v>
      </c>
      <c r="E42" s="105">
        <f>E41*0.07</f>
        <v>0</v>
      </c>
      <c r="F42" s="122" t="e">
        <f>E42/E44</f>
        <v>#DIV/0!</v>
      </c>
      <c r="G42" s="105">
        <f>G41*0.07</f>
        <v>0</v>
      </c>
      <c r="H42" s="122" t="e">
        <f>G42/G44</f>
        <v>#DIV/0!</v>
      </c>
      <c r="I42" s="105">
        <f>I41*0.07</f>
        <v>0</v>
      </c>
      <c r="J42" s="122" t="e">
        <f>I42/I44</f>
        <v>#DIV/0!</v>
      </c>
      <c r="K42" s="105">
        <f>K41*0.07</f>
        <v>0</v>
      </c>
      <c r="L42" s="122" t="e">
        <f>K42/K44</f>
        <v>#DIV/0!</v>
      </c>
      <c r="M42" s="105">
        <f>C42+E42+G42+I42+K42</f>
        <v>0</v>
      </c>
      <c r="N42" s="98" t="e">
        <f t="shared" si="9"/>
        <v>#DIV/0!</v>
      </c>
      <c r="O42" s="113"/>
      <c r="P42" s="113"/>
      <c r="Q42" s="113"/>
      <c r="R42" s="113"/>
      <c r="S42" s="113"/>
      <c r="T42" s="108"/>
      <c r="U42" s="108"/>
      <c r="V42" s="108"/>
      <c r="W42" s="108"/>
    </row>
    <row r="43" spans="2:23" x14ac:dyDescent="0.2">
      <c r="B43" s="104" t="s">
        <v>238</v>
      </c>
      <c r="C43" s="105">
        <f>C41*0.01</f>
        <v>0</v>
      </c>
      <c r="D43" s="122" t="e">
        <f>C43/C44</f>
        <v>#DIV/0!</v>
      </c>
      <c r="E43" s="105">
        <f>E41*0.01</f>
        <v>0</v>
      </c>
      <c r="F43" s="122" t="e">
        <f>E43/E44</f>
        <v>#DIV/0!</v>
      </c>
      <c r="G43" s="105">
        <f>G41*0.01</f>
        <v>0</v>
      </c>
      <c r="H43" s="122" t="e">
        <f>G43/G44</f>
        <v>#DIV/0!</v>
      </c>
      <c r="I43" s="105">
        <f>I41*0.01</f>
        <v>0</v>
      </c>
      <c r="J43" s="122" t="e">
        <f>I43/I44</f>
        <v>#DIV/0!</v>
      </c>
      <c r="K43" s="105">
        <f>K41*0.01</f>
        <v>0</v>
      </c>
      <c r="L43" s="122" t="e">
        <f>K43/K44</f>
        <v>#DIV/0!</v>
      </c>
      <c r="M43" s="105">
        <f>C43+E43+G43+I43+K43</f>
        <v>0</v>
      </c>
      <c r="N43" s="98" t="e">
        <f t="shared" si="9"/>
        <v>#DIV/0!</v>
      </c>
      <c r="O43" s="113"/>
      <c r="P43" s="113"/>
      <c r="Q43" s="113"/>
      <c r="R43" s="113"/>
      <c r="S43" s="113"/>
      <c r="T43" s="108"/>
      <c r="U43" s="108"/>
      <c r="V43" s="108"/>
      <c r="W43" s="108"/>
    </row>
    <row r="44" spans="2:23" x14ac:dyDescent="0.2">
      <c r="B44" s="104" t="s">
        <v>26</v>
      </c>
      <c r="C44" s="105">
        <f>C41+C42+C43</f>
        <v>0</v>
      </c>
      <c r="D44" s="122" t="e">
        <f>SUM(D42:D43)</f>
        <v>#DIV/0!</v>
      </c>
      <c r="E44" s="105">
        <f>E41+E42+E43</f>
        <v>0</v>
      </c>
      <c r="F44" s="122" t="e">
        <f>SUM(F42:F43)</f>
        <v>#DIV/0!</v>
      </c>
      <c r="G44" s="105">
        <f>G41+G42+G43</f>
        <v>0</v>
      </c>
      <c r="H44" s="122" t="e">
        <f>SUM(H42:H43)</f>
        <v>#DIV/0!</v>
      </c>
      <c r="I44" s="105">
        <f>I41+I42+I43</f>
        <v>0</v>
      </c>
      <c r="J44" s="122" t="e">
        <f>SUM(J42:J43)</f>
        <v>#DIV/0!</v>
      </c>
      <c r="K44" s="105">
        <f>K41+K42+K43</f>
        <v>0</v>
      </c>
      <c r="L44" s="122" t="e">
        <f>SUM(L42:L43)</f>
        <v>#DIV/0!</v>
      </c>
      <c r="M44" s="106">
        <f>C44+E44+G44+I44+K44</f>
        <v>0</v>
      </c>
      <c r="N44" s="98" t="e">
        <f t="shared" si="9"/>
        <v>#DIV/0!</v>
      </c>
      <c r="O44" s="113"/>
      <c r="P44" s="113"/>
      <c r="Q44" s="113"/>
      <c r="R44" s="113"/>
      <c r="S44" s="114"/>
      <c r="T44" s="108"/>
      <c r="U44" s="108"/>
      <c r="V44" s="108"/>
      <c r="W44" s="108"/>
    </row>
    <row r="45" spans="2:23" x14ac:dyDescent="0.2">
      <c r="L45" s="107"/>
      <c r="M45" s="109"/>
      <c r="N45" s="109"/>
      <c r="O45" s="108"/>
      <c r="P45" s="108"/>
      <c r="Q45" s="108"/>
      <c r="R45" s="108"/>
      <c r="S45" s="108"/>
      <c r="T45" s="108"/>
      <c r="U45" s="108"/>
      <c r="V45" s="108"/>
      <c r="W45" s="108"/>
    </row>
    <row r="46" spans="2:23" x14ac:dyDescent="0.2">
      <c r="L46" s="107"/>
      <c r="M46" s="109"/>
      <c r="N46" s="109"/>
      <c r="O46" s="108"/>
      <c r="P46" s="108"/>
      <c r="Q46" s="108"/>
      <c r="R46" s="108"/>
      <c r="S46" s="108"/>
      <c r="T46" s="108"/>
      <c r="U46" s="108"/>
      <c r="V46" s="108"/>
      <c r="W46" s="108"/>
    </row>
    <row r="47" spans="2:23" x14ac:dyDescent="0.2">
      <c r="L47" s="107"/>
      <c r="M47" s="109"/>
      <c r="N47" s="109"/>
      <c r="O47" s="108"/>
      <c r="P47" s="108"/>
      <c r="Q47" s="108"/>
      <c r="R47" s="108"/>
      <c r="S47" s="108"/>
      <c r="T47" s="108"/>
      <c r="U47" s="108"/>
      <c r="V47" s="108"/>
      <c r="W47" s="108"/>
    </row>
  </sheetData>
  <pageMargins left="0.28000000000000003" right="0.25" top="1" bottom="1" header="0"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201"/>
  <sheetViews>
    <sheetView tabSelected="1" topLeftCell="O109" zoomScale="80" zoomScaleNormal="80" zoomScalePageLayoutView="80" workbookViewId="0">
      <selection activeCell="A16" sqref="A16"/>
    </sheetView>
  </sheetViews>
  <sheetFormatPr defaultColWidth="11.42578125" defaultRowHeight="12.75" x14ac:dyDescent="0.2"/>
  <cols>
    <col min="1" max="1" width="6.85546875" style="143" customWidth="1"/>
    <col min="2" max="2" width="40.28515625" style="144" customWidth="1"/>
    <col min="3" max="3" width="13.28515625" style="144" customWidth="1"/>
    <col min="4" max="4" width="9.28515625" style="134" customWidth="1"/>
    <col min="5" max="5" width="8.5703125" style="150" customWidth="1"/>
    <col min="6" max="6" width="10.7109375" style="151" customWidth="1"/>
    <col min="7" max="7" width="8.5703125" style="150" customWidth="1"/>
    <col min="8" max="8" width="23.85546875" style="147" customWidth="1"/>
    <col min="9" max="9" width="14.140625" style="148" customWidth="1"/>
    <col min="10" max="10" width="13.140625" style="148" customWidth="1"/>
    <col min="11" max="11" width="18.7109375" style="148" customWidth="1"/>
    <col min="12" max="12" width="18.7109375" style="149" customWidth="1"/>
    <col min="13" max="13" width="13.7109375" style="148" customWidth="1"/>
    <col min="14" max="14" width="22.85546875" style="149" customWidth="1"/>
    <col min="15" max="15" width="12.42578125" style="148" customWidth="1"/>
    <col min="16" max="16" width="17.7109375" style="147" customWidth="1"/>
    <col min="17" max="17" width="10.140625" style="148" customWidth="1"/>
    <col min="18" max="18" width="12.85546875" style="148" customWidth="1"/>
    <col min="19" max="19" width="10.140625" style="148" customWidth="1"/>
    <col min="20" max="20" width="12.85546875" style="149" customWidth="1"/>
    <col min="21" max="21" width="23.5703125" style="149" customWidth="1"/>
    <col min="22" max="22" width="12.42578125" style="150" customWidth="1"/>
    <col min="23" max="23" width="13.85546875" style="151" customWidth="1"/>
    <col min="24" max="24" width="63.42578125" style="134" customWidth="1"/>
    <col min="25" max="25" width="49.85546875" style="357" customWidth="1"/>
    <col min="26" max="26" width="28.42578125" style="134" customWidth="1"/>
    <col min="27" max="27" width="13.42578125" style="358" customWidth="1"/>
    <col min="28" max="28" width="14.42578125" style="375" customWidth="1"/>
    <col min="29" max="29" width="11.42578125" style="400"/>
    <col min="30" max="30" width="11.42578125" style="40"/>
    <col min="31" max="16384" width="11.42578125" style="134"/>
  </cols>
  <sheetData>
    <row r="1" spans="1:30" x14ac:dyDescent="0.2">
      <c r="D1" s="145" t="s">
        <v>25</v>
      </c>
      <c r="E1" s="146"/>
      <c r="F1" s="132"/>
      <c r="G1" s="146"/>
    </row>
    <row r="2" spans="1:30" x14ac:dyDescent="0.2">
      <c r="D2" s="145"/>
      <c r="E2" s="146"/>
      <c r="F2" s="132"/>
      <c r="G2" s="146"/>
    </row>
    <row r="3" spans="1:30" x14ac:dyDescent="0.2">
      <c r="D3" s="145"/>
      <c r="E3" s="146"/>
      <c r="F3" s="132"/>
      <c r="G3" s="146"/>
    </row>
    <row r="4" spans="1:30" x14ac:dyDescent="0.2">
      <c r="A4" s="712" t="s">
        <v>20</v>
      </c>
      <c r="B4" s="712"/>
      <c r="C4" s="152" t="s">
        <v>159</v>
      </c>
      <c r="D4" s="153"/>
    </row>
    <row r="5" spans="1:30" x14ac:dyDescent="0.2">
      <c r="A5" s="712" t="s">
        <v>21</v>
      </c>
      <c r="B5" s="712"/>
      <c r="C5" s="154" t="s">
        <v>160</v>
      </c>
    </row>
    <row r="6" spans="1:30" ht="25.5" x14ac:dyDescent="0.2">
      <c r="A6" s="712" t="s">
        <v>19</v>
      </c>
      <c r="B6" s="712"/>
      <c r="C6" s="144" t="s">
        <v>262</v>
      </c>
      <c r="D6" s="155"/>
      <c r="E6" s="146"/>
      <c r="F6" s="132"/>
      <c r="G6" s="146"/>
      <c r="K6" s="338"/>
      <c r="L6" s="339"/>
      <c r="M6" s="332"/>
      <c r="N6" s="340"/>
      <c r="O6" s="332"/>
      <c r="P6" s="132"/>
      <c r="Q6" s="146"/>
      <c r="R6" s="146"/>
      <c r="S6" s="146"/>
      <c r="T6" s="132"/>
      <c r="U6" s="132"/>
    </row>
    <row r="7" spans="1:30" x14ac:dyDescent="0.2">
      <c r="A7" s="712" t="s">
        <v>53</v>
      </c>
      <c r="B7" s="712"/>
      <c r="C7" s="156">
        <f>U178</f>
        <v>2999868.05</v>
      </c>
      <c r="D7" s="457" t="s">
        <v>270</v>
      </c>
      <c r="E7" s="157"/>
      <c r="F7" s="147"/>
      <c r="G7" s="456"/>
      <c r="H7" s="422"/>
      <c r="M7" s="146"/>
      <c r="N7" s="132"/>
      <c r="O7" s="146"/>
      <c r="P7" s="132"/>
      <c r="Q7" s="157"/>
      <c r="R7" s="157"/>
      <c r="S7" s="157"/>
      <c r="T7" s="132"/>
      <c r="U7" s="132"/>
    </row>
    <row r="8" spans="1:30" ht="12.75" customHeight="1" x14ac:dyDescent="0.2">
      <c r="A8" s="712" t="s">
        <v>57</v>
      </c>
      <c r="B8" s="712"/>
      <c r="C8" s="525"/>
      <c r="D8" s="155"/>
      <c r="E8" s="146"/>
      <c r="F8" s="132"/>
      <c r="G8" s="146"/>
      <c r="H8" s="708" t="s">
        <v>300</v>
      </c>
      <c r="I8" s="713" t="s">
        <v>210</v>
      </c>
      <c r="J8" s="714"/>
      <c r="K8" s="715"/>
      <c r="L8" s="716" t="s">
        <v>211</v>
      </c>
      <c r="M8" s="146"/>
      <c r="N8" s="790" t="s">
        <v>300</v>
      </c>
      <c r="O8" s="709" t="s">
        <v>210</v>
      </c>
      <c r="P8" s="710"/>
      <c r="Q8" s="711"/>
      <c r="R8" s="507"/>
      <c r="S8" s="507"/>
      <c r="T8" s="159"/>
      <c r="U8" s="790" t="s">
        <v>300</v>
      </c>
      <c r="V8" s="709" t="s">
        <v>228</v>
      </c>
      <c r="W8" s="710"/>
      <c r="X8" s="711"/>
      <c r="Z8" s="790" t="s">
        <v>300</v>
      </c>
      <c r="AA8" s="709" t="s">
        <v>231</v>
      </c>
      <c r="AB8" s="710"/>
      <c r="AC8" s="711"/>
    </row>
    <row r="9" spans="1:30" x14ac:dyDescent="0.2">
      <c r="A9" s="712" t="s">
        <v>63</v>
      </c>
      <c r="B9" s="712"/>
      <c r="C9" s="156">
        <f>C7+C8</f>
        <v>2999868.05</v>
      </c>
      <c r="D9" s="155"/>
      <c r="E9" s="146"/>
      <c r="F9" s="132"/>
      <c r="G9" s="146"/>
      <c r="H9" s="708"/>
      <c r="I9" s="160" t="s">
        <v>68</v>
      </c>
      <c r="J9" s="161" t="s">
        <v>89</v>
      </c>
      <c r="K9" s="161" t="s">
        <v>104</v>
      </c>
      <c r="L9" s="717"/>
      <c r="M9" s="146"/>
      <c r="N9" s="790"/>
      <c r="O9" s="160" t="s">
        <v>227</v>
      </c>
      <c r="P9" s="161" t="s">
        <v>226</v>
      </c>
      <c r="Q9" s="160" t="s">
        <v>223</v>
      </c>
      <c r="R9" s="508"/>
      <c r="S9" s="508"/>
      <c r="T9" s="159"/>
      <c r="U9" s="790"/>
      <c r="V9" s="160" t="s">
        <v>227</v>
      </c>
      <c r="W9" s="161" t="s">
        <v>226</v>
      </c>
      <c r="X9" s="160" t="s">
        <v>223</v>
      </c>
      <c r="Z9" s="790"/>
      <c r="AA9" s="359" t="s">
        <v>227</v>
      </c>
      <c r="AB9" s="376" t="s">
        <v>226</v>
      </c>
      <c r="AC9" s="401" t="s">
        <v>223</v>
      </c>
    </row>
    <row r="10" spans="1:30" x14ac:dyDescent="0.2">
      <c r="A10" s="525"/>
      <c r="B10" s="525"/>
      <c r="C10" s="156"/>
      <c r="D10" s="155"/>
      <c r="E10" s="146"/>
      <c r="F10" s="132"/>
      <c r="G10" s="146"/>
      <c r="H10" s="133" t="s">
        <v>209</v>
      </c>
      <c r="I10" s="126">
        <f>Budget_Recapitulatif!D27</f>
        <v>505397.38</v>
      </c>
      <c r="J10" s="126">
        <f>Budget_Recapitulatif!D29</f>
        <v>502913.91000000003</v>
      </c>
      <c r="K10" s="126">
        <f>Budget_Recapitulatif!D28</f>
        <v>149002.85</v>
      </c>
      <c r="L10" s="126">
        <f>SUM(I10:K10)</f>
        <v>1157314.1400000001</v>
      </c>
      <c r="M10" s="146"/>
      <c r="N10" s="133" t="s">
        <v>225</v>
      </c>
      <c r="O10" s="130">
        <f>P59+P113</f>
        <v>250034</v>
      </c>
      <c r="P10" s="126">
        <f>R59+R113</f>
        <v>29660</v>
      </c>
      <c r="Q10" s="131">
        <f>SUM(P10/O10)</f>
        <v>0.11862386715406704</v>
      </c>
      <c r="R10" s="509"/>
      <c r="S10" s="509"/>
      <c r="T10" s="132"/>
      <c r="U10" s="133" t="s">
        <v>225</v>
      </c>
      <c r="V10" s="130">
        <f>P82</f>
        <v>317150</v>
      </c>
      <c r="W10" s="126">
        <f>R82</f>
        <v>272150</v>
      </c>
      <c r="X10" s="131">
        <f>SUM(W10/V10)</f>
        <v>0.85811130379946399</v>
      </c>
      <c r="Z10" s="133" t="s">
        <v>225</v>
      </c>
      <c r="AA10" s="360">
        <f>P101</f>
        <v>131500</v>
      </c>
      <c r="AB10" s="377">
        <f>R101</f>
        <v>94500</v>
      </c>
      <c r="AC10" s="402">
        <f>SUM(AB10/AA10)</f>
        <v>0.71863117870722437</v>
      </c>
    </row>
    <row r="11" spans="1:30" x14ac:dyDescent="0.2">
      <c r="A11" s="525"/>
      <c r="B11" s="525"/>
      <c r="C11" s="156"/>
      <c r="D11" s="155"/>
      <c r="E11" s="146"/>
      <c r="F11" s="132"/>
      <c r="G11" s="146"/>
      <c r="H11" s="133" t="s">
        <v>208</v>
      </c>
      <c r="I11" s="126">
        <f>R59+R113+R117+R118+R119+R125+R126+R127+R128+R129+R141+R142+R144+R149+R150+R156+R158</f>
        <v>75260</v>
      </c>
      <c r="J11" s="127">
        <f>R82+R120+R121+R130+R131+R133+R134+R135+R137+R138+R146+R160+R162+R166+R167</f>
        <v>376770</v>
      </c>
      <c r="K11" s="128">
        <f>R101+R122+R136+R145+R153+R163</f>
        <v>102255</v>
      </c>
      <c r="L11" s="128">
        <f>SUM(I11:K11)</f>
        <v>554285</v>
      </c>
      <c r="M11" s="146"/>
      <c r="N11" s="133" t="s">
        <v>224</v>
      </c>
      <c r="O11" s="130">
        <f>P117+P118+P119+P125+P126+P127+P129+P141+P142+P144+P149+P150+P156+P158</f>
        <v>222300</v>
      </c>
      <c r="P11" s="126">
        <f>R117+R118+R119+R125+R126+R127+R129+R141+R142+R144+R149+R150+R156+R158</f>
        <v>45600</v>
      </c>
      <c r="Q11" s="97">
        <f t="shared" ref="Q11:Q12" si="0">SUM(P11/O11)</f>
        <v>0.20512820512820512</v>
      </c>
      <c r="R11" s="510"/>
      <c r="S11" s="510"/>
      <c r="T11" s="337"/>
      <c r="U11" s="133" t="s">
        <v>224</v>
      </c>
      <c r="V11" s="130">
        <f>P120+P121+SUM(P130:P135)+SUM(P137:P138)+P146+SUM(P160:P162)+P166+P167</f>
        <v>152863</v>
      </c>
      <c r="W11" s="126">
        <f>R120+R121+SUM(R130:R135)+SUM(R137:R138)+R146+SUM(R160:R162)+R166+R167</f>
        <v>104620</v>
      </c>
      <c r="X11" s="131">
        <f t="shared" ref="X11:X12" si="1">SUM(W11/V11)</f>
        <v>0.6844036817280833</v>
      </c>
      <c r="Z11" s="133" t="s">
        <v>224</v>
      </c>
      <c r="AA11" s="360">
        <f>P122+P136+P145+P153+P163</f>
        <v>7755</v>
      </c>
      <c r="AB11" s="377">
        <f>R122+R136+R145+R153+R163</f>
        <v>7755</v>
      </c>
      <c r="AC11" s="402">
        <f t="shared" ref="AC11:AC12" si="2">SUM(AB11/AA11)</f>
        <v>1</v>
      </c>
    </row>
    <row r="12" spans="1:30" x14ac:dyDescent="0.2">
      <c r="A12" s="525"/>
      <c r="B12" s="525"/>
      <c r="C12" s="156"/>
      <c r="D12" s="162"/>
      <c r="E12" s="146"/>
      <c r="F12" s="132"/>
      <c r="G12" s="146"/>
      <c r="H12" s="163" t="s">
        <v>230</v>
      </c>
      <c r="I12" s="128">
        <f>I11+(I11*7/100)</f>
        <v>80528.2</v>
      </c>
      <c r="J12" s="128">
        <f>J11+(J11*7/100)</f>
        <v>403143.9</v>
      </c>
      <c r="K12" s="128">
        <f>K11+(K11*7/100)</f>
        <v>109412.85</v>
      </c>
      <c r="L12" s="128">
        <f t="shared" ref="L12" si="3">L11+(L11*7/100)</f>
        <v>593084.94999999995</v>
      </c>
      <c r="M12" s="146"/>
      <c r="N12" s="133" t="s">
        <v>191</v>
      </c>
      <c r="O12" s="135">
        <f>O10+O11</f>
        <v>472334</v>
      </c>
      <c r="P12" s="126">
        <f>SUM(P10:P11)</f>
        <v>75260</v>
      </c>
      <c r="Q12" s="131">
        <f t="shared" si="0"/>
        <v>0.15933640178348371</v>
      </c>
      <c r="R12" s="509"/>
      <c r="S12" s="509"/>
      <c r="T12" s="132"/>
      <c r="U12" s="133" t="s">
        <v>191</v>
      </c>
      <c r="V12" s="135">
        <f>V10+V11</f>
        <v>470013</v>
      </c>
      <c r="W12" s="126">
        <f>SUM(W10:W11)</f>
        <v>376770</v>
      </c>
      <c r="X12" s="131">
        <f t="shared" si="1"/>
        <v>0.80161612551142203</v>
      </c>
      <c r="Z12" s="133" t="s">
        <v>191</v>
      </c>
      <c r="AA12" s="360">
        <f>AA10+AA11</f>
        <v>139255</v>
      </c>
      <c r="AB12" s="377">
        <f>SUM(AB10:AB11)</f>
        <v>102255</v>
      </c>
      <c r="AC12" s="402">
        <f t="shared" si="2"/>
        <v>0.73430038418728227</v>
      </c>
    </row>
    <row r="13" spans="1:30" x14ac:dyDescent="0.2">
      <c r="A13" s="525"/>
      <c r="B13" s="525"/>
      <c r="C13" s="156"/>
      <c r="D13" s="155"/>
      <c r="E13" s="146"/>
      <c r="F13" s="132"/>
      <c r="G13" s="146"/>
      <c r="H13" s="133" t="s">
        <v>212</v>
      </c>
      <c r="I13" s="129">
        <f>I12/I10</f>
        <v>0.15933640178348371</v>
      </c>
      <c r="J13" s="129">
        <f>J12/J10</f>
        <v>0.80161612551142203</v>
      </c>
      <c r="K13" s="129">
        <f>K12/K10</f>
        <v>0.73430038418728238</v>
      </c>
      <c r="L13" s="129">
        <f>L12/L10</f>
        <v>0.51246669292401448</v>
      </c>
      <c r="M13" s="146"/>
      <c r="N13" s="133" t="s">
        <v>229</v>
      </c>
      <c r="O13" s="130">
        <f>O12+(O12*7/100)</f>
        <v>505397.38</v>
      </c>
      <c r="P13" s="128">
        <f>P12+(P12*7/100)</f>
        <v>80528.2</v>
      </c>
      <c r="Q13" s="136">
        <f>P13/O13</f>
        <v>0.15933640178348371</v>
      </c>
      <c r="R13" s="511"/>
      <c r="S13" s="511"/>
      <c r="T13" s="132"/>
      <c r="U13" s="133" t="s">
        <v>229</v>
      </c>
      <c r="V13" s="130">
        <f>V12+(V12*7/100)</f>
        <v>502913.91000000003</v>
      </c>
      <c r="W13" s="128">
        <f>W12+(W12*7/100)</f>
        <v>403143.9</v>
      </c>
      <c r="X13" s="136">
        <f>W13/V13</f>
        <v>0.80161612551142203</v>
      </c>
      <c r="Z13" s="133" t="s">
        <v>229</v>
      </c>
      <c r="AA13" s="360">
        <f>AA12+(AA12*7/100)</f>
        <v>149002.85</v>
      </c>
      <c r="AB13" s="378">
        <f>AB12+(AB12*7/100)</f>
        <v>109412.85</v>
      </c>
      <c r="AC13" s="402">
        <f>AB13/AA13</f>
        <v>0.73430038418728238</v>
      </c>
    </row>
    <row r="14" spans="1:30" x14ac:dyDescent="0.2">
      <c r="A14" s="525"/>
      <c r="B14" s="525"/>
      <c r="C14" s="156"/>
      <c r="D14" s="155"/>
      <c r="E14" s="146"/>
      <c r="F14" s="132"/>
      <c r="G14" s="146"/>
      <c r="H14" s="132"/>
      <c r="I14" s="164"/>
      <c r="J14" s="165"/>
      <c r="K14" s="164"/>
      <c r="L14" s="164"/>
      <c r="M14" s="146"/>
      <c r="N14" s="132"/>
      <c r="O14" s="146"/>
      <c r="P14" s="132"/>
      <c r="Q14" s="146"/>
      <c r="R14" s="146"/>
      <c r="S14" s="146"/>
      <c r="T14" s="132"/>
      <c r="U14" s="132"/>
      <c r="V14" s="132"/>
      <c r="W14" s="132"/>
      <c r="X14" s="132"/>
    </row>
    <row r="15" spans="1:30" x14ac:dyDescent="0.2">
      <c r="J15" s="146"/>
    </row>
    <row r="16" spans="1:30" s="537" customFormat="1" ht="38.25" x14ac:dyDescent="0.2">
      <c r="A16" s="581" t="s">
        <v>9</v>
      </c>
      <c r="B16" s="581" t="s">
        <v>10</v>
      </c>
      <c r="C16" s="581" t="s">
        <v>34</v>
      </c>
      <c r="D16" s="581" t="s">
        <v>29</v>
      </c>
      <c r="E16" s="581" t="s">
        <v>6</v>
      </c>
      <c r="F16" s="582" t="s">
        <v>7</v>
      </c>
      <c r="G16" s="581" t="s">
        <v>8</v>
      </c>
      <c r="H16" s="583" t="s">
        <v>11</v>
      </c>
      <c r="I16" s="584" t="s">
        <v>22</v>
      </c>
      <c r="J16" s="583" t="s">
        <v>197</v>
      </c>
      <c r="K16" s="585" t="s">
        <v>198</v>
      </c>
      <c r="L16" s="583" t="s">
        <v>64</v>
      </c>
      <c r="M16" s="581" t="s">
        <v>6</v>
      </c>
      <c r="N16" s="582" t="s">
        <v>7</v>
      </c>
      <c r="O16" s="581" t="s">
        <v>8</v>
      </c>
      <c r="P16" s="583" t="s">
        <v>12</v>
      </c>
      <c r="Q16" s="584" t="s">
        <v>22</v>
      </c>
      <c r="R16" s="583" t="s">
        <v>197</v>
      </c>
      <c r="S16" s="585" t="s">
        <v>198</v>
      </c>
      <c r="T16" s="583" t="s">
        <v>64</v>
      </c>
      <c r="U16" s="583" t="s">
        <v>13</v>
      </c>
      <c r="V16" s="584" t="s">
        <v>66</v>
      </c>
      <c r="W16" s="583" t="s">
        <v>65</v>
      </c>
      <c r="X16" s="584" t="s">
        <v>32</v>
      </c>
      <c r="Y16" s="586"/>
      <c r="AA16" s="587"/>
      <c r="AB16" s="588"/>
      <c r="AC16" s="589"/>
      <c r="AD16" s="586"/>
    </row>
    <row r="17" spans="1:31" s="304" customFormat="1" ht="88.5" customHeight="1" x14ac:dyDescent="0.2">
      <c r="A17" s="782" t="s">
        <v>272</v>
      </c>
      <c r="B17" s="460" t="s">
        <v>271</v>
      </c>
      <c r="C17" s="460" t="s">
        <v>37</v>
      </c>
      <c r="D17" s="461" t="s">
        <v>68</v>
      </c>
      <c r="E17" s="462">
        <v>30</v>
      </c>
      <c r="F17" s="463">
        <v>54</v>
      </c>
      <c r="G17" s="462">
        <v>1</v>
      </c>
      <c r="H17" s="464">
        <f>E17*F17*G17</f>
        <v>1620</v>
      </c>
      <c r="I17" s="465">
        <v>0.15</v>
      </c>
      <c r="J17" s="590">
        <v>1620</v>
      </c>
      <c r="K17" s="465">
        <f>SUM(J17/H17)</f>
        <v>1</v>
      </c>
      <c r="L17" s="467">
        <f t="shared" ref="L17:L26" si="4">SUM(I17*J17)</f>
        <v>243</v>
      </c>
      <c r="M17" s="468">
        <v>0</v>
      </c>
      <c r="N17" s="467">
        <v>0</v>
      </c>
      <c r="O17" s="468">
        <v>0</v>
      </c>
      <c r="P17" s="464">
        <f>M17*N17*O17</f>
        <v>0</v>
      </c>
      <c r="Q17" s="465">
        <v>0.15</v>
      </c>
      <c r="R17" s="468">
        <v>0</v>
      </c>
      <c r="S17" s="591" t="e">
        <f>SUM(R17/P17)</f>
        <v>#DIV/0!</v>
      </c>
      <c r="T17" s="467">
        <f>P17*Q17</f>
        <v>0</v>
      </c>
      <c r="U17" s="467">
        <f>H17+P17</f>
        <v>1620</v>
      </c>
      <c r="V17" s="465">
        <v>0.15</v>
      </c>
      <c r="W17" s="467">
        <f>T17+L17</f>
        <v>243</v>
      </c>
      <c r="X17" s="469" t="s">
        <v>280</v>
      </c>
      <c r="Y17" s="592"/>
      <c r="Z17" s="593"/>
      <c r="AA17" s="372"/>
      <c r="AB17" s="372"/>
      <c r="AC17" s="414"/>
      <c r="AD17" s="390"/>
    </row>
    <row r="18" spans="1:31" s="304" customFormat="1" ht="88.5" customHeight="1" x14ac:dyDescent="0.2">
      <c r="A18" s="782"/>
      <c r="B18" s="470" t="s">
        <v>273</v>
      </c>
      <c r="C18" s="471" t="s">
        <v>37</v>
      </c>
      <c r="D18" s="472" t="s">
        <v>68</v>
      </c>
      <c r="E18" s="462">
        <v>30</v>
      </c>
      <c r="F18" s="473">
        <v>80</v>
      </c>
      <c r="G18" s="462">
        <v>1</v>
      </c>
      <c r="H18" s="464">
        <f t="shared" ref="H18:H20" si="5">E18*F18*G18</f>
        <v>2400</v>
      </c>
      <c r="I18" s="465">
        <v>0.75</v>
      </c>
      <c r="J18" s="590">
        <v>2400</v>
      </c>
      <c r="K18" s="465">
        <f>SUM(J18/H18)</f>
        <v>1</v>
      </c>
      <c r="L18" s="467">
        <f t="shared" si="4"/>
        <v>1800</v>
      </c>
      <c r="M18" s="468">
        <v>0</v>
      </c>
      <c r="N18" s="467">
        <v>0</v>
      </c>
      <c r="O18" s="468">
        <v>0</v>
      </c>
      <c r="P18" s="464">
        <f t="shared" ref="P18:P26" si="6">M18*N18*O18</f>
        <v>0</v>
      </c>
      <c r="Q18" s="465">
        <v>0.75</v>
      </c>
      <c r="R18" s="468">
        <v>0</v>
      </c>
      <c r="S18" s="591" t="e">
        <f t="shared" ref="S18:S81" si="7">SUM(R18/P18)</f>
        <v>#DIV/0!</v>
      </c>
      <c r="T18" s="467">
        <f t="shared" ref="T18:T25" si="8">P18*Q18</f>
        <v>0</v>
      </c>
      <c r="U18" s="467">
        <f t="shared" ref="U18:U26" si="9">H18+P18</f>
        <v>2400</v>
      </c>
      <c r="V18" s="465">
        <v>0.75</v>
      </c>
      <c r="W18" s="467">
        <f t="shared" ref="W18:W26" si="10">T18+L18</f>
        <v>1800</v>
      </c>
      <c r="X18" s="469" t="s">
        <v>281</v>
      </c>
      <c r="Y18" s="592"/>
      <c r="Z18" s="593"/>
      <c r="AA18" s="372"/>
      <c r="AB18" s="390"/>
      <c r="AC18" s="414"/>
      <c r="AD18" s="390"/>
    </row>
    <row r="19" spans="1:31" s="593" customFormat="1" ht="88.5" customHeight="1" x14ac:dyDescent="0.2">
      <c r="A19" s="782"/>
      <c r="B19" s="471" t="s">
        <v>112</v>
      </c>
      <c r="C19" s="471" t="s">
        <v>37</v>
      </c>
      <c r="D19" s="469" t="s">
        <v>68</v>
      </c>
      <c r="E19" s="462">
        <v>1</v>
      </c>
      <c r="F19" s="473">
        <v>660</v>
      </c>
      <c r="G19" s="462">
        <v>1</v>
      </c>
      <c r="H19" s="464">
        <f t="shared" si="5"/>
        <v>660</v>
      </c>
      <c r="I19" s="465">
        <v>0.4</v>
      </c>
      <c r="J19" s="590">
        <v>660</v>
      </c>
      <c r="K19" s="465">
        <f>SUM(J19/H19)</f>
        <v>1</v>
      </c>
      <c r="L19" s="467">
        <f t="shared" si="4"/>
        <v>264</v>
      </c>
      <c r="M19" s="462">
        <v>0</v>
      </c>
      <c r="N19" s="467">
        <v>0</v>
      </c>
      <c r="O19" s="462">
        <v>0</v>
      </c>
      <c r="P19" s="464">
        <f t="shared" si="6"/>
        <v>0</v>
      </c>
      <c r="Q19" s="465">
        <v>0.4</v>
      </c>
      <c r="R19" s="468">
        <v>0</v>
      </c>
      <c r="S19" s="591" t="e">
        <f t="shared" si="7"/>
        <v>#DIV/0!</v>
      </c>
      <c r="T19" s="467">
        <f t="shared" si="8"/>
        <v>0</v>
      </c>
      <c r="U19" s="467">
        <f t="shared" si="9"/>
        <v>660</v>
      </c>
      <c r="V19" s="474">
        <f t="shared" ref="V19:V21" si="11">Q19</f>
        <v>0.4</v>
      </c>
      <c r="W19" s="467">
        <f t="shared" si="10"/>
        <v>264</v>
      </c>
      <c r="X19" s="475" t="s">
        <v>282</v>
      </c>
      <c r="Y19" s="592"/>
      <c r="AA19" s="594"/>
      <c r="AB19" s="595"/>
      <c r="AC19" s="596"/>
    </row>
    <row r="20" spans="1:31" s="593" customFormat="1" ht="88.5" customHeight="1" x14ac:dyDescent="0.2">
      <c r="A20" s="782"/>
      <c r="B20" s="471" t="s">
        <v>113</v>
      </c>
      <c r="C20" s="471" t="s">
        <v>37</v>
      </c>
      <c r="D20" s="469" t="s">
        <v>68</v>
      </c>
      <c r="E20" s="462">
        <v>1</v>
      </c>
      <c r="F20" s="473">
        <v>7470</v>
      </c>
      <c r="G20" s="462">
        <v>1</v>
      </c>
      <c r="H20" s="464">
        <f t="shared" si="5"/>
        <v>7470</v>
      </c>
      <c r="I20" s="465">
        <v>0.4</v>
      </c>
      <c r="J20" s="590">
        <v>7470</v>
      </c>
      <c r="K20" s="465">
        <f t="shared" ref="K20" si="12">SUM(J20/H20)</f>
        <v>1</v>
      </c>
      <c r="L20" s="467">
        <f t="shared" si="4"/>
        <v>2988</v>
      </c>
      <c r="M20" s="462">
        <v>0</v>
      </c>
      <c r="N20" s="467">
        <v>0</v>
      </c>
      <c r="O20" s="462">
        <v>0</v>
      </c>
      <c r="P20" s="464">
        <f t="shared" si="6"/>
        <v>0</v>
      </c>
      <c r="Q20" s="465">
        <v>0.4</v>
      </c>
      <c r="R20" s="468">
        <v>0</v>
      </c>
      <c r="S20" s="591" t="e">
        <f t="shared" si="7"/>
        <v>#DIV/0!</v>
      </c>
      <c r="T20" s="467">
        <f t="shared" si="8"/>
        <v>0</v>
      </c>
      <c r="U20" s="467">
        <f t="shared" si="9"/>
        <v>7470</v>
      </c>
      <c r="V20" s="474">
        <f t="shared" si="11"/>
        <v>0.4</v>
      </c>
      <c r="W20" s="467">
        <f t="shared" si="10"/>
        <v>2988</v>
      </c>
      <c r="X20" s="475" t="s">
        <v>283</v>
      </c>
      <c r="Y20" s="592"/>
      <c r="AA20" s="594"/>
      <c r="AB20" s="595"/>
      <c r="AC20" s="596"/>
    </row>
    <row r="21" spans="1:31" s="593" customFormat="1" ht="88.5" customHeight="1" x14ac:dyDescent="0.2">
      <c r="A21" s="782"/>
      <c r="B21" s="428" t="s">
        <v>274</v>
      </c>
      <c r="C21" s="428" t="s">
        <v>37</v>
      </c>
      <c r="D21" s="429" t="s">
        <v>68</v>
      </c>
      <c r="E21" s="430">
        <v>1</v>
      </c>
      <c r="F21" s="435">
        <v>4650</v>
      </c>
      <c r="G21" s="430">
        <v>1</v>
      </c>
      <c r="H21" s="438">
        <v>4650</v>
      </c>
      <c r="I21" s="432">
        <v>0.15</v>
      </c>
      <c r="J21" s="590">
        <v>7470</v>
      </c>
      <c r="K21" s="432">
        <f>SUM(J21/H21)</f>
        <v>1.6064516129032258</v>
      </c>
      <c r="L21" s="434">
        <f t="shared" si="4"/>
        <v>1120.5</v>
      </c>
      <c r="M21" s="587">
        <v>10</v>
      </c>
      <c r="N21" s="587">
        <v>281</v>
      </c>
      <c r="O21" s="587">
        <v>1</v>
      </c>
      <c r="P21" s="431">
        <f t="shared" si="6"/>
        <v>2810</v>
      </c>
      <c r="Q21" s="432">
        <v>0.15</v>
      </c>
      <c r="R21" s="468">
        <v>0</v>
      </c>
      <c r="S21" s="591">
        <f t="shared" si="7"/>
        <v>0</v>
      </c>
      <c r="T21" s="467">
        <f t="shared" si="8"/>
        <v>421.5</v>
      </c>
      <c r="U21" s="434">
        <f t="shared" si="9"/>
        <v>7460</v>
      </c>
      <c r="V21" s="436">
        <f t="shared" si="11"/>
        <v>0.15</v>
      </c>
      <c r="W21" s="434">
        <f t="shared" si="10"/>
        <v>1542</v>
      </c>
      <c r="X21" s="437" t="s">
        <v>275</v>
      </c>
      <c r="Y21" s="592"/>
      <c r="AA21" s="594"/>
      <c r="AB21" s="595"/>
      <c r="AC21" s="596"/>
    </row>
    <row r="22" spans="1:31" s="199" customFormat="1" ht="88.5" customHeight="1" x14ac:dyDescent="0.2">
      <c r="A22" s="782"/>
      <c r="B22" s="428" t="s">
        <v>257</v>
      </c>
      <c r="C22" s="428" t="s">
        <v>37</v>
      </c>
      <c r="D22" s="429" t="s">
        <v>68</v>
      </c>
      <c r="E22" s="439">
        <v>15</v>
      </c>
      <c r="F22" s="439">
        <v>420</v>
      </c>
      <c r="G22" s="439">
        <v>1</v>
      </c>
      <c r="H22" s="438">
        <f>E22*F22*G22</f>
        <v>6300</v>
      </c>
      <c r="I22" s="440">
        <v>0.15</v>
      </c>
      <c r="J22" s="597">
        <v>6049</v>
      </c>
      <c r="K22" s="440">
        <f>SUM(J22/H22)</f>
        <v>0.96015873015873021</v>
      </c>
      <c r="L22" s="443">
        <f>SUM(I22*J22)</f>
        <v>907.35</v>
      </c>
      <c r="M22" s="587">
        <v>10</v>
      </c>
      <c r="N22" s="587">
        <v>420</v>
      </c>
      <c r="O22" s="587">
        <v>1</v>
      </c>
      <c r="P22" s="438">
        <f t="shared" si="6"/>
        <v>4200</v>
      </c>
      <c r="Q22" s="440">
        <v>0.15</v>
      </c>
      <c r="R22" s="468"/>
      <c r="S22" s="591">
        <f t="shared" si="7"/>
        <v>0</v>
      </c>
      <c r="T22" s="467">
        <f t="shared" si="8"/>
        <v>630</v>
      </c>
      <c r="U22" s="443">
        <f t="shared" si="9"/>
        <v>10500</v>
      </c>
      <c r="V22" s="440">
        <v>0.15</v>
      </c>
      <c r="W22" s="443">
        <f t="shared" si="10"/>
        <v>1537.35</v>
      </c>
      <c r="X22" s="445"/>
      <c r="Y22" s="598"/>
      <c r="Z22" s="304"/>
      <c r="AA22" s="372"/>
      <c r="AB22" s="390"/>
      <c r="AC22" s="414"/>
      <c r="AD22" s="390"/>
    </row>
    <row r="23" spans="1:31" s="199" customFormat="1" ht="88.5" customHeight="1" x14ac:dyDescent="0.2">
      <c r="A23" s="782"/>
      <c r="B23" s="428" t="s">
        <v>258</v>
      </c>
      <c r="C23" s="428" t="s">
        <v>37</v>
      </c>
      <c r="D23" s="429" t="s">
        <v>68</v>
      </c>
      <c r="E23" s="439">
        <v>15</v>
      </c>
      <c r="F23" s="439">
        <v>600</v>
      </c>
      <c r="G23" s="439">
        <v>1</v>
      </c>
      <c r="H23" s="438">
        <f>E23*F23*G23</f>
        <v>9000</v>
      </c>
      <c r="I23" s="440">
        <v>0.15</v>
      </c>
      <c r="J23" s="599">
        <v>7500</v>
      </c>
      <c r="K23" s="440">
        <f>SUM(J23/H23)</f>
        <v>0.83333333333333337</v>
      </c>
      <c r="L23" s="443">
        <f t="shared" si="4"/>
        <v>1125</v>
      </c>
      <c r="M23" s="587">
        <v>10</v>
      </c>
      <c r="N23" s="587">
        <v>280</v>
      </c>
      <c r="O23" s="587">
        <v>2</v>
      </c>
      <c r="P23" s="438">
        <f t="shared" si="6"/>
        <v>5600</v>
      </c>
      <c r="Q23" s="440">
        <v>0.15</v>
      </c>
      <c r="R23" s="468"/>
      <c r="S23" s="591">
        <f t="shared" si="7"/>
        <v>0</v>
      </c>
      <c r="T23" s="467">
        <f t="shared" si="8"/>
        <v>840</v>
      </c>
      <c r="U23" s="443">
        <f t="shared" si="9"/>
        <v>14600</v>
      </c>
      <c r="V23" s="440">
        <v>0.15</v>
      </c>
      <c r="W23" s="443">
        <f t="shared" si="10"/>
        <v>1965</v>
      </c>
      <c r="X23" s="445" t="s">
        <v>286</v>
      </c>
      <c r="Y23" s="598"/>
      <c r="Z23" s="304"/>
      <c r="AA23" s="372"/>
      <c r="AB23" s="390"/>
      <c r="AC23" s="414"/>
      <c r="AD23" s="390"/>
    </row>
    <row r="24" spans="1:31" s="199" customFormat="1" ht="88.5" customHeight="1" x14ac:dyDescent="0.2">
      <c r="A24" s="782"/>
      <c r="B24" s="428" t="s">
        <v>259</v>
      </c>
      <c r="C24" s="428" t="s">
        <v>37</v>
      </c>
      <c r="D24" s="429" t="s">
        <v>68</v>
      </c>
      <c r="E24" s="439">
        <v>100</v>
      </c>
      <c r="F24" s="439">
        <v>100</v>
      </c>
      <c r="G24" s="439">
        <v>2</v>
      </c>
      <c r="H24" s="438">
        <f>E24*F24*G24</f>
        <v>20000</v>
      </c>
      <c r="I24" s="440">
        <v>0.15</v>
      </c>
      <c r="J24" s="599">
        <v>3000</v>
      </c>
      <c r="K24" s="440">
        <f>SUM(J24/H24)</f>
        <v>0.15</v>
      </c>
      <c r="L24" s="443">
        <f t="shared" si="4"/>
        <v>450</v>
      </c>
      <c r="M24" s="587">
        <v>0</v>
      </c>
      <c r="N24" s="587">
        <v>0</v>
      </c>
      <c r="O24" s="587">
        <v>0</v>
      </c>
      <c r="P24" s="438">
        <f t="shared" si="6"/>
        <v>0</v>
      </c>
      <c r="Q24" s="440">
        <v>0.15</v>
      </c>
      <c r="R24" s="468"/>
      <c r="S24" s="591" t="e">
        <f t="shared" si="7"/>
        <v>#DIV/0!</v>
      </c>
      <c r="T24" s="467">
        <f t="shared" si="8"/>
        <v>0</v>
      </c>
      <c r="U24" s="443">
        <f t="shared" si="9"/>
        <v>20000</v>
      </c>
      <c r="V24" s="440">
        <v>0.15</v>
      </c>
      <c r="W24" s="443">
        <f t="shared" si="10"/>
        <v>450</v>
      </c>
      <c r="X24" s="445" t="s">
        <v>287</v>
      </c>
      <c r="Y24" s="392"/>
      <c r="Z24" s="304"/>
      <c r="AA24" s="372"/>
      <c r="AB24" s="390"/>
      <c r="AC24" s="414"/>
      <c r="AD24" s="390"/>
    </row>
    <row r="25" spans="1:31" s="199" customFormat="1" ht="85.5" customHeight="1" x14ac:dyDescent="0.2">
      <c r="A25" s="782"/>
      <c r="B25" s="428" t="s">
        <v>260</v>
      </c>
      <c r="C25" s="428" t="s">
        <v>37</v>
      </c>
      <c r="D25" s="429" t="s">
        <v>68</v>
      </c>
      <c r="E25" s="439">
        <v>1</v>
      </c>
      <c r="F25" s="446">
        <v>15000</v>
      </c>
      <c r="G25" s="439">
        <v>1</v>
      </c>
      <c r="H25" s="438">
        <f t="shared" ref="H25:H26" si="13">E25*F25*G25</f>
        <v>15000</v>
      </c>
      <c r="I25" s="440">
        <v>0.15</v>
      </c>
      <c r="J25" s="599">
        <v>0</v>
      </c>
      <c r="K25" s="440">
        <f t="shared" ref="K25:K54" si="14">SUM(J25/H25)</f>
        <v>0</v>
      </c>
      <c r="L25" s="443">
        <f t="shared" si="4"/>
        <v>0</v>
      </c>
      <c r="M25" s="587">
        <v>10</v>
      </c>
      <c r="N25" s="587">
        <v>600</v>
      </c>
      <c r="O25" s="587">
        <v>1</v>
      </c>
      <c r="P25" s="438">
        <f t="shared" si="6"/>
        <v>6000</v>
      </c>
      <c r="Q25" s="440">
        <v>0.15</v>
      </c>
      <c r="R25" s="468"/>
      <c r="S25" s="591">
        <f t="shared" si="7"/>
        <v>0</v>
      </c>
      <c r="T25" s="467">
        <f t="shared" si="8"/>
        <v>900</v>
      </c>
      <c r="U25" s="443">
        <f>H25+P25</f>
        <v>21000</v>
      </c>
      <c r="V25" s="440">
        <v>0.15</v>
      </c>
      <c r="W25" s="443">
        <f t="shared" si="10"/>
        <v>900</v>
      </c>
      <c r="X25" s="445" t="s">
        <v>288</v>
      </c>
      <c r="Y25" s="392"/>
      <c r="Z25" s="304"/>
      <c r="AA25" s="372"/>
      <c r="AB25" s="390"/>
      <c r="AC25" s="414"/>
      <c r="AD25" s="390"/>
    </row>
    <row r="26" spans="1:31" s="199" customFormat="1" ht="63.75" x14ac:dyDescent="0.2">
      <c r="A26" s="782"/>
      <c r="B26" s="428" t="s">
        <v>261</v>
      </c>
      <c r="C26" s="428" t="s">
        <v>37</v>
      </c>
      <c r="D26" s="429" t="s">
        <v>68</v>
      </c>
      <c r="E26" s="447">
        <v>24</v>
      </c>
      <c r="F26" s="448">
        <v>49.25</v>
      </c>
      <c r="G26" s="447">
        <v>5</v>
      </c>
      <c r="H26" s="438">
        <f t="shared" si="13"/>
        <v>5910</v>
      </c>
      <c r="I26" s="440">
        <v>0.15</v>
      </c>
      <c r="J26" s="597">
        <v>5910</v>
      </c>
      <c r="K26" s="440">
        <f t="shared" si="14"/>
        <v>1</v>
      </c>
      <c r="L26" s="443">
        <f t="shared" si="4"/>
        <v>886.5</v>
      </c>
      <c r="M26" s="587">
        <v>10</v>
      </c>
      <c r="N26" s="587">
        <v>180</v>
      </c>
      <c r="O26" s="587">
        <v>2</v>
      </c>
      <c r="P26" s="438">
        <f t="shared" si="6"/>
        <v>3600</v>
      </c>
      <c r="Q26" s="440">
        <v>0.15</v>
      </c>
      <c r="R26" s="468"/>
      <c r="S26" s="591">
        <f t="shared" si="7"/>
        <v>0</v>
      </c>
      <c r="T26" s="467">
        <f>P26*Q26</f>
        <v>540</v>
      </c>
      <c r="U26" s="443">
        <f t="shared" si="9"/>
        <v>9510</v>
      </c>
      <c r="V26" s="440">
        <v>0.15</v>
      </c>
      <c r="W26" s="443">
        <f t="shared" si="10"/>
        <v>1426.5</v>
      </c>
      <c r="X26" s="445" t="s">
        <v>289</v>
      </c>
      <c r="Y26" s="392"/>
      <c r="Z26" s="304"/>
      <c r="AA26" s="372"/>
      <c r="AB26" s="390"/>
      <c r="AC26" s="414"/>
      <c r="AD26" s="304"/>
    </row>
    <row r="27" spans="1:31" s="205" customFormat="1" x14ac:dyDescent="0.2">
      <c r="A27" s="782"/>
      <c r="B27" s="722" t="s">
        <v>0</v>
      </c>
      <c r="C27" s="722"/>
      <c r="D27" s="722"/>
      <c r="E27" s="722"/>
      <c r="F27" s="722"/>
      <c r="G27" s="722"/>
      <c r="H27" s="438">
        <f>SUM(H17:H26)</f>
        <v>73010</v>
      </c>
      <c r="I27" s="449">
        <f>L27/H27</f>
        <v>0.13401383372140804</v>
      </c>
      <c r="J27" s="438">
        <f>SUM(J17:J26)</f>
        <v>42079</v>
      </c>
      <c r="K27" s="449">
        <f>SUM(J27/H27)</f>
        <v>0.576345706067662</v>
      </c>
      <c r="L27" s="438">
        <f>SUM(L17:L26)</f>
        <v>9784.35</v>
      </c>
      <c r="M27" s="438"/>
      <c r="N27" s="438"/>
      <c r="O27" s="438"/>
      <c r="P27" s="438">
        <f>SUM(P17:P26)</f>
        <v>22210</v>
      </c>
      <c r="Q27" s="438"/>
      <c r="R27" s="438">
        <f t="shared" ref="R27" si="15">SUM(R17:R26)</f>
        <v>0</v>
      </c>
      <c r="S27" s="438"/>
      <c r="T27" s="438">
        <f>SUM(T17:T26)</f>
        <v>3331.5</v>
      </c>
      <c r="U27" s="438">
        <f>SUM(U17:U26)</f>
        <v>95220</v>
      </c>
      <c r="V27" s="449"/>
      <c r="W27" s="438">
        <f>SUM(W17:W26)</f>
        <v>13115.85</v>
      </c>
      <c r="X27" s="600">
        <f>W27/U27</f>
        <v>0.13774259609325773</v>
      </c>
      <c r="Y27" s="392"/>
      <c r="AA27" s="368"/>
      <c r="AB27" s="368"/>
      <c r="AC27" s="601"/>
      <c r="AD27" s="368"/>
      <c r="AE27" s="41"/>
    </row>
    <row r="28" spans="1:31" s="199" customFormat="1" ht="65.25" customHeight="1" x14ac:dyDescent="0.2">
      <c r="A28" s="783" t="s">
        <v>114</v>
      </c>
      <c r="B28" s="514" t="s">
        <v>115</v>
      </c>
      <c r="C28" s="428" t="s">
        <v>36</v>
      </c>
      <c r="D28" s="429" t="s">
        <v>68</v>
      </c>
      <c r="E28" s="439">
        <v>30</v>
      </c>
      <c r="F28" s="477">
        <v>80</v>
      </c>
      <c r="G28" s="439">
        <v>2</v>
      </c>
      <c r="H28" s="438">
        <f t="shared" ref="H28:H34" si="16">E28*F28*G28</f>
        <v>4800</v>
      </c>
      <c r="I28" s="440">
        <v>0.33</v>
      </c>
      <c r="J28" s="602">
        <v>4357</v>
      </c>
      <c r="K28" s="440">
        <f t="shared" si="14"/>
        <v>0.90770833333333334</v>
      </c>
      <c r="L28" s="174">
        <f>SUM(I28*J28)</f>
        <v>1437.8100000000002</v>
      </c>
      <c r="M28" s="175">
        <v>0</v>
      </c>
      <c r="N28" s="174">
        <v>0</v>
      </c>
      <c r="O28" s="175">
        <v>0</v>
      </c>
      <c r="P28" s="171">
        <f>M28*N28*O28</f>
        <v>0</v>
      </c>
      <c r="Q28" s="172">
        <v>0</v>
      </c>
      <c r="R28" s="468">
        <v>0</v>
      </c>
      <c r="S28" s="591" t="e">
        <f t="shared" si="7"/>
        <v>#DIV/0!</v>
      </c>
      <c r="T28" s="174">
        <f>P28*Q28</f>
        <v>0</v>
      </c>
      <c r="U28" s="174">
        <f>H28+P28</f>
        <v>4800</v>
      </c>
      <c r="V28" s="172">
        <v>0.33</v>
      </c>
      <c r="W28" s="174">
        <f>T28+L28</f>
        <v>1437.8100000000002</v>
      </c>
      <c r="X28" s="176"/>
      <c r="Y28" s="392"/>
      <c r="AA28" s="372"/>
      <c r="AB28" s="390"/>
      <c r="AC28" s="414"/>
      <c r="AD28" s="390"/>
    </row>
    <row r="29" spans="1:31" s="199" customFormat="1" ht="69" customHeight="1" x14ac:dyDescent="0.2">
      <c r="A29" s="784"/>
      <c r="B29" s="514" t="s">
        <v>163</v>
      </c>
      <c r="C29" s="428" t="s">
        <v>37</v>
      </c>
      <c r="D29" s="429" t="s">
        <v>68</v>
      </c>
      <c r="E29" s="439">
        <v>20</v>
      </c>
      <c r="F29" s="477">
        <v>109</v>
      </c>
      <c r="G29" s="439">
        <v>4</v>
      </c>
      <c r="H29" s="438">
        <f t="shared" si="16"/>
        <v>8720</v>
      </c>
      <c r="I29" s="440">
        <v>0.15</v>
      </c>
      <c r="J29" s="602">
        <v>9443</v>
      </c>
      <c r="K29" s="440">
        <f t="shared" si="14"/>
        <v>1.0829128440366973</v>
      </c>
      <c r="L29" s="174">
        <f>SUM(I29*J29)</f>
        <v>1416.45</v>
      </c>
      <c r="M29" s="175">
        <v>0</v>
      </c>
      <c r="N29" s="174">
        <v>0</v>
      </c>
      <c r="O29" s="175">
        <v>0</v>
      </c>
      <c r="P29" s="171">
        <f t="shared" ref="P29:P34" si="17">M29*N29*O29</f>
        <v>0</v>
      </c>
      <c r="Q29" s="172">
        <v>0</v>
      </c>
      <c r="R29" s="468">
        <v>0</v>
      </c>
      <c r="S29" s="591" t="e">
        <f t="shared" si="7"/>
        <v>#DIV/0!</v>
      </c>
      <c r="T29" s="174">
        <f t="shared" ref="T29:T34" si="18">P29*Q29</f>
        <v>0</v>
      </c>
      <c r="U29" s="174">
        <f>H29+P29</f>
        <v>8720</v>
      </c>
      <c r="V29" s="172">
        <v>0.15</v>
      </c>
      <c r="W29" s="174">
        <f t="shared" ref="W29:W34" si="19">T29+L29</f>
        <v>1416.45</v>
      </c>
      <c r="X29" s="426" t="s">
        <v>284</v>
      </c>
      <c r="Y29" s="392"/>
      <c r="AA29" s="372"/>
      <c r="AB29" s="390"/>
      <c r="AC29" s="414"/>
      <c r="AD29" s="390"/>
    </row>
    <row r="30" spans="1:31" s="199" customFormat="1" ht="166.5" customHeight="1" x14ac:dyDescent="0.2">
      <c r="A30" s="784"/>
      <c r="B30" s="428" t="s">
        <v>276</v>
      </c>
      <c r="C30" s="428" t="s">
        <v>36</v>
      </c>
      <c r="D30" s="429" t="s">
        <v>68</v>
      </c>
      <c r="E30" s="439">
        <v>1</v>
      </c>
      <c r="F30" s="477">
        <v>30000</v>
      </c>
      <c r="G30" s="439">
        <v>1</v>
      </c>
      <c r="H30" s="438">
        <f t="shared" si="16"/>
        <v>30000</v>
      </c>
      <c r="I30" s="440">
        <v>0</v>
      </c>
      <c r="J30" s="602">
        <v>30000</v>
      </c>
      <c r="K30" s="440">
        <f t="shared" si="14"/>
        <v>1</v>
      </c>
      <c r="L30" s="174">
        <f>SUM(I30*J30)</f>
        <v>0</v>
      </c>
      <c r="M30" s="175">
        <v>0</v>
      </c>
      <c r="N30" s="174">
        <v>0</v>
      </c>
      <c r="O30" s="175">
        <v>0</v>
      </c>
      <c r="P30" s="171">
        <f t="shared" si="17"/>
        <v>0</v>
      </c>
      <c r="Q30" s="172">
        <v>0</v>
      </c>
      <c r="R30" s="468">
        <v>0</v>
      </c>
      <c r="S30" s="591" t="e">
        <f t="shared" si="7"/>
        <v>#DIV/0!</v>
      </c>
      <c r="T30" s="174">
        <f t="shared" si="18"/>
        <v>0</v>
      </c>
      <c r="U30" s="174">
        <f t="shared" ref="U30:U34" si="20">H30+P30</f>
        <v>30000</v>
      </c>
      <c r="V30" s="172">
        <f t="shared" ref="V30:V34" si="21">Q30</f>
        <v>0</v>
      </c>
      <c r="W30" s="174">
        <f t="shared" si="19"/>
        <v>0</v>
      </c>
      <c r="X30" s="603"/>
      <c r="Y30" s="392"/>
      <c r="AA30" s="372"/>
      <c r="AB30" s="390"/>
      <c r="AC30" s="414"/>
      <c r="AD30" s="390"/>
    </row>
    <row r="31" spans="1:31" s="199" customFormat="1" ht="113.25" customHeight="1" x14ac:dyDescent="0.2">
      <c r="A31" s="784"/>
      <c r="B31" s="428" t="s">
        <v>277</v>
      </c>
      <c r="C31" s="428" t="s">
        <v>36</v>
      </c>
      <c r="D31" s="429" t="s">
        <v>68</v>
      </c>
      <c r="E31" s="439">
        <v>1</v>
      </c>
      <c r="F31" s="477">
        <v>8000</v>
      </c>
      <c r="G31" s="439">
        <v>1</v>
      </c>
      <c r="H31" s="438">
        <f t="shared" si="16"/>
        <v>8000</v>
      </c>
      <c r="I31" s="440">
        <v>0</v>
      </c>
      <c r="J31" s="602">
        <v>8000</v>
      </c>
      <c r="K31" s="440">
        <f t="shared" si="14"/>
        <v>1</v>
      </c>
      <c r="L31" s="174">
        <f>SUM(I31*J31)</f>
        <v>0</v>
      </c>
      <c r="M31" s="175">
        <v>1</v>
      </c>
      <c r="N31" s="174">
        <v>0</v>
      </c>
      <c r="O31" s="175">
        <v>1</v>
      </c>
      <c r="P31" s="171">
        <f t="shared" si="17"/>
        <v>0</v>
      </c>
      <c r="Q31" s="172">
        <v>0</v>
      </c>
      <c r="R31" s="468">
        <v>0</v>
      </c>
      <c r="S31" s="591" t="e">
        <f t="shared" si="7"/>
        <v>#DIV/0!</v>
      </c>
      <c r="T31" s="174">
        <f t="shared" si="18"/>
        <v>0</v>
      </c>
      <c r="U31" s="174">
        <f t="shared" si="20"/>
        <v>8000</v>
      </c>
      <c r="V31" s="172">
        <f t="shared" si="21"/>
        <v>0</v>
      </c>
      <c r="W31" s="174">
        <f t="shared" si="19"/>
        <v>0</v>
      </c>
      <c r="X31" s="176" t="s">
        <v>285</v>
      </c>
      <c r="Y31" s="392"/>
      <c r="AA31" s="372"/>
      <c r="AB31" s="390"/>
      <c r="AC31" s="414"/>
      <c r="AD31" s="390"/>
    </row>
    <row r="32" spans="1:31" s="199" customFormat="1" ht="108" customHeight="1" x14ac:dyDescent="0.2">
      <c r="A32" s="784"/>
      <c r="B32" s="428" t="s">
        <v>291</v>
      </c>
      <c r="C32" s="428" t="s">
        <v>37</v>
      </c>
      <c r="D32" s="429" t="s">
        <v>68</v>
      </c>
      <c r="E32" s="439">
        <v>1</v>
      </c>
      <c r="F32" s="477">
        <v>10000</v>
      </c>
      <c r="G32" s="439">
        <v>1</v>
      </c>
      <c r="H32" s="438">
        <f t="shared" si="16"/>
        <v>10000</v>
      </c>
      <c r="I32" s="440">
        <v>0</v>
      </c>
      <c r="J32" s="602">
        <v>1012</v>
      </c>
      <c r="K32" s="440">
        <f t="shared" si="14"/>
        <v>0.1012</v>
      </c>
      <c r="L32" s="174">
        <f>SUM(I32*J32)</f>
        <v>0</v>
      </c>
      <c r="M32" s="175">
        <v>0</v>
      </c>
      <c r="N32" s="174">
        <v>0</v>
      </c>
      <c r="O32" s="175">
        <v>0</v>
      </c>
      <c r="P32" s="171">
        <f t="shared" si="17"/>
        <v>0</v>
      </c>
      <c r="Q32" s="172">
        <v>0</v>
      </c>
      <c r="R32" s="468">
        <v>0</v>
      </c>
      <c r="S32" s="591" t="e">
        <f t="shared" si="7"/>
        <v>#DIV/0!</v>
      </c>
      <c r="T32" s="174">
        <f t="shared" si="18"/>
        <v>0</v>
      </c>
      <c r="U32" s="174">
        <f t="shared" si="20"/>
        <v>10000</v>
      </c>
      <c r="V32" s="172">
        <f t="shared" si="21"/>
        <v>0</v>
      </c>
      <c r="W32" s="174">
        <f t="shared" si="19"/>
        <v>0</v>
      </c>
      <c r="X32" s="176" t="s">
        <v>245</v>
      </c>
      <c r="Y32" s="392"/>
      <c r="AA32" s="372"/>
      <c r="AB32" s="390"/>
      <c r="AC32" s="414"/>
      <c r="AD32" s="390"/>
    </row>
    <row r="33" spans="1:30" s="199" customFormat="1" ht="63.75" x14ac:dyDescent="0.2">
      <c r="A33" s="784"/>
      <c r="B33" s="428" t="s">
        <v>194</v>
      </c>
      <c r="C33" s="428" t="s">
        <v>17</v>
      </c>
      <c r="D33" s="429" t="s">
        <v>68</v>
      </c>
      <c r="E33" s="439">
        <v>1</v>
      </c>
      <c r="F33" s="477">
        <v>3300</v>
      </c>
      <c r="G33" s="439">
        <v>12</v>
      </c>
      <c r="H33" s="438">
        <f t="shared" si="16"/>
        <v>39600</v>
      </c>
      <c r="I33" s="440">
        <v>0</v>
      </c>
      <c r="J33" s="444">
        <v>39600</v>
      </c>
      <c r="K33" s="440">
        <f>SUM(J33/H33)</f>
        <v>1</v>
      </c>
      <c r="L33" s="174">
        <f t="shared" ref="L33" si="22">SUM(I33*J33)</f>
        <v>0</v>
      </c>
      <c r="M33" s="175">
        <v>1</v>
      </c>
      <c r="N33" s="174">
        <v>3300</v>
      </c>
      <c r="O33" s="175">
        <v>12</v>
      </c>
      <c r="P33" s="171">
        <f t="shared" si="17"/>
        <v>39600</v>
      </c>
      <c r="Q33" s="172">
        <v>0</v>
      </c>
      <c r="R33" s="468">
        <v>13200</v>
      </c>
      <c r="S33" s="591">
        <f t="shared" si="7"/>
        <v>0.33333333333333331</v>
      </c>
      <c r="T33" s="174">
        <f t="shared" si="18"/>
        <v>0</v>
      </c>
      <c r="U33" s="174">
        <f t="shared" si="20"/>
        <v>79200</v>
      </c>
      <c r="V33" s="172">
        <f t="shared" si="21"/>
        <v>0</v>
      </c>
      <c r="W33" s="174">
        <f t="shared" si="19"/>
        <v>0</v>
      </c>
      <c r="X33" s="176"/>
      <c r="Y33" s="392"/>
      <c r="AA33" s="372"/>
      <c r="AB33" s="390"/>
      <c r="AC33" s="414"/>
      <c r="AD33" s="304"/>
    </row>
    <row r="34" spans="1:30" s="199" customFormat="1" ht="38.25" x14ac:dyDescent="0.2">
      <c r="A34" s="784"/>
      <c r="B34" s="428" t="s">
        <v>279</v>
      </c>
      <c r="C34" s="428" t="s">
        <v>37</v>
      </c>
      <c r="D34" s="429" t="s">
        <v>68</v>
      </c>
      <c r="E34" s="439">
        <v>1</v>
      </c>
      <c r="F34" s="477">
        <v>34200</v>
      </c>
      <c r="G34" s="439">
        <v>1</v>
      </c>
      <c r="H34" s="438">
        <f t="shared" si="16"/>
        <v>34200</v>
      </c>
      <c r="I34" s="440">
        <v>0.33</v>
      </c>
      <c r="J34" s="444">
        <v>34200</v>
      </c>
      <c r="K34" s="440">
        <f>SUM(J34/H34)</f>
        <v>1</v>
      </c>
      <c r="L34" s="174">
        <f>SUM(I34*J34)</f>
        <v>11286</v>
      </c>
      <c r="M34" s="175">
        <v>1</v>
      </c>
      <c r="N34" s="170">
        <v>34200</v>
      </c>
      <c r="O34" s="175">
        <v>1</v>
      </c>
      <c r="P34" s="171">
        <f t="shared" si="17"/>
        <v>34200</v>
      </c>
      <c r="Q34" s="172">
        <v>0.33</v>
      </c>
      <c r="R34" s="468">
        <v>14210</v>
      </c>
      <c r="S34" s="591">
        <f t="shared" si="7"/>
        <v>0.41549707602339181</v>
      </c>
      <c r="T34" s="174">
        <f t="shared" si="18"/>
        <v>11286</v>
      </c>
      <c r="U34" s="174">
        <f t="shared" si="20"/>
        <v>68400</v>
      </c>
      <c r="V34" s="172">
        <f t="shared" si="21"/>
        <v>0.33</v>
      </c>
      <c r="W34" s="174">
        <f t="shared" si="19"/>
        <v>22572</v>
      </c>
      <c r="X34" s="176"/>
      <c r="Y34" s="392"/>
      <c r="AA34" s="372"/>
      <c r="AB34" s="390"/>
      <c r="AC34" s="414"/>
      <c r="AD34" s="304"/>
    </row>
    <row r="35" spans="1:30" s="199" customFormat="1" ht="13.5" x14ac:dyDescent="0.2">
      <c r="A35" s="785"/>
      <c r="B35" s="776"/>
      <c r="C35" s="777"/>
      <c r="D35" s="777"/>
      <c r="E35" s="777"/>
      <c r="F35" s="777"/>
      <c r="G35" s="778"/>
      <c r="H35" s="604">
        <f>SUM(H28:H34)</f>
        <v>135320</v>
      </c>
      <c r="I35" s="605">
        <f>L35/H35</f>
        <v>0.10449497487437186</v>
      </c>
      <c r="J35" s="604">
        <f>SUM(J28:J34)</f>
        <v>126612</v>
      </c>
      <c r="K35" s="303">
        <f>SUM(J35/H35)</f>
        <v>0.93564883239728047</v>
      </c>
      <c r="L35" s="604">
        <f>SUM(L28:L34)</f>
        <v>14140.26</v>
      </c>
      <c r="M35" s="171"/>
      <c r="N35" s="171"/>
      <c r="O35" s="171"/>
      <c r="P35" s="171">
        <f>SUM(P28:P34)</f>
        <v>73800</v>
      </c>
      <c r="Q35" s="171"/>
      <c r="R35" s="171">
        <f>SUM(R28:R34)</f>
        <v>27410</v>
      </c>
      <c r="S35" s="606">
        <f>SUM(R35/P35)</f>
        <v>0.37140921409214095</v>
      </c>
      <c r="T35" s="171">
        <f>SUM(T28:T34)</f>
        <v>11286</v>
      </c>
      <c r="U35" s="171">
        <f>SUM(U28:U34)</f>
        <v>209120</v>
      </c>
      <c r="V35" s="171"/>
      <c r="W35" s="171">
        <f>SUM(W28:W34)</f>
        <v>25426.260000000002</v>
      </c>
      <c r="X35" s="607"/>
      <c r="Y35" s="392"/>
      <c r="AA35" s="368"/>
      <c r="AB35" s="386"/>
      <c r="AC35" s="410"/>
      <c r="AD35" s="386"/>
    </row>
    <row r="36" spans="1:30" s="199" customFormat="1" ht="63.75" x14ac:dyDescent="0.2">
      <c r="A36" s="786" t="s">
        <v>116</v>
      </c>
      <c r="B36" s="167" t="s">
        <v>117</v>
      </c>
      <c r="C36" s="167" t="s">
        <v>37</v>
      </c>
      <c r="D36" s="168" t="s">
        <v>68</v>
      </c>
      <c r="E36" s="169">
        <v>2</v>
      </c>
      <c r="F36" s="170">
        <v>1000</v>
      </c>
      <c r="G36" s="169">
        <v>1</v>
      </c>
      <c r="H36" s="171">
        <f>E36*F36*G36</f>
        <v>2000</v>
      </c>
      <c r="I36" s="172">
        <v>0.35</v>
      </c>
      <c r="J36" s="608">
        <v>2000</v>
      </c>
      <c r="K36" s="172">
        <f>SUM(J36/H36)</f>
        <v>1</v>
      </c>
      <c r="L36" s="174">
        <f>SUM(I36*J36)</f>
        <v>700</v>
      </c>
      <c r="M36" s="476">
        <v>1</v>
      </c>
      <c r="N36" s="477">
        <v>1000</v>
      </c>
      <c r="O36" s="476">
        <v>1</v>
      </c>
      <c r="P36" s="171">
        <f t="shared" ref="P36:P40" si="23">M36*N36*O36</f>
        <v>1000</v>
      </c>
      <c r="Q36" s="172">
        <v>0.35</v>
      </c>
      <c r="R36" s="468">
        <v>0</v>
      </c>
      <c r="S36" s="591">
        <f t="shared" si="7"/>
        <v>0</v>
      </c>
      <c r="T36" s="174">
        <f t="shared" ref="T36:T40" si="24">P36*Q36</f>
        <v>350</v>
      </c>
      <c r="U36" s="174">
        <f t="shared" ref="U36:U40" si="25">H36+P36</f>
        <v>3000</v>
      </c>
      <c r="V36" s="172">
        <f>Q36</f>
        <v>0.35</v>
      </c>
      <c r="W36" s="174">
        <f t="shared" ref="W36:W40" si="26">T36+L36</f>
        <v>1050</v>
      </c>
      <c r="X36" s="176"/>
      <c r="Y36" s="392"/>
      <c r="AA36" s="372"/>
      <c r="AB36" s="390"/>
      <c r="AC36" s="414"/>
      <c r="AD36" s="304"/>
    </row>
    <row r="37" spans="1:30" s="199" customFormat="1" ht="76.5" x14ac:dyDescent="0.2">
      <c r="A37" s="787"/>
      <c r="B37" s="167" t="s">
        <v>118</v>
      </c>
      <c r="C37" s="167" t="s">
        <v>37</v>
      </c>
      <c r="D37" s="168" t="s">
        <v>68</v>
      </c>
      <c r="E37" s="169">
        <v>1</v>
      </c>
      <c r="F37" s="170">
        <v>1000</v>
      </c>
      <c r="G37" s="169">
        <v>1</v>
      </c>
      <c r="H37" s="171">
        <f>E37*F37*G37</f>
        <v>1000</v>
      </c>
      <c r="I37" s="172">
        <v>0.3</v>
      </c>
      <c r="J37" s="608">
        <v>1000</v>
      </c>
      <c r="K37" s="172">
        <f t="shared" ref="K37:K40" si="27">SUM(J37/H37)</f>
        <v>1</v>
      </c>
      <c r="L37" s="174">
        <f>SUM(I37*J37)</f>
        <v>300</v>
      </c>
      <c r="M37" s="476">
        <v>1</v>
      </c>
      <c r="N37" s="477">
        <v>1000</v>
      </c>
      <c r="O37" s="476">
        <v>1</v>
      </c>
      <c r="P37" s="171">
        <f t="shared" si="23"/>
        <v>1000</v>
      </c>
      <c r="Q37" s="172">
        <v>0.3</v>
      </c>
      <c r="R37" s="468">
        <v>0</v>
      </c>
      <c r="S37" s="591">
        <f t="shared" si="7"/>
        <v>0</v>
      </c>
      <c r="T37" s="174">
        <f t="shared" si="24"/>
        <v>300</v>
      </c>
      <c r="U37" s="174">
        <f t="shared" si="25"/>
        <v>2000</v>
      </c>
      <c r="V37" s="172">
        <f>Q37</f>
        <v>0.3</v>
      </c>
      <c r="W37" s="174">
        <f t="shared" si="26"/>
        <v>600</v>
      </c>
      <c r="X37" s="176"/>
      <c r="Y37" s="392"/>
      <c r="AA37" s="372"/>
      <c r="AB37" s="390"/>
      <c r="AC37" s="414"/>
      <c r="AD37" s="304"/>
    </row>
    <row r="38" spans="1:30" s="199" customFormat="1" ht="127.5" x14ac:dyDescent="0.2">
      <c r="A38" s="787"/>
      <c r="B38" s="177" t="s">
        <v>157</v>
      </c>
      <c r="C38" s="167" t="s">
        <v>37</v>
      </c>
      <c r="D38" s="168" t="s">
        <v>68</v>
      </c>
      <c r="E38" s="169">
        <v>3</v>
      </c>
      <c r="F38" s="170">
        <v>15000</v>
      </c>
      <c r="G38" s="169">
        <v>1</v>
      </c>
      <c r="H38" s="171">
        <f>E38*F38*G38</f>
        <v>45000</v>
      </c>
      <c r="I38" s="172">
        <v>1</v>
      </c>
      <c r="J38" s="608">
        <v>45000</v>
      </c>
      <c r="K38" s="172">
        <f t="shared" si="27"/>
        <v>1</v>
      </c>
      <c r="L38" s="174">
        <f>SUM(I38*J38)</f>
        <v>45000</v>
      </c>
      <c r="M38" s="476">
        <v>3</v>
      </c>
      <c r="N38" s="477">
        <v>5000</v>
      </c>
      <c r="O38" s="476">
        <v>1</v>
      </c>
      <c r="P38" s="171">
        <f t="shared" si="23"/>
        <v>15000</v>
      </c>
      <c r="Q38" s="172">
        <v>1</v>
      </c>
      <c r="R38" s="468">
        <v>0</v>
      </c>
      <c r="S38" s="591">
        <f t="shared" si="7"/>
        <v>0</v>
      </c>
      <c r="T38" s="174">
        <f t="shared" si="24"/>
        <v>15000</v>
      </c>
      <c r="U38" s="174">
        <f t="shared" si="25"/>
        <v>60000</v>
      </c>
      <c r="V38" s="172">
        <f t="shared" ref="V38:V40" si="28">Q38</f>
        <v>1</v>
      </c>
      <c r="W38" s="174">
        <f t="shared" si="26"/>
        <v>60000</v>
      </c>
      <c r="X38" s="176"/>
      <c r="Y38" s="392"/>
      <c r="AA38" s="372"/>
      <c r="AB38" s="390"/>
      <c r="AC38" s="414"/>
      <c r="AD38" s="304"/>
    </row>
    <row r="39" spans="1:30" s="199" customFormat="1" ht="127.5" x14ac:dyDescent="0.2">
      <c r="A39" s="787"/>
      <c r="B39" s="177" t="s">
        <v>158</v>
      </c>
      <c r="C39" s="167" t="s">
        <v>37</v>
      </c>
      <c r="D39" s="168" t="s">
        <v>68</v>
      </c>
      <c r="E39" s="169">
        <v>3</v>
      </c>
      <c r="F39" s="170">
        <v>10000</v>
      </c>
      <c r="G39" s="169">
        <v>1</v>
      </c>
      <c r="H39" s="171">
        <f>E39*F39*G39</f>
        <v>30000</v>
      </c>
      <c r="I39" s="172">
        <v>0.5</v>
      </c>
      <c r="J39" s="608">
        <v>30000</v>
      </c>
      <c r="K39" s="172">
        <f t="shared" si="27"/>
        <v>1</v>
      </c>
      <c r="L39" s="174">
        <f>SUM(I39*J39)</f>
        <v>15000</v>
      </c>
      <c r="M39" s="476">
        <v>3</v>
      </c>
      <c r="N39" s="477">
        <v>5000</v>
      </c>
      <c r="O39" s="476">
        <v>1</v>
      </c>
      <c r="P39" s="171">
        <f t="shared" si="23"/>
        <v>15000</v>
      </c>
      <c r="Q39" s="172">
        <v>0.5</v>
      </c>
      <c r="R39" s="468">
        <v>0</v>
      </c>
      <c r="S39" s="591">
        <f>SUM(R39/P39)</f>
        <v>0</v>
      </c>
      <c r="T39" s="174">
        <f t="shared" si="24"/>
        <v>7500</v>
      </c>
      <c r="U39" s="174">
        <f t="shared" si="25"/>
        <v>45000</v>
      </c>
      <c r="V39" s="172">
        <f t="shared" si="28"/>
        <v>0.5</v>
      </c>
      <c r="W39" s="174">
        <f t="shared" si="26"/>
        <v>22500</v>
      </c>
      <c r="X39" s="176"/>
      <c r="Y39" s="392"/>
      <c r="AA39" s="372"/>
      <c r="AB39" s="390"/>
      <c r="AC39" s="414"/>
      <c r="AD39" s="304"/>
    </row>
    <row r="40" spans="1:30" s="199" customFormat="1" ht="25.5" x14ac:dyDescent="0.2">
      <c r="A40" s="787"/>
      <c r="B40" s="167" t="s">
        <v>155</v>
      </c>
      <c r="C40" s="167" t="s">
        <v>37</v>
      </c>
      <c r="D40" s="168" t="s">
        <v>68</v>
      </c>
      <c r="E40" s="169">
        <v>3</v>
      </c>
      <c r="F40" s="170">
        <v>2500</v>
      </c>
      <c r="G40" s="169">
        <v>1</v>
      </c>
      <c r="H40" s="171">
        <f>E40*F40*G40</f>
        <v>7500</v>
      </c>
      <c r="I40" s="172">
        <v>0.15</v>
      </c>
      <c r="J40" s="608">
        <v>7500</v>
      </c>
      <c r="K40" s="172">
        <f t="shared" si="27"/>
        <v>1</v>
      </c>
      <c r="L40" s="174">
        <f>SUM(I40*J40)</f>
        <v>1125</v>
      </c>
      <c r="M40" s="476">
        <v>3</v>
      </c>
      <c r="N40" s="477">
        <v>2500</v>
      </c>
      <c r="O40" s="476">
        <v>1</v>
      </c>
      <c r="P40" s="171">
        <f t="shared" si="23"/>
        <v>7500</v>
      </c>
      <c r="Q40" s="172">
        <v>0.15</v>
      </c>
      <c r="R40" s="468">
        <v>0</v>
      </c>
      <c r="S40" s="591">
        <f t="shared" si="7"/>
        <v>0</v>
      </c>
      <c r="T40" s="174">
        <f t="shared" si="24"/>
        <v>1125</v>
      </c>
      <c r="U40" s="174">
        <f t="shared" si="25"/>
        <v>15000</v>
      </c>
      <c r="V40" s="172">
        <f t="shared" si="28"/>
        <v>0.15</v>
      </c>
      <c r="W40" s="174">
        <f t="shared" si="26"/>
        <v>2250</v>
      </c>
      <c r="X40" s="176"/>
      <c r="Y40" s="392"/>
      <c r="AA40" s="372"/>
      <c r="AB40" s="390"/>
      <c r="AC40" s="414"/>
      <c r="AD40" s="304"/>
    </row>
    <row r="41" spans="1:30" s="199" customFormat="1" ht="13.5" x14ac:dyDescent="0.2">
      <c r="A41" s="788"/>
      <c r="B41" s="768" t="s">
        <v>0</v>
      </c>
      <c r="C41" s="768"/>
      <c r="D41" s="768"/>
      <c r="E41" s="768"/>
      <c r="F41" s="768"/>
      <c r="G41" s="768"/>
      <c r="H41" s="171">
        <f>SUM(H36:H40)</f>
        <v>85500</v>
      </c>
      <c r="I41" s="609">
        <f>L41/H41</f>
        <v>0.72660818713450293</v>
      </c>
      <c r="J41" s="171">
        <f>SUM(J36:J40)</f>
        <v>85500</v>
      </c>
      <c r="K41" s="609">
        <f t="shared" si="14"/>
        <v>1</v>
      </c>
      <c r="L41" s="171">
        <f>SUM(L36:L40)</f>
        <v>62125</v>
      </c>
      <c r="M41" s="610"/>
      <c r="N41" s="611"/>
      <c r="O41" s="610"/>
      <c r="P41" s="171">
        <f>SUM(P36:P40)</f>
        <v>39500</v>
      </c>
      <c r="Q41" s="171"/>
      <c r="R41" s="171">
        <f t="shared" ref="R41" si="29">SUM(R36:R40)</f>
        <v>0</v>
      </c>
      <c r="S41" s="606">
        <f t="shared" si="7"/>
        <v>0</v>
      </c>
      <c r="T41" s="171">
        <f>SUM(T36:T40)</f>
        <v>24275</v>
      </c>
      <c r="U41" s="171">
        <f>SUM(U36:U40)</f>
        <v>125000</v>
      </c>
      <c r="V41" s="172"/>
      <c r="W41" s="171">
        <f>SUM(W36:W40)</f>
        <v>86400</v>
      </c>
      <c r="X41" s="607">
        <f>W41/U41</f>
        <v>0.69120000000000004</v>
      </c>
      <c r="Y41" s="392"/>
      <c r="AA41" s="372"/>
      <c r="AB41" s="390"/>
      <c r="AC41" s="414"/>
      <c r="AD41" s="304"/>
    </row>
    <row r="42" spans="1:30" s="199" customFormat="1" ht="55.5" customHeight="1" x14ac:dyDescent="0.2">
      <c r="A42" s="786" t="s">
        <v>119</v>
      </c>
      <c r="B42" s="177" t="s">
        <v>120</v>
      </c>
      <c r="C42" s="167" t="s">
        <v>37</v>
      </c>
      <c r="D42" s="168" t="s">
        <v>68</v>
      </c>
      <c r="E42" s="169">
        <v>30</v>
      </c>
      <c r="F42" s="170">
        <v>80</v>
      </c>
      <c r="G42" s="169">
        <v>2</v>
      </c>
      <c r="H42" s="171">
        <f t="shared" ref="H42:H47" si="30">E42*F42*G42</f>
        <v>4800</v>
      </c>
      <c r="I42" s="172">
        <v>0.33</v>
      </c>
      <c r="J42" s="608">
        <v>4500</v>
      </c>
      <c r="K42" s="172">
        <f t="shared" si="14"/>
        <v>0.9375</v>
      </c>
      <c r="L42" s="174">
        <f t="shared" ref="L42:L47" si="31">SUM(I42*J42)</f>
        <v>1485</v>
      </c>
      <c r="M42" s="444">
        <v>0</v>
      </c>
      <c r="N42" s="443">
        <v>0</v>
      </c>
      <c r="O42" s="444">
        <v>0</v>
      </c>
      <c r="P42" s="171">
        <f>M42*N42*O42</f>
        <v>0</v>
      </c>
      <c r="Q42" s="172">
        <v>0</v>
      </c>
      <c r="R42" s="468">
        <v>0</v>
      </c>
      <c r="S42" s="591" t="e">
        <f t="shared" si="7"/>
        <v>#DIV/0!</v>
      </c>
      <c r="T42" s="174">
        <f>P42*Q42</f>
        <v>0</v>
      </c>
      <c r="U42" s="174">
        <f>H42+P42</f>
        <v>4800</v>
      </c>
      <c r="V42" s="172">
        <v>0.33</v>
      </c>
      <c r="W42" s="174">
        <f t="shared" ref="W42:W47" si="32">T42+L42</f>
        <v>1485</v>
      </c>
      <c r="X42" s="176" t="s">
        <v>240</v>
      </c>
      <c r="Y42" s="392"/>
      <c r="AA42" s="372"/>
      <c r="AB42" s="390"/>
      <c r="AC42" s="414"/>
      <c r="AD42" s="304"/>
    </row>
    <row r="43" spans="1:30" s="199" customFormat="1" ht="42.75" customHeight="1" x14ac:dyDescent="0.2">
      <c r="A43" s="787"/>
      <c r="B43" s="167" t="s">
        <v>121</v>
      </c>
      <c r="C43" s="167" t="s">
        <v>37</v>
      </c>
      <c r="D43" s="168" t="s">
        <v>68</v>
      </c>
      <c r="E43" s="169">
        <v>1</v>
      </c>
      <c r="F43" s="170">
        <v>500</v>
      </c>
      <c r="G43" s="169">
        <v>6</v>
      </c>
      <c r="H43" s="171">
        <f t="shared" si="30"/>
        <v>3000</v>
      </c>
      <c r="I43" s="172">
        <v>0.15</v>
      </c>
      <c r="J43" s="608">
        <v>3000</v>
      </c>
      <c r="K43" s="172">
        <f t="shared" si="14"/>
        <v>1</v>
      </c>
      <c r="L43" s="174">
        <f t="shared" si="31"/>
        <v>450</v>
      </c>
      <c r="M43" s="444">
        <v>1</v>
      </c>
      <c r="N43" s="443">
        <v>500</v>
      </c>
      <c r="O43" s="444">
        <v>6</v>
      </c>
      <c r="P43" s="171">
        <f t="shared" ref="P43:P47" si="33">M43*N43*O43</f>
        <v>3000</v>
      </c>
      <c r="Q43" s="172">
        <v>0.15</v>
      </c>
      <c r="R43" s="468">
        <v>0</v>
      </c>
      <c r="S43" s="591">
        <f t="shared" si="7"/>
        <v>0</v>
      </c>
      <c r="T43" s="174">
        <v>1500</v>
      </c>
      <c r="U43" s="174">
        <f t="shared" ref="U43:U47" si="34">H43+P43</f>
        <v>6000</v>
      </c>
      <c r="V43" s="172">
        <v>0.15</v>
      </c>
      <c r="W43" s="174">
        <f t="shared" si="32"/>
        <v>1950</v>
      </c>
      <c r="X43" s="176"/>
      <c r="Y43" s="392"/>
      <c r="AA43" s="372"/>
      <c r="AB43" s="390"/>
      <c r="AC43" s="414"/>
      <c r="AD43" s="304"/>
    </row>
    <row r="44" spans="1:30" s="199" customFormat="1" ht="55.5" customHeight="1" x14ac:dyDescent="0.2">
      <c r="A44" s="787"/>
      <c r="B44" s="177" t="s">
        <v>162</v>
      </c>
      <c r="C44" s="167" t="s">
        <v>37</v>
      </c>
      <c r="D44" s="168" t="s">
        <v>68</v>
      </c>
      <c r="E44" s="169">
        <v>1</v>
      </c>
      <c r="F44" s="170">
        <v>6540</v>
      </c>
      <c r="G44" s="169">
        <v>1</v>
      </c>
      <c r="H44" s="171">
        <f t="shared" si="30"/>
        <v>6540</v>
      </c>
      <c r="I44" s="172">
        <v>0.2</v>
      </c>
      <c r="J44" s="608">
        <v>6540</v>
      </c>
      <c r="K44" s="172">
        <f t="shared" si="14"/>
        <v>1</v>
      </c>
      <c r="L44" s="174">
        <f t="shared" si="31"/>
        <v>1308</v>
      </c>
      <c r="M44" s="444">
        <v>0</v>
      </c>
      <c r="N44" s="443">
        <v>0</v>
      </c>
      <c r="O44" s="444">
        <v>0</v>
      </c>
      <c r="P44" s="171">
        <f t="shared" si="33"/>
        <v>0</v>
      </c>
      <c r="Q44" s="172">
        <v>0</v>
      </c>
      <c r="R44" s="468">
        <v>0</v>
      </c>
      <c r="S44" s="591" t="e">
        <f t="shared" si="7"/>
        <v>#DIV/0!</v>
      </c>
      <c r="T44" s="174">
        <v>0</v>
      </c>
      <c r="U44" s="174">
        <f t="shared" si="34"/>
        <v>6540</v>
      </c>
      <c r="V44" s="172">
        <v>0.2</v>
      </c>
      <c r="W44" s="174">
        <f t="shared" si="32"/>
        <v>1308</v>
      </c>
      <c r="X44" s="176"/>
      <c r="Y44" s="392"/>
      <c r="AA44" s="372"/>
      <c r="AB44" s="390"/>
      <c r="AC44" s="414"/>
      <c r="AD44" s="304"/>
    </row>
    <row r="45" spans="1:30" s="199" customFormat="1" ht="60" customHeight="1" x14ac:dyDescent="0.2">
      <c r="A45" s="787"/>
      <c r="B45" s="167" t="s">
        <v>122</v>
      </c>
      <c r="C45" s="167" t="s">
        <v>37</v>
      </c>
      <c r="D45" s="168" t="s">
        <v>68</v>
      </c>
      <c r="E45" s="169">
        <v>1</v>
      </c>
      <c r="F45" s="170">
        <v>15000</v>
      </c>
      <c r="G45" s="169">
        <v>2</v>
      </c>
      <c r="H45" s="171">
        <f t="shared" si="30"/>
        <v>30000</v>
      </c>
      <c r="I45" s="172">
        <v>0.15</v>
      </c>
      <c r="J45" s="612">
        <v>28200</v>
      </c>
      <c r="K45" s="172">
        <f t="shared" si="14"/>
        <v>0.94</v>
      </c>
      <c r="L45" s="174">
        <f t="shared" si="31"/>
        <v>4230</v>
      </c>
      <c r="M45" s="444">
        <v>1</v>
      </c>
      <c r="N45" s="443">
        <v>10000</v>
      </c>
      <c r="O45" s="444">
        <v>2</v>
      </c>
      <c r="P45" s="171">
        <f t="shared" si="33"/>
        <v>20000</v>
      </c>
      <c r="Q45" s="172">
        <v>0.15</v>
      </c>
      <c r="R45" s="468">
        <v>0</v>
      </c>
      <c r="S45" s="591">
        <f t="shared" si="7"/>
        <v>0</v>
      </c>
      <c r="T45" s="174">
        <v>2</v>
      </c>
      <c r="U45" s="174">
        <f t="shared" si="34"/>
        <v>50000</v>
      </c>
      <c r="V45" s="172">
        <v>0.15</v>
      </c>
      <c r="W45" s="174">
        <f t="shared" si="32"/>
        <v>4232</v>
      </c>
      <c r="X45" s="176"/>
      <c r="Y45" s="392"/>
      <c r="AA45" s="372"/>
      <c r="AB45" s="390"/>
      <c r="AC45" s="414"/>
      <c r="AD45" s="304"/>
    </row>
    <row r="46" spans="1:30" s="199" customFormat="1" ht="89.25" x14ac:dyDescent="0.2">
      <c r="A46" s="787"/>
      <c r="B46" s="177" t="s">
        <v>123</v>
      </c>
      <c r="C46" s="167" t="s">
        <v>37</v>
      </c>
      <c r="D46" s="168" t="s">
        <v>68</v>
      </c>
      <c r="E46" s="169">
        <v>30</v>
      </c>
      <c r="F46" s="170">
        <v>150</v>
      </c>
      <c r="G46" s="169">
        <v>1</v>
      </c>
      <c r="H46" s="171">
        <f t="shared" si="30"/>
        <v>4500</v>
      </c>
      <c r="I46" s="172">
        <v>0.15</v>
      </c>
      <c r="J46" s="612">
        <v>4500</v>
      </c>
      <c r="K46" s="172">
        <f t="shared" si="14"/>
        <v>1</v>
      </c>
      <c r="L46" s="174">
        <f t="shared" si="31"/>
        <v>675</v>
      </c>
      <c r="M46" s="444">
        <v>30</v>
      </c>
      <c r="N46" s="443">
        <v>150</v>
      </c>
      <c r="O46" s="444">
        <v>1</v>
      </c>
      <c r="P46" s="171">
        <f t="shared" si="33"/>
        <v>4500</v>
      </c>
      <c r="Q46" s="172">
        <v>0.15</v>
      </c>
      <c r="R46" s="468">
        <v>2250</v>
      </c>
      <c r="S46" s="591">
        <f t="shared" si="7"/>
        <v>0.5</v>
      </c>
      <c r="T46" s="174">
        <v>3</v>
      </c>
      <c r="U46" s="174">
        <f t="shared" si="34"/>
        <v>9000</v>
      </c>
      <c r="V46" s="172">
        <v>0.15</v>
      </c>
      <c r="W46" s="174">
        <f t="shared" si="32"/>
        <v>678</v>
      </c>
      <c r="X46" s="176" t="s">
        <v>246</v>
      </c>
      <c r="Y46" s="392"/>
      <c r="AA46" s="372"/>
      <c r="AB46" s="390"/>
      <c r="AC46" s="414"/>
      <c r="AD46" s="304"/>
    </row>
    <row r="47" spans="1:30" s="199" customFormat="1" ht="114.75" x14ac:dyDescent="0.2">
      <c r="A47" s="787"/>
      <c r="B47" s="177" t="s">
        <v>124</v>
      </c>
      <c r="C47" s="167" t="s">
        <v>37</v>
      </c>
      <c r="D47" s="168" t="s">
        <v>68</v>
      </c>
      <c r="E47" s="169">
        <v>30</v>
      </c>
      <c r="F47" s="170">
        <v>200</v>
      </c>
      <c r="G47" s="169">
        <v>2</v>
      </c>
      <c r="H47" s="171">
        <f t="shared" si="30"/>
        <v>12000</v>
      </c>
      <c r="I47" s="172">
        <v>0.15</v>
      </c>
      <c r="J47" s="612">
        <v>12000</v>
      </c>
      <c r="K47" s="172">
        <f t="shared" si="14"/>
        <v>1</v>
      </c>
      <c r="L47" s="174">
        <f t="shared" si="31"/>
        <v>1800</v>
      </c>
      <c r="M47" s="444">
        <v>30</v>
      </c>
      <c r="N47" s="443">
        <v>200</v>
      </c>
      <c r="O47" s="444">
        <v>2</v>
      </c>
      <c r="P47" s="171">
        <f t="shared" si="33"/>
        <v>12000</v>
      </c>
      <c r="Q47" s="172">
        <v>0.15</v>
      </c>
      <c r="R47" s="468"/>
      <c r="S47" s="591">
        <f t="shared" si="7"/>
        <v>0</v>
      </c>
      <c r="T47" s="174">
        <v>4</v>
      </c>
      <c r="U47" s="174">
        <f t="shared" si="34"/>
        <v>24000</v>
      </c>
      <c r="V47" s="172">
        <v>0.15</v>
      </c>
      <c r="W47" s="174">
        <f t="shared" si="32"/>
        <v>1804</v>
      </c>
      <c r="X47" s="176"/>
      <c r="Y47" s="392" t="s">
        <v>264</v>
      </c>
      <c r="AA47" s="372"/>
      <c r="AB47" s="390"/>
      <c r="AC47" s="414"/>
      <c r="AD47" s="304"/>
    </row>
    <row r="48" spans="1:30" s="199" customFormat="1" ht="13.5" x14ac:dyDescent="0.2">
      <c r="A48" s="788"/>
      <c r="B48" s="768" t="s">
        <v>0</v>
      </c>
      <c r="C48" s="768"/>
      <c r="D48" s="768"/>
      <c r="E48" s="768"/>
      <c r="F48" s="768"/>
      <c r="G48" s="768"/>
      <c r="H48" s="171">
        <f>SUM(H42:H47)</f>
        <v>60840</v>
      </c>
      <c r="I48" s="609">
        <f>L48/H48</f>
        <v>0.16351084812623273</v>
      </c>
      <c r="J48" s="171">
        <f>SUM(J42:J47)</f>
        <v>58740</v>
      </c>
      <c r="K48" s="172">
        <f t="shared" si="14"/>
        <v>0.96548323471400399</v>
      </c>
      <c r="L48" s="171">
        <f>SUM(L42:L47)</f>
        <v>9948</v>
      </c>
      <c r="M48" s="610"/>
      <c r="N48" s="611"/>
      <c r="O48" s="610"/>
      <c r="P48" s="171">
        <f>SUM(P42:P47)</f>
        <v>39500</v>
      </c>
      <c r="Q48" s="171"/>
      <c r="R48" s="171">
        <f t="shared" ref="R48" si="35">SUM(R42:R47)</f>
        <v>2250</v>
      </c>
      <c r="S48" s="591">
        <f t="shared" si="7"/>
        <v>5.6962025316455694E-2</v>
      </c>
      <c r="T48" s="171">
        <f>SUM(T42:T47)</f>
        <v>1509</v>
      </c>
      <c r="U48" s="171">
        <f>SUM(U42:U47)</f>
        <v>100340</v>
      </c>
      <c r="V48" s="613"/>
      <c r="W48" s="171">
        <f>SUM(W42:W47)</f>
        <v>11457</v>
      </c>
      <c r="X48" s="614">
        <f>W48/U48</f>
        <v>0.11418178194139925</v>
      </c>
      <c r="Y48" s="392"/>
      <c r="AA48" s="372"/>
      <c r="AB48" s="390"/>
      <c r="AC48" s="414"/>
      <c r="AD48" s="304"/>
    </row>
    <row r="49" spans="1:30" s="199" customFormat="1" ht="94.5" customHeight="1" x14ac:dyDescent="0.2">
      <c r="A49" s="789" t="s">
        <v>134</v>
      </c>
      <c r="B49" s="167" t="s">
        <v>125</v>
      </c>
      <c r="C49" s="167" t="s">
        <v>36</v>
      </c>
      <c r="D49" s="168" t="s">
        <v>68</v>
      </c>
      <c r="E49" s="169">
        <v>20</v>
      </c>
      <c r="F49" s="170">
        <v>80</v>
      </c>
      <c r="G49" s="169">
        <v>3</v>
      </c>
      <c r="H49" s="171">
        <f t="shared" ref="H49:H57" si="36">E49*F49*G49</f>
        <v>4800</v>
      </c>
      <c r="I49" s="172">
        <v>0.15</v>
      </c>
      <c r="J49" s="608">
        <v>4800</v>
      </c>
      <c r="K49" s="172">
        <f t="shared" si="14"/>
        <v>1</v>
      </c>
      <c r="L49" s="174">
        <f>SUM(I49*J49)</f>
        <v>720</v>
      </c>
      <c r="M49" s="444">
        <v>0</v>
      </c>
      <c r="N49" s="443">
        <v>0</v>
      </c>
      <c r="O49" s="444">
        <v>0</v>
      </c>
      <c r="P49" s="171">
        <f>M49*N49*O49</f>
        <v>0</v>
      </c>
      <c r="Q49" s="172">
        <v>0.15</v>
      </c>
      <c r="R49" s="468"/>
      <c r="S49" s="591" t="e">
        <f t="shared" si="7"/>
        <v>#DIV/0!</v>
      </c>
      <c r="T49" s="174">
        <f t="shared" ref="T49:T57" si="37">P49*Q49</f>
        <v>0</v>
      </c>
      <c r="U49" s="174">
        <f>H49+P49</f>
        <v>4800</v>
      </c>
      <c r="V49" s="172">
        <v>0.15</v>
      </c>
      <c r="W49" s="174">
        <f t="shared" ref="W49:W57" si="38">T49+L49</f>
        <v>720</v>
      </c>
      <c r="X49" s="176"/>
      <c r="Y49" s="392"/>
      <c r="AA49" s="372"/>
      <c r="AB49" s="390"/>
      <c r="AC49" s="414"/>
      <c r="AD49" s="304"/>
    </row>
    <row r="50" spans="1:30" s="199" customFormat="1" ht="29.25" customHeight="1" x14ac:dyDescent="0.2">
      <c r="A50" s="789"/>
      <c r="B50" s="177" t="s">
        <v>126</v>
      </c>
      <c r="C50" s="167" t="s">
        <v>37</v>
      </c>
      <c r="D50" s="168" t="s">
        <v>68</v>
      </c>
      <c r="E50" s="169">
        <v>10</v>
      </c>
      <c r="F50" s="170">
        <v>20</v>
      </c>
      <c r="G50" s="169">
        <v>20</v>
      </c>
      <c r="H50" s="171">
        <f t="shared" si="36"/>
        <v>4000</v>
      </c>
      <c r="I50" s="172">
        <v>0.2</v>
      </c>
      <c r="J50" s="608">
        <v>4000</v>
      </c>
      <c r="K50" s="172">
        <f t="shared" si="14"/>
        <v>1</v>
      </c>
      <c r="L50" s="174">
        <f>SUM(I50*J50)</f>
        <v>800</v>
      </c>
      <c r="M50" s="444">
        <v>0</v>
      </c>
      <c r="N50" s="443">
        <v>0</v>
      </c>
      <c r="O50" s="444">
        <v>0</v>
      </c>
      <c r="P50" s="171">
        <f>M50*N50*O50</f>
        <v>0</v>
      </c>
      <c r="Q50" s="172">
        <v>0.2</v>
      </c>
      <c r="R50" s="468"/>
      <c r="S50" s="591" t="e">
        <f t="shared" si="7"/>
        <v>#DIV/0!</v>
      </c>
      <c r="T50" s="174">
        <f t="shared" si="37"/>
        <v>0</v>
      </c>
      <c r="U50" s="174">
        <f>H50+P50</f>
        <v>4000</v>
      </c>
      <c r="V50" s="172">
        <v>0.2</v>
      </c>
      <c r="W50" s="174">
        <f t="shared" si="38"/>
        <v>800</v>
      </c>
      <c r="X50" s="176"/>
      <c r="Y50" s="392"/>
      <c r="AA50" s="372"/>
      <c r="AB50" s="390"/>
      <c r="AC50" s="414"/>
      <c r="AD50" s="304"/>
    </row>
    <row r="51" spans="1:30" s="199" customFormat="1" ht="45.75" customHeight="1" x14ac:dyDescent="0.2">
      <c r="A51" s="789"/>
      <c r="B51" s="177" t="s">
        <v>127</v>
      </c>
      <c r="C51" s="167" t="s">
        <v>37</v>
      </c>
      <c r="D51" s="168" t="s">
        <v>68</v>
      </c>
      <c r="E51" s="169">
        <v>4</v>
      </c>
      <c r="F51" s="170">
        <v>1000</v>
      </c>
      <c r="G51" s="169">
        <v>1</v>
      </c>
      <c r="H51" s="171">
        <f t="shared" si="36"/>
        <v>4000</v>
      </c>
      <c r="I51" s="172">
        <v>0.4</v>
      </c>
      <c r="J51" s="608">
        <v>2500</v>
      </c>
      <c r="K51" s="172">
        <f t="shared" si="14"/>
        <v>0.625</v>
      </c>
      <c r="L51" s="174">
        <f>SUM(I51*J51)</f>
        <v>1000</v>
      </c>
      <c r="M51" s="476">
        <v>6</v>
      </c>
      <c r="N51" s="477">
        <v>1000</v>
      </c>
      <c r="O51" s="476">
        <v>1</v>
      </c>
      <c r="P51" s="171">
        <f t="shared" ref="P51:P57" si="39">M51*N51*O51</f>
        <v>6000</v>
      </c>
      <c r="Q51" s="172">
        <v>0.4</v>
      </c>
      <c r="R51" s="468"/>
      <c r="S51" s="591">
        <f t="shared" si="7"/>
        <v>0</v>
      </c>
      <c r="T51" s="174">
        <f t="shared" si="37"/>
        <v>2400</v>
      </c>
      <c r="U51" s="174">
        <f t="shared" ref="U51:U57" si="40">H51+P51</f>
        <v>10000</v>
      </c>
      <c r="V51" s="172">
        <f t="shared" ref="V51:V58" si="41">Q51</f>
        <v>0.4</v>
      </c>
      <c r="W51" s="174">
        <f t="shared" si="38"/>
        <v>3400</v>
      </c>
      <c r="X51" s="176" t="s">
        <v>247</v>
      </c>
      <c r="Y51" s="392"/>
      <c r="AA51" s="372"/>
      <c r="AB51" s="390"/>
      <c r="AC51" s="414"/>
      <c r="AD51" s="304"/>
    </row>
    <row r="52" spans="1:30" s="199" customFormat="1" ht="41.25" customHeight="1" x14ac:dyDescent="0.2">
      <c r="A52" s="789"/>
      <c r="B52" s="167" t="s">
        <v>128</v>
      </c>
      <c r="C52" s="167" t="s">
        <v>37</v>
      </c>
      <c r="D52" s="168" t="s">
        <v>68</v>
      </c>
      <c r="E52" s="169">
        <v>3</v>
      </c>
      <c r="F52" s="170">
        <v>2000</v>
      </c>
      <c r="G52" s="169">
        <v>1</v>
      </c>
      <c r="H52" s="171">
        <f t="shared" si="36"/>
        <v>6000</v>
      </c>
      <c r="I52" s="172">
        <v>0.33</v>
      </c>
      <c r="J52" s="608">
        <v>4500</v>
      </c>
      <c r="K52" s="172">
        <f t="shared" si="14"/>
        <v>0.75</v>
      </c>
      <c r="L52" s="174">
        <f t="shared" ref="L52" si="42">SUM(I52*J52)</f>
        <v>1485</v>
      </c>
      <c r="M52" s="476">
        <v>3</v>
      </c>
      <c r="N52" s="477">
        <v>2000</v>
      </c>
      <c r="O52" s="476">
        <v>1</v>
      </c>
      <c r="P52" s="171">
        <f t="shared" si="39"/>
        <v>6000</v>
      </c>
      <c r="Q52" s="172">
        <v>0.33</v>
      </c>
      <c r="R52" s="468"/>
      <c r="S52" s="591">
        <f t="shared" si="7"/>
        <v>0</v>
      </c>
      <c r="T52" s="174">
        <f t="shared" si="37"/>
        <v>1980</v>
      </c>
      <c r="U52" s="174">
        <f t="shared" si="40"/>
        <v>12000</v>
      </c>
      <c r="V52" s="172">
        <v>0.33</v>
      </c>
      <c r="W52" s="174">
        <f t="shared" si="38"/>
        <v>3465</v>
      </c>
      <c r="X52" s="176"/>
      <c r="Y52" s="392" t="s">
        <v>264</v>
      </c>
      <c r="AA52" s="372"/>
      <c r="AB52" s="390"/>
      <c r="AC52" s="414"/>
      <c r="AD52" s="304"/>
    </row>
    <row r="53" spans="1:30" s="199" customFormat="1" ht="45" customHeight="1" x14ac:dyDescent="0.2">
      <c r="A53" s="789"/>
      <c r="B53" s="167" t="s">
        <v>129</v>
      </c>
      <c r="C53" s="167" t="s">
        <v>37</v>
      </c>
      <c r="D53" s="168" t="s">
        <v>68</v>
      </c>
      <c r="E53" s="169">
        <v>3</v>
      </c>
      <c r="F53" s="170">
        <v>500</v>
      </c>
      <c r="G53" s="169">
        <v>2</v>
      </c>
      <c r="H53" s="171">
        <f t="shared" si="36"/>
        <v>3000</v>
      </c>
      <c r="I53" s="172">
        <v>0.33</v>
      </c>
      <c r="J53" s="608">
        <v>1500</v>
      </c>
      <c r="K53" s="172">
        <f t="shared" si="14"/>
        <v>0.5</v>
      </c>
      <c r="L53" s="174">
        <f>SUM(I53*J53)</f>
        <v>495</v>
      </c>
      <c r="M53" s="476">
        <v>3</v>
      </c>
      <c r="N53" s="477">
        <v>500</v>
      </c>
      <c r="O53" s="476">
        <v>2</v>
      </c>
      <c r="P53" s="171">
        <f t="shared" si="39"/>
        <v>3000</v>
      </c>
      <c r="Q53" s="172">
        <v>0.33</v>
      </c>
      <c r="R53" s="468"/>
      <c r="S53" s="591">
        <f t="shared" si="7"/>
        <v>0</v>
      </c>
      <c r="T53" s="174">
        <f t="shared" si="37"/>
        <v>990</v>
      </c>
      <c r="U53" s="174">
        <f t="shared" si="40"/>
        <v>6000</v>
      </c>
      <c r="V53" s="172">
        <v>0.33</v>
      </c>
      <c r="W53" s="174">
        <f t="shared" si="38"/>
        <v>1485</v>
      </c>
      <c r="X53" s="176" t="s">
        <v>248</v>
      </c>
      <c r="Y53" s="392"/>
      <c r="AA53" s="372"/>
      <c r="AB53" s="390"/>
      <c r="AC53" s="414"/>
      <c r="AD53" s="304"/>
    </row>
    <row r="54" spans="1:30" s="199" customFormat="1" ht="42.75" customHeight="1" x14ac:dyDescent="0.2">
      <c r="A54" s="789"/>
      <c r="B54" s="167" t="s">
        <v>130</v>
      </c>
      <c r="C54" s="167" t="s">
        <v>37</v>
      </c>
      <c r="D54" s="168" t="s">
        <v>68</v>
      </c>
      <c r="E54" s="169">
        <v>1</v>
      </c>
      <c r="F54" s="170">
        <v>3000</v>
      </c>
      <c r="G54" s="169">
        <v>1</v>
      </c>
      <c r="H54" s="171">
        <f t="shared" si="36"/>
        <v>3000</v>
      </c>
      <c r="I54" s="172">
        <v>0.15</v>
      </c>
      <c r="J54" s="608">
        <v>3000</v>
      </c>
      <c r="K54" s="172">
        <f t="shared" si="14"/>
        <v>1</v>
      </c>
      <c r="L54" s="174">
        <f>SUM(I54*J54)</f>
        <v>450</v>
      </c>
      <c r="M54" s="476">
        <v>0</v>
      </c>
      <c r="N54" s="477">
        <v>0</v>
      </c>
      <c r="O54" s="476">
        <v>0</v>
      </c>
      <c r="P54" s="171">
        <f t="shared" si="39"/>
        <v>0</v>
      </c>
      <c r="Q54" s="172">
        <v>0.15</v>
      </c>
      <c r="R54" s="468"/>
      <c r="S54" s="591" t="e">
        <f t="shared" si="7"/>
        <v>#DIV/0!</v>
      </c>
      <c r="T54" s="174">
        <f t="shared" si="37"/>
        <v>0</v>
      </c>
      <c r="U54" s="174">
        <f t="shared" si="40"/>
        <v>3000</v>
      </c>
      <c r="V54" s="172">
        <v>0.15</v>
      </c>
      <c r="W54" s="174">
        <f t="shared" si="38"/>
        <v>450</v>
      </c>
      <c r="X54" s="176"/>
      <c r="Y54" s="392"/>
      <c r="AA54" s="372"/>
      <c r="AB54" s="390"/>
      <c r="AC54" s="414"/>
      <c r="AD54" s="304"/>
    </row>
    <row r="55" spans="1:30" s="199" customFormat="1" ht="31.5" customHeight="1" x14ac:dyDescent="0.2">
      <c r="A55" s="789"/>
      <c r="B55" s="167" t="s">
        <v>131</v>
      </c>
      <c r="C55" s="167" t="s">
        <v>37</v>
      </c>
      <c r="D55" s="168" t="s">
        <v>68</v>
      </c>
      <c r="E55" s="169">
        <v>1</v>
      </c>
      <c r="F55" s="170">
        <v>6000</v>
      </c>
      <c r="G55" s="169">
        <v>1</v>
      </c>
      <c r="H55" s="171">
        <f t="shared" si="36"/>
        <v>6000</v>
      </c>
      <c r="I55" s="172">
        <v>0.15</v>
      </c>
      <c r="J55" s="612">
        <v>2656</v>
      </c>
      <c r="K55" s="172">
        <f>SUM(J55/H55)</f>
        <v>0.44266666666666665</v>
      </c>
      <c r="L55" s="174">
        <f>SUM(I55*J55)</f>
        <v>398.4</v>
      </c>
      <c r="M55" s="476">
        <v>0</v>
      </c>
      <c r="N55" s="477">
        <v>0</v>
      </c>
      <c r="O55" s="476">
        <v>0</v>
      </c>
      <c r="P55" s="171">
        <f t="shared" si="39"/>
        <v>0</v>
      </c>
      <c r="Q55" s="172">
        <v>0.15</v>
      </c>
      <c r="R55" s="468"/>
      <c r="S55" s="591" t="e">
        <f t="shared" si="7"/>
        <v>#DIV/0!</v>
      </c>
      <c r="T55" s="174">
        <f t="shared" si="37"/>
        <v>0</v>
      </c>
      <c r="U55" s="174">
        <f t="shared" si="40"/>
        <v>6000</v>
      </c>
      <c r="V55" s="172">
        <f t="shared" si="41"/>
        <v>0.15</v>
      </c>
      <c r="W55" s="174">
        <f t="shared" si="38"/>
        <v>398.4</v>
      </c>
      <c r="X55" s="176" t="s">
        <v>244</v>
      </c>
      <c r="Y55" s="392"/>
      <c r="AA55" s="372"/>
      <c r="AB55" s="390"/>
      <c r="AC55" s="414"/>
      <c r="AD55" s="304"/>
    </row>
    <row r="56" spans="1:30" s="199" customFormat="1" ht="39.75" customHeight="1" x14ac:dyDescent="0.2">
      <c r="A56" s="789"/>
      <c r="B56" s="177" t="s">
        <v>132</v>
      </c>
      <c r="C56" s="167" t="s">
        <v>37</v>
      </c>
      <c r="D56" s="168" t="s">
        <v>68</v>
      </c>
      <c r="E56" s="169">
        <v>15</v>
      </c>
      <c r="F56" s="170">
        <v>150</v>
      </c>
      <c r="G56" s="169">
        <v>2</v>
      </c>
      <c r="H56" s="171">
        <f t="shared" si="36"/>
        <v>4500</v>
      </c>
      <c r="I56" s="172">
        <v>0.15</v>
      </c>
      <c r="J56" s="608">
        <v>0</v>
      </c>
      <c r="K56" s="172">
        <f>SUM(J56/H56)</f>
        <v>0</v>
      </c>
      <c r="L56" s="174">
        <f>SUM(I56*J56)</f>
        <v>0</v>
      </c>
      <c r="M56" s="476">
        <v>20</v>
      </c>
      <c r="N56" s="477">
        <v>150</v>
      </c>
      <c r="O56" s="476">
        <v>2</v>
      </c>
      <c r="P56" s="171">
        <f t="shared" si="39"/>
        <v>6000</v>
      </c>
      <c r="Q56" s="172">
        <v>0.15</v>
      </c>
      <c r="R56" s="468"/>
      <c r="S56" s="591">
        <f t="shared" si="7"/>
        <v>0</v>
      </c>
      <c r="T56" s="174">
        <f t="shared" si="37"/>
        <v>900</v>
      </c>
      <c r="U56" s="174">
        <f t="shared" si="40"/>
        <v>10500</v>
      </c>
      <c r="V56" s="172">
        <f t="shared" si="41"/>
        <v>0.15</v>
      </c>
      <c r="W56" s="174">
        <f t="shared" si="38"/>
        <v>900</v>
      </c>
      <c r="X56" s="176" t="s">
        <v>249</v>
      </c>
      <c r="Y56" s="392"/>
      <c r="AA56" s="372"/>
      <c r="AB56" s="390"/>
      <c r="AC56" s="414"/>
      <c r="AD56" s="304"/>
    </row>
    <row r="57" spans="1:30" s="199" customFormat="1" ht="54.75" customHeight="1" x14ac:dyDescent="0.2">
      <c r="A57" s="789"/>
      <c r="B57" s="167" t="s">
        <v>133</v>
      </c>
      <c r="C57" s="167" t="s">
        <v>37</v>
      </c>
      <c r="D57" s="168" t="s">
        <v>68</v>
      </c>
      <c r="E57" s="169">
        <v>1</v>
      </c>
      <c r="F57" s="170">
        <v>9000</v>
      </c>
      <c r="G57" s="169">
        <v>1</v>
      </c>
      <c r="H57" s="171">
        <f t="shared" si="36"/>
        <v>9000</v>
      </c>
      <c r="I57" s="172">
        <v>0.15</v>
      </c>
      <c r="J57" s="608">
        <v>5400</v>
      </c>
      <c r="K57" s="172">
        <f>SUM(J57/H57)</f>
        <v>0.6</v>
      </c>
      <c r="L57" s="174">
        <f>SUM(I57*J57)</f>
        <v>810</v>
      </c>
      <c r="M57" s="476">
        <v>0</v>
      </c>
      <c r="N57" s="477">
        <v>0</v>
      </c>
      <c r="O57" s="476">
        <v>0</v>
      </c>
      <c r="P57" s="171">
        <f t="shared" si="39"/>
        <v>0</v>
      </c>
      <c r="Q57" s="172">
        <v>0.15</v>
      </c>
      <c r="R57" s="468"/>
      <c r="S57" s="591" t="e">
        <f t="shared" si="7"/>
        <v>#DIV/0!</v>
      </c>
      <c r="T57" s="174">
        <f t="shared" si="37"/>
        <v>0</v>
      </c>
      <c r="U57" s="174">
        <f t="shared" si="40"/>
        <v>9000</v>
      </c>
      <c r="V57" s="172">
        <f t="shared" si="41"/>
        <v>0.15</v>
      </c>
      <c r="W57" s="174">
        <f t="shared" si="38"/>
        <v>810</v>
      </c>
      <c r="X57" s="177" t="s">
        <v>250</v>
      </c>
      <c r="Y57" s="343"/>
      <c r="AA57" s="372"/>
      <c r="AB57" s="390"/>
      <c r="AC57" s="414"/>
      <c r="AD57" s="304"/>
    </row>
    <row r="58" spans="1:30" s="199" customFormat="1" ht="13.5" x14ac:dyDescent="0.2">
      <c r="A58" s="789"/>
      <c r="B58" s="768" t="s">
        <v>0</v>
      </c>
      <c r="C58" s="768"/>
      <c r="D58" s="768"/>
      <c r="E58" s="768"/>
      <c r="F58" s="768"/>
      <c r="G58" s="768"/>
      <c r="H58" s="171">
        <f>SUM(H49:H57)</f>
        <v>44300</v>
      </c>
      <c r="I58" s="609">
        <f>L58/H58</f>
        <v>0.13901580135440181</v>
      </c>
      <c r="J58" s="171">
        <f>SUM(J49:J57)</f>
        <v>28356</v>
      </c>
      <c r="K58" s="605">
        <f>SUM(J58/H58)</f>
        <v>0.64009029345372459</v>
      </c>
      <c r="L58" s="171">
        <f>SUM(L49:L57)</f>
        <v>6158.4</v>
      </c>
      <c r="M58" s="610"/>
      <c r="N58" s="611"/>
      <c r="O58" s="610"/>
      <c r="P58" s="171">
        <f>SUM(P49:P57)</f>
        <v>21000</v>
      </c>
      <c r="Q58" s="171"/>
      <c r="R58" s="171">
        <f t="shared" ref="R58" si="43">SUM(R49:R57)</f>
        <v>0</v>
      </c>
      <c r="S58" s="606">
        <f t="shared" si="7"/>
        <v>0</v>
      </c>
      <c r="T58" s="171">
        <f>SUM(T49:T57)</f>
        <v>6270</v>
      </c>
      <c r="U58" s="174">
        <f>SUM(U49:U57)</f>
        <v>65300</v>
      </c>
      <c r="V58" s="172">
        <f t="shared" si="41"/>
        <v>0</v>
      </c>
      <c r="W58" s="615">
        <f>SUM(W49:W57)</f>
        <v>12428.4</v>
      </c>
      <c r="X58" s="614">
        <f>W58/U58</f>
        <v>0.19032771822358346</v>
      </c>
      <c r="Y58" s="343"/>
      <c r="AA58" s="372"/>
      <c r="AB58" s="390"/>
      <c r="AC58" s="414"/>
      <c r="AD58" s="304"/>
    </row>
    <row r="59" spans="1:30" s="194" customFormat="1" ht="13.5" x14ac:dyDescent="0.2">
      <c r="A59" s="772" t="s">
        <v>33</v>
      </c>
      <c r="B59" s="772"/>
      <c r="C59" s="772"/>
      <c r="D59" s="772"/>
      <c r="E59" s="772"/>
      <c r="F59" s="772"/>
      <c r="G59" s="772"/>
      <c r="H59" s="615">
        <f>H58+H48+H41+H35+H27</f>
        <v>398970</v>
      </c>
      <c r="I59" s="609">
        <f>L59/H59</f>
        <v>0.25604935208161012</v>
      </c>
      <c r="J59" s="615">
        <f>J58+J48+J41+J35+J27</f>
        <v>341287</v>
      </c>
      <c r="K59" s="172">
        <f>SUM(J59/H59)</f>
        <v>0.85542020703311028</v>
      </c>
      <c r="L59" s="615">
        <f>L58+L48+L41+L35+L27</f>
        <v>102156.01</v>
      </c>
      <c r="M59" s="615"/>
      <c r="N59" s="615"/>
      <c r="O59" s="615"/>
      <c r="P59" s="615">
        <f>P58+P48+P41+P35+P27</f>
        <v>196010</v>
      </c>
      <c r="Q59" s="615"/>
      <c r="R59" s="615">
        <f t="shared" ref="R59" si="44">R58+R48+R41+R35+R27</f>
        <v>29660</v>
      </c>
      <c r="S59" s="616">
        <f t="shared" si="7"/>
        <v>0.15131881026478242</v>
      </c>
      <c r="T59" s="615">
        <f>T58+T48+T41+T35+T27</f>
        <v>46671.5</v>
      </c>
      <c r="U59" s="615">
        <f>U58+U48+U41+U35+U27</f>
        <v>594980</v>
      </c>
      <c r="V59" s="617"/>
      <c r="W59" s="615">
        <f>W58+W48+W41+W35+W27</f>
        <v>148827.51</v>
      </c>
      <c r="X59" s="618">
        <f>W59/U59</f>
        <v>0.25013867693031699</v>
      </c>
      <c r="Y59" s="391"/>
      <c r="AA59" s="363"/>
      <c r="AB59" s="380"/>
      <c r="AC59" s="404"/>
      <c r="AD59" s="347"/>
    </row>
    <row r="60" spans="1:30" s="199" customFormat="1" ht="15.75" customHeight="1" x14ac:dyDescent="0.2">
      <c r="A60" s="766" t="s">
        <v>87</v>
      </c>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392"/>
      <c r="AA60" s="372"/>
      <c r="AB60" s="390"/>
      <c r="AC60" s="414"/>
      <c r="AD60" s="304"/>
    </row>
    <row r="61" spans="1:30" s="199" customFormat="1" ht="48" customHeight="1" x14ac:dyDescent="0.2">
      <c r="A61" s="779" t="s">
        <v>268</v>
      </c>
      <c r="B61" s="177" t="s">
        <v>88</v>
      </c>
      <c r="C61" s="167" t="s">
        <v>37</v>
      </c>
      <c r="D61" s="168" t="s">
        <v>89</v>
      </c>
      <c r="E61" s="169">
        <v>7</v>
      </c>
      <c r="F61" s="170">
        <v>3490</v>
      </c>
      <c r="G61" s="169">
        <v>1</v>
      </c>
      <c r="H61" s="171">
        <f t="shared" ref="H61:H66" si="45">SUM(E61*F61*G61)</f>
        <v>24430</v>
      </c>
      <c r="I61" s="195">
        <v>0.4</v>
      </c>
      <c r="J61" s="197">
        <v>24430</v>
      </c>
      <c r="K61" s="172">
        <f t="shared" ref="K61:K113" si="46">SUM(J61/H61)</f>
        <v>1</v>
      </c>
      <c r="L61" s="174">
        <f t="shared" ref="L61:L66" si="47">SUM(I61*J61)</f>
        <v>9772</v>
      </c>
      <c r="M61" s="484">
        <v>0</v>
      </c>
      <c r="N61" s="443">
        <v>0</v>
      </c>
      <c r="O61" s="484">
        <v>0</v>
      </c>
      <c r="P61" s="171">
        <f>SUM(N61*M61*O61)</f>
        <v>0</v>
      </c>
      <c r="Q61" s="197">
        <v>40</v>
      </c>
      <c r="R61" s="468">
        <v>0</v>
      </c>
      <c r="S61" s="591" t="e">
        <f t="shared" si="7"/>
        <v>#DIV/0!</v>
      </c>
      <c r="T61" s="174">
        <f>SUM(Q61/100*P61)</f>
        <v>0</v>
      </c>
      <c r="U61" s="174">
        <f>H61+P61</f>
        <v>24430</v>
      </c>
      <c r="V61" s="197">
        <v>40</v>
      </c>
      <c r="W61" s="198">
        <f>SUM(V61/100*U61)</f>
        <v>9772</v>
      </c>
      <c r="X61" s="176"/>
      <c r="Y61" s="392"/>
      <c r="AA61" s="372"/>
      <c r="AB61" s="390"/>
      <c r="AC61" s="414"/>
      <c r="AD61" s="304"/>
    </row>
    <row r="62" spans="1:30" s="199" customFormat="1" ht="38.25" x14ac:dyDescent="0.2">
      <c r="A62" s="779"/>
      <c r="B62" s="177" t="s">
        <v>139</v>
      </c>
      <c r="C62" s="167" t="s">
        <v>37</v>
      </c>
      <c r="D62" s="168" t="s">
        <v>89</v>
      </c>
      <c r="E62" s="169">
        <v>5</v>
      </c>
      <c r="F62" s="170">
        <v>14920</v>
      </c>
      <c r="G62" s="169">
        <v>1</v>
      </c>
      <c r="H62" s="171">
        <f t="shared" si="45"/>
        <v>74600</v>
      </c>
      <c r="I62" s="195">
        <v>0.43</v>
      </c>
      <c r="J62" s="197">
        <v>74600</v>
      </c>
      <c r="K62" s="172">
        <f t="shared" si="46"/>
        <v>1</v>
      </c>
      <c r="L62" s="174">
        <f t="shared" si="47"/>
        <v>32078</v>
      </c>
      <c r="M62" s="484">
        <v>2</v>
      </c>
      <c r="N62" s="443">
        <v>16173</v>
      </c>
      <c r="O62" s="484">
        <v>1</v>
      </c>
      <c r="P62" s="171">
        <f t="shared" ref="P62:P66" si="48">SUM(N62*M62*O62)</f>
        <v>32346</v>
      </c>
      <c r="Q62" s="197">
        <v>43</v>
      </c>
      <c r="R62" s="468">
        <v>32346</v>
      </c>
      <c r="S62" s="591">
        <f t="shared" si="7"/>
        <v>1</v>
      </c>
      <c r="T62" s="174">
        <f t="shared" ref="T62" si="49">SUM(Q62/100*P62)</f>
        <v>13908.78</v>
      </c>
      <c r="U62" s="174">
        <f t="shared" ref="U62:U66" si="50">H62+P62</f>
        <v>106946</v>
      </c>
      <c r="V62" s="197">
        <v>43</v>
      </c>
      <c r="W62" s="198">
        <f t="shared" ref="W62:W66" si="51">SUM(V62/100*U62)</f>
        <v>45986.78</v>
      </c>
      <c r="X62" s="176"/>
      <c r="Y62" s="392"/>
      <c r="AA62" s="372"/>
      <c r="AB62" s="390"/>
      <c r="AC62" s="414"/>
      <c r="AD62" s="304"/>
    </row>
    <row r="63" spans="1:30" s="199" customFormat="1" ht="38.25" x14ac:dyDescent="0.2">
      <c r="A63" s="779"/>
      <c r="B63" s="177" t="s">
        <v>140</v>
      </c>
      <c r="C63" s="167" t="s">
        <v>37</v>
      </c>
      <c r="D63" s="168" t="s">
        <v>89</v>
      </c>
      <c r="E63" s="169">
        <v>430</v>
      </c>
      <c r="F63" s="170">
        <v>250</v>
      </c>
      <c r="G63" s="169">
        <v>1</v>
      </c>
      <c r="H63" s="171">
        <f t="shared" si="45"/>
        <v>107500</v>
      </c>
      <c r="I63" s="195">
        <v>0.43</v>
      </c>
      <c r="J63" s="197">
        <v>107500</v>
      </c>
      <c r="K63" s="172">
        <f t="shared" si="46"/>
        <v>1</v>
      </c>
      <c r="L63" s="174">
        <f t="shared" si="47"/>
        <v>46225</v>
      </c>
      <c r="M63" s="484">
        <v>170</v>
      </c>
      <c r="N63" s="443">
        <v>250</v>
      </c>
      <c r="O63" s="484">
        <v>1</v>
      </c>
      <c r="P63" s="171">
        <f t="shared" si="48"/>
        <v>42500</v>
      </c>
      <c r="Q63" s="197">
        <v>43</v>
      </c>
      <c r="R63" s="468">
        <v>42500</v>
      </c>
      <c r="S63" s="591">
        <f t="shared" si="7"/>
        <v>1</v>
      </c>
      <c r="T63" s="174">
        <f>SUM(Q63/100*P63)</f>
        <v>18275</v>
      </c>
      <c r="U63" s="174">
        <f t="shared" si="50"/>
        <v>150000</v>
      </c>
      <c r="V63" s="197">
        <v>43</v>
      </c>
      <c r="W63" s="198">
        <f t="shared" si="51"/>
        <v>64500</v>
      </c>
      <c r="X63" s="176"/>
      <c r="Y63" s="392"/>
    </row>
    <row r="64" spans="1:30" s="199" customFormat="1" ht="25.5" x14ac:dyDescent="0.2">
      <c r="A64" s="779"/>
      <c r="B64" s="167" t="s">
        <v>90</v>
      </c>
      <c r="C64" s="167" t="s">
        <v>37</v>
      </c>
      <c r="D64" s="168" t="s">
        <v>89</v>
      </c>
      <c r="E64" s="169">
        <v>6</v>
      </c>
      <c r="F64" s="170">
        <v>2022</v>
      </c>
      <c r="G64" s="169">
        <v>1</v>
      </c>
      <c r="H64" s="171">
        <f t="shared" si="45"/>
        <v>12132</v>
      </c>
      <c r="I64" s="195">
        <v>0.43</v>
      </c>
      <c r="J64" s="197">
        <v>12132</v>
      </c>
      <c r="K64" s="172">
        <f t="shared" si="46"/>
        <v>1</v>
      </c>
      <c r="L64" s="174">
        <f t="shared" si="47"/>
        <v>5216.76</v>
      </c>
      <c r="M64" s="484">
        <v>12</v>
      </c>
      <c r="N64" s="477">
        <v>2022</v>
      </c>
      <c r="O64" s="484">
        <v>1</v>
      </c>
      <c r="P64" s="171">
        <f t="shared" si="48"/>
        <v>24264</v>
      </c>
      <c r="Q64" s="197">
        <v>43</v>
      </c>
      <c r="R64" s="468">
        <v>24264</v>
      </c>
      <c r="S64" s="591">
        <f t="shared" si="7"/>
        <v>1</v>
      </c>
      <c r="T64" s="174">
        <f t="shared" ref="T64:T66" si="52">SUM(Q64/100*P64)</f>
        <v>10433.52</v>
      </c>
      <c r="U64" s="174">
        <f t="shared" si="50"/>
        <v>36396</v>
      </c>
      <c r="V64" s="197">
        <v>43</v>
      </c>
      <c r="W64" s="198">
        <f t="shared" si="51"/>
        <v>15650.28</v>
      </c>
      <c r="X64" s="176"/>
      <c r="Y64" s="392"/>
    </row>
    <row r="65" spans="1:30" s="199" customFormat="1" ht="63.75" x14ac:dyDescent="0.2">
      <c r="A65" s="779"/>
      <c r="B65" s="167" t="s">
        <v>141</v>
      </c>
      <c r="C65" s="167" t="s">
        <v>37</v>
      </c>
      <c r="D65" s="168" t="s">
        <v>89</v>
      </c>
      <c r="E65" s="169">
        <v>1</v>
      </c>
      <c r="F65" s="170">
        <v>8500</v>
      </c>
      <c r="G65" s="169">
        <v>1</v>
      </c>
      <c r="H65" s="171">
        <f t="shared" si="45"/>
        <v>8500</v>
      </c>
      <c r="I65" s="195">
        <v>0.43</v>
      </c>
      <c r="J65" s="619">
        <v>8500</v>
      </c>
      <c r="K65" s="172">
        <f t="shared" si="46"/>
        <v>1</v>
      </c>
      <c r="L65" s="174">
        <f t="shared" si="47"/>
        <v>3655</v>
      </c>
      <c r="M65" s="484">
        <v>0</v>
      </c>
      <c r="N65" s="477">
        <v>0</v>
      </c>
      <c r="O65" s="484">
        <v>0</v>
      </c>
      <c r="P65" s="171">
        <f t="shared" si="48"/>
        <v>0</v>
      </c>
      <c r="Q65" s="197">
        <v>43</v>
      </c>
      <c r="R65" s="468"/>
      <c r="S65" s="591" t="e">
        <f t="shared" si="7"/>
        <v>#DIV/0!</v>
      </c>
      <c r="T65" s="174">
        <f t="shared" si="52"/>
        <v>0</v>
      </c>
      <c r="U65" s="174">
        <f t="shared" si="50"/>
        <v>8500</v>
      </c>
      <c r="V65" s="197">
        <v>43</v>
      </c>
      <c r="W65" s="198">
        <f t="shared" si="51"/>
        <v>3655</v>
      </c>
      <c r="X65" s="176" t="s">
        <v>241</v>
      </c>
      <c r="Y65" s="392"/>
    </row>
    <row r="66" spans="1:30" s="199" customFormat="1" ht="25.5" x14ac:dyDescent="0.2">
      <c r="A66" s="779"/>
      <c r="B66" s="167" t="s">
        <v>142</v>
      </c>
      <c r="C66" s="167" t="s">
        <v>37</v>
      </c>
      <c r="D66" s="168" t="s">
        <v>89</v>
      </c>
      <c r="E66" s="169">
        <v>150</v>
      </c>
      <c r="F66" s="170">
        <v>3</v>
      </c>
      <c r="G66" s="169">
        <v>48</v>
      </c>
      <c r="H66" s="171">
        <f t="shared" si="45"/>
        <v>21600</v>
      </c>
      <c r="I66" s="195">
        <v>0.3</v>
      </c>
      <c r="J66" s="197">
        <v>21600</v>
      </c>
      <c r="K66" s="172">
        <f t="shared" si="46"/>
        <v>1</v>
      </c>
      <c r="L66" s="174">
        <f t="shared" si="47"/>
        <v>6480</v>
      </c>
      <c r="M66" s="484">
        <v>150</v>
      </c>
      <c r="N66" s="477">
        <v>3</v>
      </c>
      <c r="O66" s="484">
        <v>96</v>
      </c>
      <c r="P66" s="171">
        <f t="shared" si="48"/>
        <v>43200</v>
      </c>
      <c r="Q66" s="197">
        <v>30</v>
      </c>
      <c r="R66" s="468">
        <v>43200</v>
      </c>
      <c r="S66" s="591">
        <f t="shared" si="7"/>
        <v>1</v>
      </c>
      <c r="T66" s="174">
        <f t="shared" si="52"/>
        <v>12960</v>
      </c>
      <c r="U66" s="174">
        <f t="shared" si="50"/>
        <v>64800</v>
      </c>
      <c r="V66" s="197">
        <v>30</v>
      </c>
      <c r="W66" s="198">
        <f t="shared" si="51"/>
        <v>19440</v>
      </c>
      <c r="X66" s="176"/>
      <c r="Y66" s="392"/>
    </row>
    <row r="67" spans="1:30" s="199" customFormat="1" ht="13.5" x14ac:dyDescent="0.2">
      <c r="A67" s="779"/>
      <c r="B67" s="768" t="s">
        <v>0</v>
      </c>
      <c r="C67" s="768"/>
      <c r="D67" s="768" t="s">
        <v>0</v>
      </c>
      <c r="E67" s="768"/>
      <c r="F67" s="768"/>
      <c r="G67" s="768"/>
      <c r="H67" s="171">
        <f>SUM(H61:H66)</f>
        <v>248762</v>
      </c>
      <c r="I67" s="620">
        <f>L67/H67</f>
        <v>0.41576591280018649</v>
      </c>
      <c r="J67" s="171">
        <f>SUM(J61:J66)</f>
        <v>248762</v>
      </c>
      <c r="K67" s="172">
        <f>SUM(J67/H67)</f>
        <v>1</v>
      </c>
      <c r="L67" s="171">
        <f>SUM(L61:L66)</f>
        <v>103426.76</v>
      </c>
      <c r="M67" s="610"/>
      <c r="N67" s="611"/>
      <c r="O67" s="610"/>
      <c r="P67" s="171">
        <f>SUM(P61:P66)</f>
        <v>142310</v>
      </c>
      <c r="Q67" s="171"/>
      <c r="R67" s="171">
        <f t="shared" ref="R67" si="53">SUM(R61:R66)</f>
        <v>142310</v>
      </c>
      <c r="S67" s="606">
        <f t="shared" si="7"/>
        <v>1</v>
      </c>
      <c r="T67" s="171">
        <f>SUM(T61:T66)</f>
        <v>55577.3</v>
      </c>
      <c r="U67" s="174">
        <f>SUM(U61:U66)</f>
        <v>391072</v>
      </c>
      <c r="V67" s="172"/>
      <c r="W67" s="615">
        <f>SUM(W61:W66)</f>
        <v>159004.06</v>
      </c>
      <c r="X67" s="607"/>
      <c r="Y67" s="392"/>
    </row>
    <row r="68" spans="1:30" s="199" customFormat="1" ht="46.5" customHeight="1" x14ac:dyDescent="0.2">
      <c r="A68" s="779" t="s">
        <v>269</v>
      </c>
      <c r="B68" s="177" t="s">
        <v>91</v>
      </c>
      <c r="C68" s="167" t="s">
        <v>37</v>
      </c>
      <c r="D68" s="168" t="s">
        <v>89</v>
      </c>
      <c r="E68" s="169">
        <v>7</v>
      </c>
      <c r="F68" s="170">
        <v>3410</v>
      </c>
      <c r="G68" s="169">
        <v>1</v>
      </c>
      <c r="H68" s="171">
        <f>SUM(E68*F68*G68)</f>
        <v>23870</v>
      </c>
      <c r="I68" s="195">
        <v>0.4</v>
      </c>
      <c r="J68" s="621">
        <v>23870</v>
      </c>
      <c r="K68" s="605">
        <f>SUM(J68/H68)</f>
        <v>1</v>
      </c>
      <c r="L68" s="174">
        <f>SUM(I68*J68)</f>
        <v>9548</v>
      </c>
      <c r="M68" s="484">
        <v>0</v>
      </c>
      <c r="N68" s="443">
        <v>0</v>
      </c>
      <c r="O68" s="484">
        <v>0</v>
      </c>
      <c r="P68" s="171">
        <f>SUM(N68*M68*O68)</f>
        <v>0</v>
      </c>
      <c r="Q68" s="197">
        <v>40</v>
      </c>
      <c r="R68" s="468"/>
      <c r="S68" s="591" t="e">
        <f t="shared" si="7"/>
        <v>#DIV/0!</v>
      </c>
      <c r="T68" s="174">
        <f>SUM(Q68/100*P68)</f>
        <v>0</v>
      </c>
      <c r="U68" s="174">
        <f>H68+P68</f>
        <v>23870</v>
      </c>
      <c r="V68" s="197">
        <v>40</v>
      </c>
      <c r="W68" s="198">
        <f>SUM(T68+L68)</f>
        <v>9548</v>
      </c>
      <c r="X68" s="176"/>
      <c r="Y68" s="622"/>
    </row>
    <row r="69" spans="1:30" s="199" customFormat="1" ht="51" x14ac:dyDescent="0.2">
      <c r="A69" s="779"/>
      <c r="B69" s="177" t="s">
        <v>92</v>
      </c>
      <c r="C69" s="167" t="s">
        <v>37</v>
      </c>
      <c r="D69" s="168" t="s">
        <v>89</v>
      </c>
      <c r="E69" s="169">
        <v>5</v>
      </c>
      <c r="F69" s="170">
        <v>12400</v>
      </c>
      <c r="G69" s="169">
        <v>1</v>
      </c>
      <c r="H69" s="171">
        <f>SUM(E69*F69*G69)</f>
        <v>62000</v>
      </c>
      <c r="I69" s="195">
        <v>0.4</v>
      </c>
      <c r="J69" s="621">
        <v>62000</v>
      </c>
      <c r="K69" s="605">
        <f>SUM(J69/H69)</f>
        <v>1</v>
      </c>
      <c r="L69" s="174">
        <f>SUM(I69*J69)</f>
        <v>24800</v>
      </c>
      <c r="M69" s="484">
        <v>2</v>
      </c>
      <c r="N69" s="443">
        <v>12400</v>
      </c>
      <c r="O69" s="484">
        <v>1</v>
      </c>
      <c r="P69" s="171">
        <f t="shared" ref="P69:P71" si="54">SUM(N69*M69*O69)</f>
        <v>24800</v>
      </c>
      <c r="Q69" s="197">
        <v>40</v>
      </c>
      <c r="R69" s="468">
        <v>24800</v>
      </c>
      <c r="S69" s="591">
        <f t="shared" si="7"/>
        <v>1</v>
      </c>
      <c r="T69" s="174">
        <f t="shared" ref="T69:T80" si="55">SUM(Q69/100*P69)</f>
        <v>9920</v>
      </c>
      <c r="U69" s="174">
        <f t="shared" ref="U69:U71" si="56">H69+P69</f>
        <v>86800</v>
      </c>
      <c r="V69" s="197">
        <v>40</v>
      </c>
      <c r="W69" s="198">
        <f t="shared" ref="W69:W71" si="57">SUM(T69+L69)</f>
        <v>34720</v>
      </c>
      <c r="X69" s="176"/>
      <c r="Y69" s="623"/>
    </row>
    <row r="70" spans="1:30" s="199" customFormat="1" ht="38.25" x14ac:dyDescent="0.2">
      <c r="A70" s="779"/>
      <c r="B70" s="20" t="s">
        <v>93</v>
      </c>
      <c r="C70" s="167" t="s">
        <v>37</v>
      </c>
      <c r="D70" s="168" t="s">
        <v>89</v>
      </c>
      <c r="E70" s="169">
        <v>7</v>
      </c>
      <c r="F70" s="170">
        <v>5220</v>
      </c>
      <c r="G70" s="169">
        <v>1</v>
      </c>
      <c r="H70" s="171">
        <f>SUM(E70*F70*G70)</f>
        <v>36540</v>
      </c>
      <c r="I70" s="195">
        <v>0.4</v>
      </c>
      <c r="J70" s="624">
        <v>36540</v>
      </c>
      <c r="K70" s="605">
        <f t="shared" si="46"/>
        <v>1</v>
      </c>
      <c r="L70" s="174">
        <f>SUM(I70*J70)</f>
        <v>14616</v>
      </c>
      <c r="M70" s="484">
        <v>0</v>
      </c>
      <c r="N70" s="443">
        <v>0</v>
      </c>
      <c r="O70" s="484">
        <v>1</v>
      </c>
      <c r="P70" s="171">
        <f t="shared" si="54"/>
        <v>0</v>
      </c>
      <c r="Q70" s="197">
        <v>40</v>
      </c>
      <c r="R70" s="468">
        <v>0</v>
      </c>
      <c r="S70" s="591" t="e">
        <f t="shared" si="7"/>
        <v>#DIV/0!</v>
      </c>
      <c r="T70" s="174">
        <f t="shared" si="55"/>
        <v>0</v>
      </c>
      <c r="U70" s="174">
        <f t="shared" si="56"/>
        <v>36540</v>
      </c>
      <c r="V70" s="197">
        <v>40</v>
      </c>
      <c r="W70" s="198">
        <f t="shared" si="57"/>
        <v>14616</v>
      </c>
      <c r="X70" s="176"/>
      <c r="Y70" s="625"/>
    </row>
    <row r="71" spans="1:30" s="199" customFormat="1" ht="25.5" x14ac:dyDescent="0.2">
      <c r="A71" s="779"/>
      <c r="B71" s="177" t="s">
        <v>94</v>
      </c>
      <c r="C71" s="167" t="s">
        <v>37</v>
      </c>
      <c r="D71" s="168" t="s">
        <v>89</v>
      </c>
      <c r="E71" s="169">
        <v>1</v>
      </c>
      <c r="F71" s="170">
        <v>15000</v>
      </c>
      <c r="G71" s="169">
        <v>1</v>
      </c>
      <c r="H71" s="171">
        <f>SUM(E71*F71*G71)</f>
        <v>15000</v>
      </c>
      <c r="I71" s="195">
        <v>0.15</v>
      </c>
      <c r="J71" s="624">
        <v>0</v>
      </c>
      <c r="K71" s="605">
        <f t="shared" si="46"/>
        <v>0</v>
      </c>
      <c r="L71" s="174">
        <f>SUM(I71*J71)</f>
        <v>0</v>
      </c>
      <c r="M71" s="484">
        <v>0</v>
      </c>
      <c r="N71" s="443">
        <v>0</v>
      </c>
      <c r="O71" s="484">
        <v>1</v>
      </c>
      <c r="P71" s="171">
        <f t="shared" si="54"/>
        <v>0</v>
      </c>
      <c r="Q71" s="197">
        <v>15</v>
      </c>
      <c r="R71" s="468"/>
      <c r="S71" s="591" t="e">
        <f t="shared" si="7"/>
        <v>#DIV/0!</v>
      </c>
      <c r="T71" s="174">
        <f t="shared" si="55"/>
        <v>0</v>
      </c>
      <c r="U71" s="174">
        <f t="shared" si="56"/>
        <v>15000</v>
      </c>
      <c r="V71" s="197">
        <v>15</v>
      </c>
      <c r="W71" s="198">
        <f t="shared" si="57"/>
        <v>0</v>
      </c>
      <c r="X71" s="176" t="s">
        <v>242</v>
      </c>
      <c r="Y71" s="392"/>
    </row>
    <row r="72" spans="1:30" s="199" customFormat="1" ht="13.5" x14ac:dyDescent="0.2">
      <c r="A72" s="779"/>
      <c r="B72" s="768" t="s">
        <v>0</v>
      </c>
      <c r="C72" s="768"/>
      <c r="D72" s="768" t="s">
        <v>0</v>
      </c>
      <c r="E72" s="768"/>
      <c r="F72" s="768"/>
      <c r="G72" s="768"/>
      <c r="H72" s="171">
        <f>SUM(H68:H71)</f>
        <v>137410</v>
      </c>
      <c r="I72" s="609">
        <f>L72/H72</f>
        <v>0.35633505567280399</v>
      </c>
      <c r="J72" s="171">
        <f>SUM(J68:J71)</f>
        <v>122410</v>
      </c>
      <c r="K72" s="172">
        <f t="shared" si="46"/>
        <v>0.89083763918201009</v>
      </c>
      <c r="L72" s="171">
        <f>SUM(L68:L71)</f>
        <v>48964</v>
      </c>
      <c r="M72" s="610"/>
      <c r="N72" s="611"/>
      <c r="O72" s="610"/>
      <c r="P72" s="171">
        <f>SUM(P68:P71)</f>
        <v>24800</v>
      </c>
      <c r="Q72" s="171"/>
      <c r="R72" s="171">
        <f t="shared" ref="R72" si="58">SUM(R68:R71)</f>
        <v>24800</v>
      </c>
      <c r="S72" s="606">
        <f t="shared" si="7"/>
        <v>1</v>
      </c>
      <c r="T72" s="171">
        <f t="shared" ref="T72" si="59">SUM(T68:T71)</f>
        <v>9920</v>
      </c>
      <c r="U72" s="174">
        <f>SUM(U68:U71)</f>
        <v>162210</v>
      </c>
      <c r="V72" s="172"/>
      <c r="W72" s="615">
        <f>SUM(W68:W71)</f>
        <v>58884</v>
      </c>
      <c r="X72" s="607"/>
      <c r="Y72" s="392"/>
    </row>
    <row r="73" spans="1:30" s="199" customFormat="1" ht="25.5" x14ac:dyDescent="0.2">
      <c r="A73" s="779" t="s">
        <v>95</v>
      </c>
      <c r="B73" s="177" t="s">
        <v>96</v>
      </c>
      <c r="C73" s="167" t="s">
        <v>37</v>
      </c>
      <c r="D73" s="176" t="s">
        <v>89</v>
      </c>
      <c r="E73" s="169">
        <v>7</v>
      </c>
      <c r="F73" s="170">
        <v>600</v>
      </c>
      <c r="G73" s="169">
        <v>1</v>
      </c>
      <c r="H73" s="171">
        <f t="shared" ref="H73:H80" si="60">SUM(E73*F73*G73)</f>
        <v>4200</v>
      </c>
      <c r="I73" s="195">
        <v>0.4</v>
      </c>
      <c r="J73" s="626">
        <v>4200</v>
      </c>
      <c r="K73" s="172">
        <f t="shared" si="46"/>
        <v>1</v>
      </c>
      <c r="L73" s="174">
        <f t="shared" ref="L73:L80" si="61">SUM(I73*J73)</f>
        <v>1680</v>
      </c>
      <c r="M73" s="484">
        <v>7</v>
      </c>
      <c r="N73" s="443">
        <v>600</v>
      </c>
      <c r="O73" s="484">
        <v>1</v>
      </c>
      <c r="P73" s="171">
        <f>SUM(N73*M73*O73)</f>
        <v>4200</v>
      </c>
      <c r="Q73" s="197">
        <v>40</v>
      </c>
      <c r="R73" s="468">
        <v>4200</v>
      </c>
      <c r="S73" s="591">
        <f t="shared" si="7"/>
        <v>1</v>
      </c>
      <c r="T73" s="174">
        <f t="shared" si="55"/>
        <v>1680</v>
      </c>
      <c r="U73" s="174">
        <f>H73+P73</f>
        <v>8400</v>
      </c>
      <c r="V73" s="197">
        <v>40</v>
      </c>
      <c r="W73" s="198">
        <f>SUM(L73+T73)</f>
        <v>3360</v>
      </c>
      <c r="X73" s="176"/>
      <c r="Y73" s="392"/>
    </row>
    <row r="74" spans="1:30" s="199" customFormat="1" ht="25.5" x14ac:dyDescent="0.2">
      <c r="A74" s="779"/>
      <c r="B74" s="177" t="s">
        <v>97</v>
      </c>
      <c r="C74" s="167" t="s">
        <v>37</v>
      </c>
      <c r="D74" s="176" t="s">
        <v>89</v>
      </c>
      <c r="E74" s="169">
        <v>7</v>
      </c>
      <c r="F74" s="170">
        <v>4000</v>
      </c>
      <c r="G74" s="169">
        <v>1</v>
      </c>
      <c r="H74" s="171">
        <f t="shared" si="60"/>
        <v>28000</v>
      </c>
      <c r="I74" s="195">
        <v>0.4</v>
      </c>
      <c r="J74" s="626">
        <v>28000</v>
      </c>
      <c r="K74" s="172">
        <f t="shared" si="46"/>
        <v>1</v>
      </c>
      <c r="L74" s="174">
        <f t="shared" si="61"/>
        <v>11200</v>
      </c>
      <c r="M74" s="484">
        <v>7</v>
      </c>
      <c r="N74" s="443">
        <v>4000</v>
      </c>
      <c r="O74" s="484">
        <v>1</v>
      </c>
      <c r="P74" s="171">
        <f t="shared" ref="P74:P80" si="62">SUM(N74*M74*O74)</f>
        <v>28000</v>
      </c>
      <c r="Q74" s="197">
        <v>40</v>
      </c>
      <c r="R74" s="468">
        <v>28000</v>
      </c>
      <c r="S74" s="591">
        <f t="shared" si="7"/>
        <v>1</v>
      </c>
      <c r="T74" s="174">
        <f t="shared" si="55"/>
        <v>11200</v>
      </c>
      <c r="U74" s="174">
        <f t="shared" ref="U74:U80" si="63">H74+P74</f>
        <v>56000</v>
      </c>
      <c r="V74" s="197">
        <v>40</v>
      </c>
      <c r="W74" s="198">
        <f t="shared" ref="W74:W80" si="64">SUM(L74+T74)</f>
        <v>22400</v>
      </c>
      <c r="X74" s="176"/>
      <c r="Y74" s="392"/>
    </row>
    <row r="75" spans="1:30" s="199" customFormat="1" ht="25.5" x14ac:dyDescent="0.2">
      <c r="A75" s="779"/>
      <c r="B75" s="177" t="s">
        <v>98</v>
      </c>
      <c r="C75" s="167" t="s">
        <v>37</v>
      </c>
      <c r="D75" s="176" t="s">
        <v>89</v>
      </c>
      <c r="E75" s="169">
        <v>3</v>
      </c>
      <c r="F75" s="170">
        <v>4560</v>
      </c>
      <c r="G75" s="169">
        <v>1</v>
      </c>
      <c r="H75" s="171">
        <f t="shared" si="60"/>
        <v>13680</v>
      </c>
      <c r="I75" s="195">
        <v>0.43</v>
      </c>
      <c r="J75" s="626">
        <v>13680</v>
      </c>
      <c r="K75" s="172">
        <f t="shared" si="46"/>
        <v>1</v>
      </c>
      <c r="L75" s="174">
        <f t="shared" si="61"/>
        <v>5882.4</v>
      </c>
      <c r="M75" s="484">
        <v>4</v>
      </c>
      <c r="N75" s="443">
        <v>4560</v>
      </c>
      <c r="O75" s="484">
        <v>1</v>
      </c>
      <c r="P75" s="171">
        <f t="shared" si="62"/>
        <v>18240</v>
      </c>
      <c r="Q75" s="197">
        <v>43</v>
      </c>
      <c r="R75" s="468">
        <v>18240</v>
      </c>
      <c r="S75" s="591">
        <f t="shared" si="7"/>
        <v>1</v>
      </c>
      <c r="T75" s="174">
        <f t="shared" si="55"/>
        <v>7843.2</v>
      </c>
      <c r="U75" s="174">
        <f t="shared" si="63"/>
        <v>31920</v>
      </c>
      <c r="V75" s="197">
        <v>50</v>
      </c>
      <c r="W75" s="198">
        <f t="shared" si="64"/>
        <v>13725.599999999999</v>
      </c>
      <c r="X75" s="176"/>
      <c r="Y75" s="392"/>
    </row>
    <row r="76" spans="1:30" s="199" customFormat="1" ht="51" x14ac:dyDescent="0.2">
      <c r="A76" s="779"/>
      <c r="B76" s="177" t="s">
        <v>99</v>
      </c>
      <c r="C76" s="167" t="s">
        <v>37</v>
      </c>
      <c r="D76" s="176" t="s">
        <v>89</v>
      </c>
      <c r="E76" s="169">
        <v>7</v>
      </c>
      <c r="F76" s="170">
        <v>5000</v>
      </c>
      <c r="G76" s="169">
        <v>1</v>
      </c>
      <c r="H76" s="171">
        <f t="shared" si="60"/>
        <v>35000</v>
      </c>
      <c r="I76" s="195">
        <v>0.4</v>
      </c>
      <c r="J76" s="626">
        <v>35000</v>
      </c>
      <c r="K76" s="172">
        <f t="shared" si="46"/>
        <v>1</v>
      </c>
      <c r="L76" s="174">
        <f t="shared" si="61"/>
        <v>14000</v>
      </c>
      <c r="M76" s="484">
        <v>0</v>
      </c>
      <c r="N76" s="443">
        <v>0</v>
      </c>
      <c r="O76" s="484">
        <v>1</v>
      </c>
      <c r="P76" s="171">
        <f t="shared" si="62"/>
        <v>0</v>
      </c>
      <c r="Q76" s="197">
        <v>40</v>
      </c>
      <c r="R76" s="468"/>
      <c r="S76" s="591" t="e">
        <f t="shared" si="7"/>
        <v>#DIV/0!</v>
      </c>
      <c r="T76" s="174">
        <f t="shared" si="55"/>
        <v>0</v>
      </c>
      <c r="U76" s="174">
        <f t="shared" si="63"/>
        <v>35000</v>
      </c>
      <c r="V76" s="197">
        <v>40</v>
      </c>
      <c r="W76" s="198">
        <f t="shared" si="64"/>
        <v>14000</v>
      </c>
      <c r="X76" s="176"/>
      <c r="Y76" s="392"/>
    </row>
    <row r="77" spans="1:30" s="199" customFormat="1" ht="102" x14ac:dyDescent="0.2">
      <c r="A77" s="779"/>
      <c r="B77" s="177" t="s">
        <v>143</v>
      </c>
      <c r="C77" s="167" t="s">
        <v>37</v>
      </c>
      <c r="D77" s="176" t="s">
        <v>89</v>
      </c>
      <c r="E77" s="169">
        <v>3</v>
      </c>
      <c r="F77" s="170">
        <v>27000</v>
      </c>
      <c r="G77" s="169">
        <v>1</v>
      </c>
      <c r="H77" s="171">
        <f t="shared" si="60"/>
        <v>81000</v>
      </c>
      <c r="I77" s="195">
        <v>0.4</v>
      </c>
      <c r="J77" s="626">
        <v>65500</v>
      </c>
      <c r="K77" s="172">
        <f t="shared" si="46"/>
        <v>0.80864197530864201</v>
      </c>
      <c r="L77" s="174">
        <f t="shared" si="61"/>
        <v>26200</v>
      </c>
      <c r="M77" s="484">
        <v>0</v>
      </c>
      <c r="N77" s="443">
        <v>0</v>
      </c>
      <c r="O77" s="484">
        <v>0</v>
      </c>
      <c r="P77" s="171">
        <f t="shared" si="62"/>
        <v>0</v>
      </c>
      <c r="Q77" s="197">
        <v>40</v>
      </c>
      <c r="R77" s="468"/>
      <c r="S77" s="591" t="e">
        <f t="shared" si="7"/>
        <v>#DIV/0!</v>
      </c>
      <c r="T77" s="174">
        <f t="shared" si="55"/>
        <v>0</v>
      </c>
      <c r="U77" s="174">
        <f t="shared" si="63"/>
        <v>81000</v>
      </c>
      <c r="V77" s="197">
        <v>40</v>
      </c>
      <c r="W77" s="198">
        <f t="shared" si="64"/>
        <v>26200</v>
      </c>
      <c r="X77" s="176" t="s">
        <v>243</v>
      </c>
      <c r="Y77" s="392"/>
    </row>
    <row r="78" spans="1:30" s="199" customFormat="1" ht="63.75" x14ac:dyDescent="0.2">
      <c r="A78" s="779"/>
      <c r="B78" s="177" t="s">
        <v>100</v>
      </c>
      <c r="C78" s="167" t="s">
        <v>37</v>
      </c>
      <c r="D78" s="176" t="s">
        <v>89</v>
      </c>
      <c r="E78" s="169">
        <v>0</v>
      </c>
      <c r="F78" s="170">
        <v>0</v>
      </c>
      <c r="G78" s="169">
        <v>1</v>
      </c>
      <c r="H78" s="171">
        <f t="shared" si="60"/>
        <v>0</v>
      </c>
      <c r="I78" s="195">
        <v>0.4</v>
      </c>
      <c r="J78" s="626">
        <v>0</v>
      </c>
      <c r="K78" s="175" t="e">
        <f t="shared" si="46"/>
        <v>#DIV/0!</v>
      </c>
      <c r="L78" s="174">
        <f t="shared" si="61"/>
        <v>0</v>
      </c>
      <c r="M78" s="484">
        <v>7</v>
      </c>
      <c r="N78" s="443">
        <v>6400</v>
      </c>
      <c r="O78" s="484">
        <v>1</v>
      </c>
      <c r="P78" s="171">
        <f t="shared" si="62"/>
        <v>44800</v>
      </c>
      <c r="Q78" s="197">
        <v>40</v>
      </c>
      <c r="R78" s="468">
        <v>44800</v>
      </c>
      <c r="S78" s="591">
        <f t="shared" si="7"/>
        <v>1</v>
      </c>
      <c r="T78" s="174">
        <f t="shared" si="55"/>
        <v>17920</v>
      </c>
      <c r="U78" s="174">
        <f t="shared" si="63"/>
        <v>44800</v>
      </c>
      <c r="V78" s="197">
        <v>40</v>
      </c>
      <c r="W78" s="198">
        <f t="shared" si="64"/>
        <v>17920</v>
      </c>
      <c r="X78" s="176"/>
      <c r="Y78" s="392"/>
    </row>
    <row r="79" spans="1:30" s="199" customFormat="1" ht="63.75" x14ac:dyDescent="0.2">
      <c r="A79" s="779"/>
      <c r="B79" s="177" t="s">
        <v>101</v>
      </c>
      <c r="C79" s="167" t="s">
        <v>37</v>
      </c>
      <c r="D79" s="176" t="s">
        <v>89</v>
      </c>
      <c r="E79" s="169">
        <v>7</v>
      </c>
      <c r="F79" s="170">
        <v>1000</v>
      </c>
      <c r="G79" s="169">
        <v>1</v>
      </c>
      <c r="H79" s="171">
        <f t="shared" si="60"/>
        <v>7000</v>
      </c>
      <c r="I79" s="195">
        <v>0.4</v>
      </c>
      <c r="J79" s="626">
        <v>7000</v>
      </c>
      <c r="K79" s="172">
        <f t="shared" si="46"/>
        <v>1</v>
      </c>
      <c r="L79" s="174">
        <f t="shared" si="61"/>
        <v>2800</v>
      </c>
      <c r="M79" s="484">
        <v>7</v>
      </c>
      <c r="N79" s="443">
        <v>1400</v>
      </c>
      <c r="O79" s="484">
        <v>1</v>
      </c>
      <c r="P79" s="171">
        <f t="shared" si="62"/>
        <v>9800</v>
      </c>
      <c r="Q79" s="197">
        <v>40</v>
      </c>
      <c r="R79" s="468">
        <v>9800</v>
      </c>
      <c r="S79" s="591">
        <f t="shared" si="7"/>
        <v>1</v>
      </c>
      <c r="T79" s="174">
        <f t="shared" si="55"/>
        <v>3920</v>
      </c>
      <c r="U79" s="174">
        <f t="shared" si="63"/>
        <v>16800</v>
      </c>
      <c r="V79" s="197">
        <v>40</v>
      </c>
      <c r="W79" s="198">
        <f t="shared" si="64"/>
        <v>6720</v>
      </c>
      <c r="X79" s="176"/>
      <c r="Y79" s="392"/>
      <c r="AA79" s="372"/>
      <c r="AB79" s="390"/>
      <c r="AC79" s="414"/>
      <c r="AD79" s="304"/>
    </row>
    <row r="80" spans="1:30" s="199" customFormat="1" ht="38.25" x14ac:dyDescent="0.2">
      <c r="A80" s="779"/>
      <c r="B80" s="177" t="s">
        <v>102</v>
      </c>
      <c r="C80" s="167" t="s">
        <v>37</v>
      </c>
      <c r="D80" s="176" t="s">
        <v>89</v>
      </c>
      <c r="E80" s="169">
        <v>1</v>
      </c>
      <c r="F80" s="170">
        <v>0</v>
      </c>
      <c r="G80" s="169">
        <v>1</v>
      </c>
      <c r="H80" s="171">
        <f t="shared" si="60"/>
        <v>0</v>
      </c>
      <c r="I80" s="195">
        <v>0.3</v>
      </c>
      <c r="J80" s="626">
        <v>0</v>
      </c>
      <c r="K80" s="175" t="e">
        <f t="shared" si="46"/>
        <v>#DIV/0!</v>
      </c>
      <c r="L80" s="174">
        <f t="shared" si="61"/>
        <v>0</v>
      </c>
      <c r="M80" s="484">
        <v>1</v>
      </c>
      <c r="N80" s="443">
        <v>45000</v>
      </c>
      <c r="O80" s="484">
        <v>1</v>
      </c>
      <c r="P80" s="171">
        <f t="shared" si="62"/>
        <v>45000</v>
      </c>
      <c r="Q80" s="197">
        <v>30</v>
      </c>
      <c r="R80" s="468">
        <v>0</v>
      </c>
      <c r="S80" s="591">
        <f t="shared" si="7"/>
        <v>0</v>
      </c>
      <c r="T80" s="174">
        <f t="shared" si="55"/>
        <v>13500</v>
      </c>
      <c r="U80" s="174">
        <f t="shared" si="63"/>
        <v>45000</v>
      </c>
      <c r="V80" s="197">
        <v>30</v>
      </c>
      <c r="W80" s="198">
        <f t="shared" si="64"/>
        <v>13500</v>
      </c>
      <c r="X80" s="176"/>
      <c r="Y80" s="392"/>
      <c r="AA80" s="372"/>
      <c r="AB80" s="390"/>
      <c r="AC80" s="414"/>
      <c r="AD80" s="304"/>
    </row>
    <row r="81" spans="1:30" s="199" customFormat="1" ht="13.5" x14ac:dyDescent="0.2">
      <c r="A81" s="779"/>
      <c r="B81" s="768" t="s">
        <v>0</v>
      </c>
      <c r="C81" s="768"/>
      <c r="D81" s="768" t="s">
        <v>0</v>
      </c>
      <c r="E81" s="768"/>
      <c r="F81" s="768"/>
      <c r="G81" s="768"/>
      <c r="H81" s="171">
        <f>SUM(H73:H80)</f>
        <v>168880</v>
      </c>
      <c r="I81" s="609">
        <f>L81/H81</f>
        <v>0.36571766935101846</v>
      </c>
      <c r="J81" s="171">
        <f>SUM(J73:J80)</f>
        <v>153380</v>
      </c>
      <c r="K81" s="172">
        <f t="shared" si="46"/>
        <v>0.90821885362387489</v>
      </c>
      <c r="L81" s="171">
        <f>SUM(L73:L80)</f>
        <v>61762.400000000001</v>
      </c>
      <c r="M81" s="610"/>
      <c r="N81" s="611"/>
      <c r="O81" s="610"/>
      <c r="P81" s="171">
        <f>SUM(P73:P80)</f>
        <v>150040</v>
      </c>
      <c r="Q81" s="171"/>
      <c r="R81" s="171">
        <f t="shared" ref="R81" si="65">SUM(R73:R80)</f>
        <v>105040</v>
      </c>
      <c r="S81" s="606">
        <f t="shared" si="7"/>
        <v>0.70007997867235405</v>
      </c>
      <c r="T81" s="171">
        <f>SUM(T73:T80)</f>
        <v>56063.199999999997</v>
      </c>
      <c r="U81" s="174">
        <f>SUM(U73:U80)</f>
        <v>318920</v>
      </c>
      <c r="V81" s="172"/>
      <c r="W81" s="615">
        <f>SUM(W73:W80)</f>
        <v>117825.60000000001</v>
      </c>
      <c r="X81" s="607"/>
      <c r="Y81" s="392"/>
      <c r="AA81" s="372"/>
      <c r="AB81" s="390"/>
      <c r="AC81" s="414"/>
      <c r="AD81" s="304"/>
    </row>
    <row r="82" spans="1:30" s="205" customFormat="1" ht="13.5" x14ac:dyDescent="0.2">
      <c r="A82" s="772" t="s">
        <v>39</v>
      </c>
      <c r="B82" s="772"/>
      <c r="C82" s="772"/>
      <c r="D82" s="772"/>
      <c r="E82" s="772"/>
      <c r="F82" s="772"/>
      <c r="G82" s="772"/>
      <c r="H82" s="615">
        <f>SUM(H81,H72,H67)</f>
        <v>555052</v>
      </c>
      <c r="I82" s="627">
        <f>L82/H82</f>
        <v>0.38582540014268935</v>
      </c>
      <c r="J82" s="615">
        <f>SUM(J81,J72,J67)</f>
        <v>524552</v>
      </c>
      <c r="K82" s="172">
        <f t="shared" si="46"/>
        <v>0.94505019349538422</v>
      </c>
      <c r="L82" s="615">
        <f>SUM(L67+L72+L81)</f>
        <v>214153.16</v>
      </c>
      <c r="M82" s="615"/>
      <c r="N82" s="615"/>
      <c r="O82" s="615"/>
      <c r="P82" s="615">
        <f>SUM(P81,P72,P67)</f>
        <v>317150</v>
      </c>
      <c r="Q82" s="615"/>
      <c r="R82" s="615">
        <f t="shared" ref="R82" si="66">SUM(R81,R72,R67)</f>
        <v>272150</v>
      </c>
      <c r="S82" s="616">
        <f t="shared" ref="S82" si="67">SUM(R82/P82)</f>
        <v>0.85811130379946399</v>
      </c>
      <c r="T82" s="615">
        <f>SUM(T81,T72,T67)</f>
        <v>121560.5</v>
      </c>
      <c r="U82" s="615">
        <f>SUM(U81,U72,U67)</f>
        <v>872202</v>
      </c>
      <c r="V82" s="617"/>
      <c r="W82" s="615">
        <f>SUM(W81,W72,W67)</f>
        <v>335713.66000000003</v>
      </c>
      <c r="X82" s="618"/>
      <c r="Y82" s="343"/>
      <c r="AA82" s="368"/>
      <c r="AB82" s="386"/>
      <c r="AC82" s="410"/>
      <c r="AD82" s="41"/>
    </row>
    <row r="83" spans="1:30" s="199" customFormat="1" x14ac:dyDescent="0.2">
      <c r="A83" s="766" t="s">
        <v>103</v>
      </c>
      <c r="B83" s="766"/>
      <c r="C83" s="766"/>
      <c r="D83" s="766"/>
      <c r="E83" s="766"/>
      <c r="F83" s="766"/>
      <c r="G83" s="766"/>
      <c r="H83" s="766"/>
      <c r="I83" s="766"/>
      <c r="J83" s="766"/>
      <c r="K83" s="766"/>
      <c r="L83" s="766"/>
      <c r="M83" s="766"/>
      <c r="N83" s="766"/>
      <c r="O83" s="766"/>
      <c r="P83" s="766"/>
      <c r="Q83" s="766"/>
      <c r="R83" s="766"/>
      <c r="S83" s="766"/>
      <c r="T83" s="766"/>
      <c r="U83" s="766"/>
      <c r="V83" s="766"/>
      <c r="W83" s="766"/>
      <c r="X83" s="766"/>
      <c r="Y83" s="392"/>
      <c r="AA83" s="372"/>
      <c r="AB83" s="390"/>
      <c r="AC83" s="414"/>
      <c r="AD83" s="304"/>
    </row>
    <row r="84" spans="1:30" s="630" customFormat="1" ht="66" customHeight="1" x14ac:dyDescent="0.2">
      <c r="A84" s="773" t="s">
        <v>169</v>
      </c>
      <c r="B84" s="177" t="s">
        <v>177</v>
      </c>
      <c r="C84" s="167" t="s">
        <v>37</v>
      </c>
      <c r="D84" s="168" t="s">
        <v>104</v>
      </c>
      <c r="E84" s="176">
        <v>1</v>
      </c>
      <c r="F84" s="176">
        <v>4000</v>
      </c>
      <c r="G84" s="176">
        <v>5</v>
      </c>
      <c r="H84" s="206">
        <f>SUM(E84*F84*G84)</f>
        <v>20000</v>
      </c>
      <c r="I84" s="207">
        <v>1</v>
      </c>
      <c r="J84" s="206">
        <v>20000</v>
      </c>
      <c r="K84" s="195">
        <f t="shared" ref="K84:K100" si="68">SUM(J84/H84)</f>
        <v>1</v>
      </c>
      <c r="L84" s="209">
        <f>SUM(I84*J84)</f>
        <v>20000</v>
      </c>
      <c r="M84" s="628"/>
      <c r="N84" s="628"/>
      <c r="O84" s="628"/>
      <c r="P84" s="210">
        <f>SUM(M84*N84*O84)</f>
        <v>0</v>
      </c>
      <c r="Q84" s="207"/>
      <c r="R84" s="465"/>
      <c r="S84" s="591" t="e">
        <f t="shared" ref="S84:S101" si="69">SUM(R84/P84)</f>
        <v>#DIV/0!</v>
      </c>
      <c r="T84" s="209"/>
      <c r="U84" s="211">
        <f>H84+P84</f>
        <v>20000</v>
      </c>
      <c r="V84" s="207">
        <v>1</v>
      </c>
      <c r="W84" s="212">
        <f>V84*U84</f>
        <v>20000</v>
      </c>
      <c r="X84" s="176"/>
      <c r="Y84" s="629"/>
      <c r="AA84" s="631"/>
      <c r="AB84" s="632"/>
      <c r="AC84" s="633"/>
      <c r="AD84" s="634"/>
    </row>
    <row r="85" spans="1:30" s="630" customFormat="1" ht="51" x14ac:dyDescent="0.2">
      <c r="A85" s="774"/>
      <c r="B85" s="177" t="s">
        <v>263</v>
      </c>
      <c r="C85" s="167" t="s">
        <v>37</v>
      </c>
      <c r="D85" s="168" t="s">
        <v>104</v>
      </c>
      <c r="E85" s="176">
        <v>1</v>
      </c>
      <c r="F85" s="176">
        <v>6000</v>
      </c>
      <c r="G85" s="176">
        <v>5</v>
      </c>
      <c r="H85" s="206">
        <f>SUM(E85*F85*G85)</f>
        <v>30000</v>
      </c>
      <c r="I85" s="207">
        <v>1</v>
      </c>
      <c r="J85" s="206">
        <v>30000</v>
      </c>
      <c r="K85" s="195">
        <f t="shared" si="68"/>
        <v>1</v>
      </c>
      <c r="L85" s="209">
        <f>SUM(I85*J85)</f>
        <v>30000</v>
      </c>
      <c r="M85" s="628"/>
      <c r="N85" s="628"/>
      <c r="O85" s="628"/>
      <c r="P85" s="210">
        <f t="shared" ref="P85:P99" si="70">SUM(M85*N85*O85)</f>
        <v>0</v>
      </c>
      <c r="Q85" s="207"/>
      <c r="R85" s="465"/>
      <c r="S85" s="591" t="e">
        <f t="shared" si="69"/>
        <v>#DIV/0!</v>
      </c>
      <c r="T85" s="209"/>
      <c r="U85" s="211">
        <f t="shared" ref="U85:U99" si="71">H85+P85</f>
        <v>30000</v>
      </c>
      <c r="V85" s="207">
        <v>1</v>
      </c>
      <c r="W85" s="212">
        <f t="shared" ref="W85:W97" si="72">V85*U85</f>
        <v>30000</v>
      </c>
      <c r="X85" s="176"/>
      <c r="Y85" s="629"/>
      <c r="AA85" s="631"/>
      <c r="AB85" s="632"/>
      <c r="AC85" s="633"/>
      <c r="AD85" s="634"/>
    </row>
    <row r="86" spans="1:30" s="630" customFormat="1" ht="38.25" x14ac:dyDescent="0.2">
      <c r="A86" s="774"/>
      <c r="B86" s="177" t="s">
        <v>174</v>
      </c>
      <c r="C86" s="167" t="s">
        <v>37</v>
      </c>
      <c r="D86" s="168" t="s">
        <v>104</v>
      </c>
      <c r="E86" s="176">
        <v>1</v>
      </c>
      <c r="F86" s="176">
        <v>3</v>
      </c>
      <c r="G86" s="176">
        <v>5000</v>
      </c>
      <c r="H86" s="206">
        <f>SUM(E86*F86*G86)</f>
        <v>15000</v>
      </c>
      <c r="I86" s="207">
        <v>1</v>
      </c>
      <c r="J86" s="206">
        <v>15000</v>
      </c>
      <c r="K86" s="195">
        <f t="shared" si="68"/>
        <v>1</v>
      </c>
      <c r="L86" s="209">
        <f>SUM(I86*J86)</f>
        <v>15000</v>
      </c>
      <c r="M86" s="628"/>
      <c r="N86" s="628"/>
      <c r="O86" s="628"/>
      <c r="P86" s="210">
        <f t="shared" si="70"/>
        <v>0</v>
      </c>
      <c r="Q86" s="207"/>
      <c r="R86" s="465"/>
      <c r="S86" s="591" t="e">
        <f t="shared" si="69"/>
        <v>#DIV/0!</v>
      </c>
      <c r="T86" s="209"/>
      <c r="U86" s="211">
        <f t="shared" si="71"/>
        <v>15000</v>
      </c>
      <c r="V86" s="207">
        <v>1</v>
      </c>
      <c r="W86" s="212">
        <v>15000</v>
      </c>
      <c r="X86" s="176"/>
      <c r="Y86" s="629"/>
      <c r="AA86" s="631"/>
      <c r="AB86" s="632"/>
      <c r="AC86" s="633"/>
      <c r="AD86" s="634"/>
    </row>
    <row r="87" spans="1:30" s="630" customFormat="1" ht="51" x14ac:dyDescent="0.2">
      <c r="A87" s="774"/>
      <c r="B87" s="177" t="s">
        <v>178</v>
      </c>
      <c r="C87" s="167" t="s">
        <v>37</v>
      </c>
      <c r="D87" s="168" t="s">
        <v>104</v>
      </c>
      <c r="E87" s="176">
        <v>1</v>
      </c>
      <c r="F87" s="176">
        <v>2</v>
      </c>
      <c r="G87" s="214">
        <v>5000</v>
      </c>
      <c r="H87" s="206">
        <f>SUM(E87*F87*G87)</f>
        <v>10000</v>
      </c>
      <c r="I87" s="207">
        <v>1</v>
      </c>
      <c r="J87" s="206">
        <v>10000</v>
      </c>
      <c r="K87" s="195">
        <f t="shared" si="68"/>
        <v>1</v>
      </c>
      <c r="L87" s="209">
        <f>SUM(I87*J87)</f>
        <v>10000</v>
      </c>
      <c r="M87" s="628"/>
      <c r="N87" s="628"/>
      <c r="O87" s="628"/>
      <c r="P87" s="210">
        <f t="shared" si="70"/>
        <v>0</v>
      </c>
      <c r="Q87" s="207"/>
      <c r="R87" s="465"/>
      <c r="S87" s="591" t="e">
        <f t="shared" si="69"/>
        <v>#DIV/0!</v>
      </c>
      <c r="T87" s="209"/>
      <c r="U87" s="211">
        <f t="shared" si="71"/>
        <v>10000</v>
      </c>
      <c r="V87" s="207">
        <v>1</v>
      </c>
      <c r="W87" s="212">
        <v>10000</v>
      </c>
      <c r="X87" s="176"/>
      <c r="Y87" s="629"/>
      <c r="AA87" s="631"/>
      <c r="AB87" s="632"/>
      <c r="AC87" s="633"/>
      <c r="AD87" s="634"/>
    </row>
    <row r="88" spans="1:30" s="630" customFormat="1" ht="13.5" x14ac:dyDescent="0.2">
      <c r="A88" s="775"/>
      <c r="B88" s="776" t="s">
        <v>0</v>
      </c>
      <c r="C88" s="777"/>
      <c r="D88" s="777"/>
      <c r="E88" s="777"/>
      <c r="F88" s="777"/>
      <c r="G88" s="778"/>
      <c r="H88" s="206">
        <f>SUM(H84:H87)</f>
        <v>75000</v>
      </c>
      <c r="I88" s="635">
        <f>L88/H88</f>
        <v>1</v>
      </c>
      <c r="J88" s="206">
        <f>SUM(J84:J87)</f>
        <v>75000</v>
      </c>
      <c r="K88" s="195">
        <f t="shared" si="68"/>
        <v>1</v>
      </c>
      <c r="L88" s="210">
        <f>SUM(L84:L87)</f>
        <v>75000</v>
      </c>
      <c r="M88" s="636"/>
      <c r="N88" s="636"/>
      <c r="O88" s="636"/>
      <c r="P88" s="210">
        <f>SUM(P84:P87)</f>
        <v>0</v>
      </c>
      <c r="Q88" s="210"/>
      <c r="R88" s="210">
        <f t="shared" ref="R88" si="73">SUM(R84:R87)</f>
        <v>0</v>
      </c>
      <c r="S88" s="591" t="e">
        <f t="shared" si="69"/>
        <v>#DIV/0!</v>
      </c>
      <c r="T88" s="210">
        <f t="shared" ref="T88:W88" si="74">SUM(T84:T87)</f>
        <v>0</v>
      </c>
      <c r="U88" s="206">
        <f t="shared" si="74"/>
        <v>75000</v>
      </c>
      <c r="V88" s="210"/>
      <c r="W88" s="210">
        <f t="shared" si="74"/>
        <v>75000</v>
      </c>
      <c r="X88" s="607"/>
      <c r="Y88" s="629"/>
      <c r="AA88" s="631"/>
      <c r="AB88" s="632"/>
      <c r="AC88" s="633"/>
      <c r="AD88" s="634"/>
    </row>
    <row r="89" spans="1:30" s="630" customFormat="1" ht="53.25" customHeight="1" x14ac:dyDescent="0.2">
      <c r="A89" s="773" t="s">
        <v>106</v>
      </c>
      <c r="B89" s="167" t="s">
        <v>196</v>
      </c>
      <c r="C89" s="167" t="s">
        <v>37</v>
      </c>
      <c r="D89" s="168" t="s">
        <v>104</v>
      </c>
      <c r="E89" s="176">
        <v>1</v>
      </c>
      <c r="F89" s="176">
        <v>2000</v>
      </c>
      <c r="G89" s="176">
        <v>10</v>
      </c>
      <c r="H89" s="206">
        <f>SUM(E89*F89*G89)</f>
        <v>20000</v>
      </c>
      <c r="I89" s="207">
        <v>1</v>
      </c>
      <c r="J89" s="206">
        <v>20000</v>
      </c>
      <c r="K89" s="195">
        <f t="shared" si="68"/>
        <v>1</v>
      </c>
      <c r="L89" s="209">
        <f t="shared" ref="L89:L99" si="75">SUM(I89*J89)</f>
        <v>20000</v>
      </c>
      <c r="M89" s="628"/>
      <c r="N89" s="628"/>
      <c r="O89" s="628"/>
      <c r="P89" s="210">
        <f t="shared" si="70"/>
        <v>0</v>
      </c>
      <c r="Q89" s="207"/>
      <c r="R89" s="468"/>
      <c r="S89" s="591" t="e">
        <f t="shared" si="69"/>
        <v>#DIV/0!</v>
      </c>
      <c r="T89" s="209"/>
      <c r="U89" s="211">
        <f t="shared" si="71"/>
        <v>20000</v>
      </c>
      <c r="V89" s="207">
        <v>1</v>
      </c>
      <c r="W89" s="212">
        <f t="shared" si="72"/>
        <v>20000</v>
      </c>
      <c r="X89" s="176"/>
      <c r="Y89" s="629"/>
      <c r="AA89" s="631"/>
      <c r="AB89" s="632"/>
      <c r="AC89" s="633"/>
      <c r="AD89" s="634"/>
    </row>
    <row r="90" spans="1:30" s="630" customFormat="1" ht="51" x14ac:dyDescent="0.2">
      <c r="A90" s="774"/>
      <c r="B90" s="167" t="s">
        <v>170</v>
      </c>
      <c r="C90" s="167" t="s">
        <v>37</v>
      </c>
      <c r="D90" s="168" t="s">
        <v>104</v>
      </c>
      <c r="E90" s="176"/>
      <c r="F90" s="176"/>
      <c r="G90" s="176"/>
      <c r="H90" s="206">
        <f>SUM(E90*F90*G90)</f>
        <v>0</v>
      </c>
      <c r="I90" s="207">
        <v>1</v>
      </c>
      <c r="J90" s="206">
        <v>0</v>
      </c>
      <c r="K90" s="195" t="e">
        <f t="shared" si="68"/>
        <v>#DIV/0!</v>
      </c>
      <c r="L90" s="209">
        <f t="shared" si="75"/>
        <v>0</v>
      </c>
      <c r="M90" s="445">
        <v>1</v>
      </c>
      <c r="N90" s="445">
        <v>130</v>
      </c>
      <c r="O90" s="445">
        <v>150</v>
      </c>
      <c r="P90" s="210">
        <f t="shared" si="70"/>
        <v>19500</v>
      </c>
      <c r="Q90" s="207">
        <v>1</v>
      </c>
      <c r="R90" s="468">
        <v>19500</v>
      </c>
      <c r="S90" s="591">
        <f t="shared" si="69"/>
        <v>1</v>
      </c>
      <c r="T90" s="209">
        <f>SUM(Q90*P90)</f>
        <v>19500</v>
      </c>
      <c r="U90" s="211">
        <f t="shared" si="71"/>
        <v>19500</v>
      </c>
      <c r="V90" s="207">
        <v>1</v>
      </c>
      <c r="W90" s="212">
        <f t="shared" si="72"/>
        <v>19500</v>
      </c>
      <c r="X90" s="167"/>
      <c r="Y90" s="629"/>
      <c r="AA90" s="631"/>
      <c r="AB90" s="632"/>
      <c r="AC90" s="633"/>
      <c r="AD90" s="634"/>
    </row>
    <row r="91" spans="1:30" s="630" customFormat="1" ht="38.25" x14ac:dyDescent="0.2">
      <c r="A91" s="774"/>
      <c r="B91" s="167" t="s">
        <v>171</v>
      </c>
      <c r="C91" s="167" t="s">
        <v>14</v>
      </c>
      <c r="D91" s="168" t="s">
        <v>104</v>
      </c>
      <c r="E91" s="223">
        <v>1</v>
      </c>
      <c r="F91" s="224">
        <v>3400</v>
      </c>
      <c r="G91" s="223">
        <v>12</v>
      </c>
      <c r="H91" s="206">
        <f>SUM(E91*F91*G91)</f>
        <v>40800</v>
      </c>
      <c r="I91" s="207">
        <v>1</v>
      </c>
      <c r="J91" s="206">
        <v>40800</v>
      </c>
      <c r="K91" s="195">
        <f t="shared" si="68"/>
        <v>1</v>
      </c>
      <c r="L91" s="209">
        <f t="shared" si="75"/>
        <v>40800</v>
      </c>
      <c r="M91" s="637">
        <v>1</v>
      </c>
      <c r="N91" s="638">
        <v>3400</v>
      </c>
      <c r="O91" s="637">
        <v>0</v>
      </c>
      <c r="P91" s="210">
        <f t="shared" si="70"/>
        <v>0</v>
      </c>
      <c r="Q91" s="207">
        <v>1</v>
      </c>
      <c r="R91" s="468">
        <v>0</v>
      </c>
      <c r="S91" s="591" t="e">
        <f t="shared" si="69"/>
        <v>#DIV/0!</v>
      </c>
      <c r="T91" s="209">
        <f t="shared" ref="T91:T99" si="76">SUM(Q91*P91)</f>
        <v>0</v>
      </c>
      <c r="U91" s="211">
        <f t="shared" si="71"/>
        <v>40800</v>
      </c>
      <c r="V91" s="207">
        <v>1</v>
      </c>
      <c r="W91" s="212">
        <f t="shared" si="72"/>
        <v>40800</v>
      </c>
      <c r="X91" s="167"/>
      <c r="Y91" s="629"/>
      <c r="AA91" s="631"/>
      <c r="AB91" s="632"/>
      <c r="AC91" s="633"/>
      <c r="AD91" s="634"/>
    </row>
    <row r="92" spans="1:30" s="630" customFormat="1" ht="51" x14ac:dyDescent="0.2">
      <c r="A92" s="774"/>
      <c r="B92" s="177" t="s">
        <v>105</v>
      </c>
      <c r="C92" s="167" t="s">
        <v>37</v>
      </c>
      <c r="D92" s="168" t="s">
        <v>104</v>
      </c>
      <c r="E92" s="176"/>
      <c r="F92" s="225"/>
      <c r="G92" s="176"/>
      <c r="H92" s="206">
        <f t="shared" ref="H92:H99" si="77">SUM(E92*F92*G92)</f>
        <v>0</v>
      </c>
      <c r="I92" s="207">
        <v>1</v>
      </c>
      <c r="J92" s="206">
        <v>0</v>
      </c>
      <c r="K92" s="195" t="e">
        <f t="shared" si="68"/>
        <v>#DIV/0!</v>
      </c>
      <c r="L92" s="209">
        <f t="shared" si="75"/>
        <v>0</v>
      </c>
      <c r="M92" s="445">
        <v>1</v>
      </c>
      <c r="N92" s="639">
        <v>12000</v>
      </c>
      <c r="O92" s="445">
        <v>1</v>
      </c>
      <c r="P92" s="210">
        <f t="shared" si="70"/>
        <v>12000</v>
      </c>
      <c r="Q92" s="207">
        <v>1</v>
      </c>
      <c r="R92" s="468">
        <v>0</v>
      </c>
      <c r="S92" s="591">
        <f t="shared" si="69"/>
        <v>0</v>
      </c>
      <c r="T92" s="209">
        <f t="shared" si="76"/>
        <v>12000</v>
      </c>
      <c r="U92" s="211">
        <f t="shared" si="71"/>
        <v>12000</v>
      </c>
      <c r="V92" s="207">
        <v>1</v>
      </c>
      <c r="W92" s="212">
        <f t="shared" si="72"/>
        <v>12000</v>
      </c>
      <c r="X92" s="176"/>
      <c r="Y92" s="629"/>
      <c r="AA92" s="631"/>
      <c r="AB92" s="632"/>
      <c r="AC92" s="633"/>
      <c r="AD92" s="634"/>
    </row>
    <row r="93" spans="1:30" s="630" customFormat="1" ht="63.75" x14ac:dyDescent="0.2">
      <c r="A93" s="774"/>
      <c r="B93" s="177" t="s">
        <v>195</v>
      </c>
      <c r="C93" s="167" t="s">
        <v>37</v>
      </c>
      <c r="D93" s="176" t="s">
        <v>104</v>
      </c>
      <c r="E93" s="176">
        <v>1</v>
      </c>
      <c r="F93" s="176">
        <v>2000</v>
      </c>
      <c r="G93" s="176">
        <v>10</v>
      </c>
      <c r="H93" s="206">
        <f>SUM(E93*F93*G93)</f>
        <v>20000</v>
      </c>
      <c r="I93" s="207">
        <v>1</v>
      </c>
      <c r="J93" s="206">
        <v>20000</v>
      </c>
      <c r="K93" s="195">
        <f t="shared" si="68"/>
        <v>1</v>
      </c>
      <c r="L93" s="209">
        <f t="shared" si="75"/>
        <v>20000</v>
      </c>
      <c r="M93" s="445"/>
      <c r="N93" s="445"/>
      <c r="O93" s="445"/>
      <c r="P93" s="210">
        <f t="shared" si="70"/>
        <v>0</v>
      </c>
      <c r="Q93" s="207">
        <v>1</v>
      </c>
      <c r="R93" s="468">
        <v>0</v>
      </c>
      <c r="S93" s="591" t="e">
        <f t="shared" si="69"/>
        <v>#DIV/0!</v>
      </c>
      <c r="T93" s="209">
        <f t="shared" si="76"/>
        <v>0</v>
      </c>
      <c r="U93" s="211">
        <f t="shared" si="71"/>
        <v>20000</v>
      </c>
      <c r="V93" s="207">
        <v>1</v>
      </c>
      <c r="W93" s="212">
        <f t="shared" si="72"/>
        <v>20000</v>
      </c>
      <c r="X93" s="176"/>
      <c r="Y93" s="629"/>
      <c r="AA93" s="631"/>
      <c r="AB93" s="632"/>
      <c r="AC93" s="633"/>
      <c r="AD93" s="634"/>
    </row>
    <row r="94" spans="1:30" s="630" customFormat="1" ht="51" x14ac:dyDescent="0.2">
      <c r="A94" s="774"/>
      <c r="B94" s="640" t="s">
        <v>175</v>
      </c>
      <c r="C94" s="167" t="s">
        <v>37</v>
      </c>
      <c r="D94" s="176" t="s">
        <v>104</v>
      </c>
      <c r="E94" s="176"/>
      <c r="F94" s="176"/>
      <c r="G94" s="176"/>
      <c r="H94" s="206">
        <f t="shared" si="77"/>
        <v>0</v>
      </c>
      <c r="I94" s="207">
        <v>1</v>
      </c>
      <c r="J94" s="206">
        <v>0</v>
      </c>
      <c r="K94" s="195" t="e">
        <f t="shared" si="68"/>
        <v>#DIV/0!</v>
      </c>
      <c r="L94" s="209">
        <f t="shared" si="75"/>
        <v>0</v>
      </c>
      <c r="M94" s="445">
        <v>1</v>
      </c>
      <c r="N94" s="445">
        <v>4000</v>
      </c>
      <c r="O94" s="445">
        <v>5</v>
      </c>
      <c r="P94" s="210">
        <f t="shared" si="70"/>
        <v>20000</v>
      </c>
      <c r="Q94" s="207">
        <v>1</v>
      </c>
      <c r="R94" s="468">
        <v>20000</v>
      </c>
      <c r="S94" s="591">
        <f t="shared" si="69"/>
        <v>1</v>
      </c>
      <c r="T94" s="209">
        <f t="shared" si="76"/>
        <v>20000</v>
      </c>
      <c r="U94" s="211">
        <f t="shared" si="71"/>
        <v>20000</v>
      </c>
      <c r="V94" s="207">
        <v>1</v>
      </c>
      <c r="W94" s="209">
        <f t="shared" si="72"/>
        <v>20000</v>
      </c>
      <c r="X94" s="640"/>
      <c r="Y94" s="629"/>
      <c r="AA94" s="631"/>
      <c r="AB94" s="632"/>
      <c r="AC94" s="633"/>
      <c r="AD94" s="634"/>
    </row>
    <row r="95" spans="1:30" s="630" customFormat="1" ht="76.5" x14ac:dyDescent="0.2">
      <c r="A95" s="774"/>
      <c r="B95" s="640" t="s">
        <v>176</v>
      </c>
      <c r="C95" s="167" t="s">
        <v>37</v>
      </c>
      <c r="D95" s="176" t="s">
        <v>104</v>
      </c>
      <c r="E95" s="176"/>
      <c r="F95" s="176"/>
      <c r="G95" s="176"/>
      <c r="H95" s="206">
        <f t="shared" si="77"/>
        <v>0</v>
      </c>
      <c r="I95" s="207">
        <v>1</v>
      </c>
      <c r="J95" s="206">
        <v>0</v>
      </c>
      <c r="K95" s="195" t="e">
        <f t="shared" si="68"/>
        <v>#DIV/0!</v>
      </c>
      <c r="L95" s="209">
        <f t="shared" si="75"/>
        <v>0</v>
      </c>
      <c r="M95" s="445">
        <v>1</v>
      </c>
      <c r="N95" s="445">
        <v>2000</v>
      </c>
      <c r="O95" s="445">
        <v>5</v>
      </c>
      <c r="P95" s="210">
        <f t="shared" si="70"/>
        <v>10000</v>
      </c>
      <c r="Q95" s="207">
        <v>1</v>
      </c>
      <c r="R95" s="468">
        <v>10000</v>
      </c>
      <c r="S95" s="591">
        <f t="shared" si="69"/>
        <v>1</v>
      </c>
      <c r="T95" s="209">
        <f t="shared" si="76"/>
        <v>10000</v>
      </c>
      <c r="U95" s="211">
        <f t="shared" si="71"/>
        <v>10000</v>
      </c>
      <c r="V95" s="207">
        <v>1</v>
      </c>
      <c r="W95" s="209">
        <f t="shared" si="72"/>
        <v>10000</v>
      </c>
      <c r="X95" s="641"/>
      <c r="Y95" s="629"/>
      <c r="AA95" s="631"/>
      <c r="AB95" s="632"/>
      <c r="AC95" s="633"/>
      <c r="AD95" s="634"/>
    </row>
    <row r="96" spans="1:30" s="630" customFormat="1" ht="38.25" x14ac:dyDescent="0.2">
      <c r="A96" s="774"/>
      <c r="B96" s="640" t="s">
        <v>107</v>
      </c>
      <c r="C96" s="167" t="s">
        <v>37</v>
      </c>
      <c r="D96" s="176" t="s">
        <v>104</v>
      </c>
      <c r="E96" s="176"/>
      <c r="F96" s="176"/>
      <c r="G96" s="176"/>
      <c r="H96" s="206">
        <f t="shared" si="77"/>
        <v>0</v>
      </c>
      <c r="I96" s="207">
        <v>1</v>
      </c>
      <c r="J96" s="206">
        <v>0</v>
      </c>
      <c r="K96" s="195" t="e">
        <f t="shared" si="68"/>
        <v>#DIV/0!</v>
      </c>
      <c r="L96" s="209">
        <f t="shared" si="75"/>
        <v>0</v>
      </c>
      <c r="M96" s="445">
        <v>1</v>
      </c>
      <c r="N96" s="445">
        <v>1</v>
      </c>
      <c r="O96" s="445">
        <v>25000</v>
      </c>
      <c r="P96" s="210">
        <f t="shared" si="70"/>
        <v>25000</v>
      </c>
      <c r="Q96" s="207">
        <v>1</v>
      </c>
      <c r="R96" s="468">
        <v>25000</v>
      </c>
      <c r="S96" s="591">
        <f t="shared" si="69"/>
        <v>1</v>
      </c>
      <c r="T96" s="209">
        <f t="shared" si="76"/>
        <v>25000</v>
      </c>
      <c r="U96" s="211">
        <f t="shared" si="71"/>
        <v>25000</v>
      </c>
      <c r="V96" s="207">
        <v>1</v>
      </c>
      <c r="W96" s="209">
        <f t="shared" si="72"/>
        <v>25000</v>
      </c>
      <c r="X96" s="177"/>
      <c r="Y96" s="629"/>
      <c r="AA96" s="631"/>
      <c r="AB96" s="632"/>
      <c r="AC96" s="633"/>
      <c r="AD96" s="634"/>
    </row>
    <row r="97" spans="1:31" s="630" customFormat="1" ht="51" x14ac:dyDescent="0.2">
      <c r="A97" s="774"/>
      <c r="B97" s="640" t="s">
        <v>172</v>
      </c>
      <c r="C97" s="167" t="s">
        <v>37</v>
      </c>
      <c r="D97" s="176" t="s">
        <v>104</v>
      </c>
      <c r="E97" s="176"/>
      <c r="F97" s="176"/>
      <c r="G97" s="176"/>
      <c r="H97" s="206">
        <f t="shared" si="77"/>
        <v>0</v>
      </c>
      <c r="I97" s="207">
        <v>1</v>
      </c>
      <c r="J97" s="206">
        <v>0</v>
      </c>
      <c r="K97" s="195" t="e">
        <f t="shared" si="68"/>
        <v>#DIV/0!</v>
      </c>
      <c r="L97" s="209">
        <f t="shared" si="75"/>
        <v>0</v>
      </c>
      <c r="M97" s="445">
        <v>1</v>
      </c>
      <c r="N97" s="445">
        <v>5</v>
      </c>
      <c r="O97" s="445">
        <v>5000</v>
      </c>
      <c r="P97" s="210">
        <f t="shared" si="70"/>
        <v>25000</v>
      </c>
      <c r="Q97" s="207">
        <v>1</v>
      </c>
      <c r="R97" s="468">
        <v>0</v>
      </c>
      <c r="S97" s="591">
        <f t="shared" si="69"/>
        <v>0</v>
      </c>
      <c r="T97" s="209">
        <f t="shared" si="76"/>
        <v>25000</v>
      </c>
      <c r="U97" s="211">
        <f t="shared" si="71"/>
        <v>25000</v>
      </c>
      <c r="V97" s="207">
        <v>1</v>
      </c>
      <c r="W97" s="209">
        <f t="shared" si="72"/>
        <v>25000</v>
      </c>
      <c r="X97" s="176"/>
      <c r="Y97" s="629"/>
      <c r="AA97" s="631"/>
      <c r="AB97" s="632"/>
      <c r="AC97" s="633"/>
      <c r="AD97" s="634"/>
    </row>
    <row r="98" spans="1:31" s="630" customFormat="1" ht="25.5" x14ac:dyDescent="0.2">
      <c r="A98" s="774"/>
      <c r="B98" s="640" t="s">
        <v>265</v>
      </c>
      <c r="C98" s="167" t="s">
        <v>37</v>
      </c>
      <c r="D98" s="176" t="s">
        <v>104</v>
      </c>
      <c r="E98" s="176">
        <v>1</v>
      </c>
      <c r="F98" s="176">
        <v>2200</v>
      </c>
      <c r="G98" s="176">
        <v>12</v>
      </c>
      <c r="H98" s="206">
        <f>SUM(E98*F98*G98)</f>
        <v>26400</v>
      </c>
      <c r="I98" s="207">
        <v>0</v>
      </c>
      <c r="J98" s="206">
        <v>26400</v>
      </c>
      <c r="K98" s="195">
        <f t="shared" si="68"/>
        <v>1</v>
      </c>
      <c r="L98" s="209">
        <f t="shared" si="75"/>
        <v>0</v>
      </c>
      <c r="M98" s="445"/>
      <c r="N98" s="445"/>
      <c r="O98" s="445"/>
      <c r="P98" s="210">
        <f t="shared" si="70"/>
        <v>0</v>
      </c>
      <c r="Q98" s="207"/>
      <c r="R98" s="468"/>
      <c r="S98" s="591" t="e">
        <f t="shared" si="69"/>
        <v>#DIV/0!</v>
      </c>
      <c r="T98" s="209"/>
      <c r="U98" s="211">
        <f t="shared" si="71"/>
        <v>26400</v>
      </c>
      <c r="V98" s="207"/>
      <c r="W98" s="209"/>
      <c r="X98" s="176"/>
      <c r="Y98" s="629"/>
      <c r="AA98" s="631"/>
      <c r="AB98" s="632"/>
      <c r="AC98" s="633"/>
      <c r="AD98" s="634"/>
    </row>
    <row r="99" spans="1:31" s="630" customFormat="1" ht="38.25" x14ac:dyDescent="0.2">
      <c r="A99" s="774"/>
      <c r="B99" s="641" t="s">
        <v>173</v>
      </c>
      <c r="C99" s="167" t="s">
        <v>37</v>
      </c>
      <c r="D99" s="176" t="s">
        <v>104</v>
      </c>
      <c r="E99" s="176"/>
      <c r="F99" s="176"/>
      <c r="G99" s="176"/>
      <c r="H99" s="206">
        <f t="shared" si="77"/>
        <v>0</v>
      </c>
      <c r="I99" s="207">
        <v>1</v>
      </c>
      <c r="J99" s="206">
        <v>0</v>
      </c>
      <c r="K99" s="195" t="e">
        <f t="shared" si="68"/>
        <v>#DIV/0!</v>
      </c>
      <c r="L99" s="209">
        <f t="shared" si="75"/>
        <v>0</v>
      </c>
      <c r="M99" s="445">
        <v>1</v>
      </c>
      <c r="N99" s="445">
        <v>4000</v>
      </c>
      <c r="O99" s="445">
        <v>5</v>
      </c>
      <c r="P99" s="210">
        <f t="shared" si="70"/>
        <v>20000</v>
      </c>
      <c r="Q99" s="207">
        <v>1</v>
      </c>
      <c r="R99" s="468">
        <v>20000</v>
      </c>
      <c r="S99" s="591">
        <f t="shared" si="69"/>
        <v>1</v>
      </c>
      <c r="T99" s="209">
        <f t="shared" si="76"/>
        <v>20000</v>
      </c>
      <c r="U99" s="211">
        <f t="shared" si="71"/>
        <v>20000</v>
      </c>
      <c r="V99" s="207">
        <v>1</v>
      </c>
      <c r="W99" s="212">
        <f>V99*U99</f>
        <v>20000</v>
      </c>
      <c r="X99" s="176"/>
      <c r="Y99" s="629"/>
      <c r="AA99" s="631"/>
      <c r="AB99" s="632"/>
      <c r="AC99" s="633"/>
      <c r="AD99" s="634"/>
    </row>
    <row r="100" spans="1:31" s="630" customFormat="1" ht="13.5" x14ac:dyDescent="0.2">
      <c r="A100" s="775"/>
      <c r="B100" s="776" t="s">
        <v>0</v>
      </c>
      <c r="C100" s="777"/>
      <c r="D100" s="777" t="s">
        <v>0</v>
      </c>
      <c r="E100" s="777"/>
      <c r="F100" s="777"/>
      <c r="G100" s="778"/>
      <c r="H100" s="206">
        <f>SUM(H89:H99)</f>
        <v>107200</v>
      </c>
      <c r="I100" s="635">
        <f>L100/H100</f>
        <v>0.75373134328358204</v>
      </c>
      <c r="J100" s="206">
        <f>SUM(J89:J99)</f>
        <v>107200</v>
      </c>
      <c r="K100" s="195">
        <f t="shared" si="68"/>
        <v>1</v>
      </c>
      <c r="L100" s="210">
        <f>SUM(L89:L99)</f>
        <v>80800</v>
      </c>
      <c r="M100" s="636"/>
      <c r="N100" s="636"/>
      <c r="O100" s="636"/>
      <c r="P100" s="210">
        <f>SUM(P89:P99)</f>
        <v>131500</v>
      </c>
      <c r="Q100" s="210"/>
      <c r="R100" s="210">
        <f t="shared" ref="R100" si="78">SUM(R89:R99)</f>
        <v>94500</v>
      </c>
      <c r="S100" s="642">
        <f t="shared" si="69"/>
        <v>0.71863117870722437</v>
      </c>
      <c r="T100" s="210">
        <f>SUM(T89:T99)</f>
        <v>131500</v>
      </c>
      <c r="U100" s="206">
        <f>SUM(U89:U99)</f>
        <v>238700</v>
      </c>
      <c r="V100" s="210"/>
      <c r="W100" s="210">
        <f>SUM(W89:W99)</f>
        <v>212300</v>
      </c>
      <c r="X100" s="607">
        <f>W100/U100</f>
        <v>0.88940092165898621</v>
      </c>
      <c r="Y100" s="629"/>
      <c r="AA100" s="631"/>
      <c r="AB100" s="632"/>
      <c r="AC100" s="633"/>
      <c r="AD100" s="634"/>
    </row>
    <row r="101" spans="1:31" s="649" customFormat="1" ht="13.5" x14ac:dyDescent="0.2">
      <c r="A101" s="772" t="s">
        <v>40</v>
      </c>
      <c r="B101" s="772"/>
      <c r="C101" s="772"/>
      <c r="D101" s="772"/>
      <c r="E101" s="772"/>
      <c r="F101" s="772"/>
      <c r="G101" s="772"/>
      <c r="H101" s="643">
        <f>SUM(H100+H88)</f>
        <v>182200</v>
      </c>
      <c r="I101" s="644">
        <f>L101/H101</f>
        <v>0.85510428100987923</v>
      </c>
      <c r="J101" s="643">
        <f>SUM(J100+J88)</f>
        <v>182200</v>
      </c>
      <c r="K101" s="195">
        <f t="shared" si="46"/>
        <v>1</v>
      </c>
      <c r="L101" s="645">
        <f>SUM(L100+L88)</f>
        <v>155800</v>
      </c>
      <c r="M101" s="646">
        <f t="shared" ref="M101:W101" si="79">SUM(M100+M88)</f>
        <v>0</v>
      </c>
      <c r="N101" s="646">
        <f t="shared" si="79"/>
        <v>0</v>
      </c>
      <c r="O101" s="646">
        <f t="shared" si="79"/>
        <v>0</v>
      </c>
      <c r="P101" s="645">
        <f>SUM(P100+P88)</f>
        <v>131500</v>
      </c>
      <c r="Q101" s="645"/>
      <c r="R101" s="645">
        <f t="shared" ref="R101" si="80">SUM(R100+R88)</f>
        <v>94500</v>
      </c>
      <c r="S101" s="607">
        <f t="shared" si="69"/>
        <v>0.71863117870722437</v>
      </c>
      <c r="T101" s="646">
        <f t="shared" si="79"/>
        <v>131500</v>
      </c>
      <c r="U101" s="647">
        <f>SUM(U100+U88)</f>
        <v>313700</v>
      </c>
      <c r="V101" s="646">
        <f t="shared" si="79"/>
        <v>0</v>
      </c>
      <c r="W101" s="646">
        <f t="shared" si="79"/>
        <v>287300</v>
      </c>
      <c r="X101" s="646"/>
      <c r="Y101" s="648"/>
      <c r="AA101" s="650"/>
      <c r="AB101" s="651"/>
      <c r="AC101" s="652"/>
      <c r="AD101" s="653"/>
    </row>
    <row r="102" spans="1:31" s="205" customFormat="1" ht="13.5" x14ac:dyDescent="0.2">
      <c r="A102" s="654"/>
      <c r="B102" s="654"/>
      <c r="C102" s="654"/>
      <c r="D102" s="655"/>
      <c r="E102" s="656"/>
      <c r="F102" s="657"/>
      <c r="G102" s="656"/>
      <c r="H102" s="615"/>
      <c r="I102" s="658"/>
      <c r="J102" s="658"/>
      <c r="K102" s="195"/>
      <c r="L102" s="658"/>
      <c r="M102" s="658"/>
      <c r="N102" s="658"/>
      <c r="O102" s="658"/>
      <c r="P102" s="615"/>
      <c r="Q102" s="658"/>
      <c r="R102" s="658"/>
      <c r="S102" s="658"/>
      <c r="T102" s="658"/>
      <c r="U102" s="658"/>
      <c r="V102" s="659"/>
      <c r="W102" s="658"/>
      <c r="X102" s="660"/>
      <c r="Y102" s="343"/>
      <c r="Z102" s="199"/>
      <c r="AA102" s="372"/>
      <c r="AB102" s="390"/>
      <c r="AC102" s="414"/>
      <c r="AD102" s="304"/>
      <c r="AE102" s="199"/>
    </row>
    <row r="103" spans="1:31" s="199" customFormat="1" ht="25.5" x14ac:dyDescent="0.2">
      <c r="A103" s="779" t="s">
        <v>79</v>
      </c>
      <c r="B103" s="177" t="s">
        <v>80</v>
      </c>
      <c r="C103" s="167" t="s">
        <v>36</v>
      </c>
      <c r="D103" s="168" t="s">
        <v>68</v>
      </c>
      <c r="E103" s="169">
        <v>1</v>
      </c>
      <c r="F103" s="170">
        <v>20000</v>
      </c>
      <c r="G103" s="169">
        <v>1</v>
      </c>
      <c r="H103" s="171">
        <f t="shared" ref="H103:H111" si="81">E103*F103*G103</f>
        <v>20000</v>
      </c>
      <c r="I103" s="195"/>
      <c r="J103" s="661">
        <v>19821</v>
      </c>
      <c r="K103" s="195">
        <f>SUM(J103/H103)</f>
        <v>0.99104999999999999</v>
      </c>
      <c r="L103" s="198">
        <f>I103*H103</f>
        <v>0</v>
      </c>
      <c r="M103" s="484"/>
      <c r="N103" s="443"/>
      <c r="O103" s="484"/>
      <c r="P103" s="171"/>
      <c r="Q103" s="195"/>
      <c r="R103" s="468"/>
      <c r="S103" s="465" t="e">
        <f t="shared" ref="S103:S114" si="82">SUM(R103/P103)</f>
        <v>#DIV/0!</v>
      </c>
      <c r="T103" s="174">
        <f>P103*Q103</f>
        <v>0</v>
      </c>
      <c r="U103" s="171">
        <f>P103+H103</f>
        <v>20000</v>
      </c>
      <c r="V103" s="606"/>
      <c r="W103" s="286">
        <f>U103*V103</f>
        <v>0</v>
      </c>
      <c r="X103" s="212"/>
      <c r="Y103" s="392"/>
      <c r="AA103" s="372"/>
      <c r="AB103" s="390"/>
      <c r="AC103" s="414"/>
      <c r="AD103" s="304"/>
    </row>
    <row r="104" spans="1:31" s="199" customFormat="1" ht="19.5" customHeight="1" x14ac:dyDescent="0.2">
      <c r="A104" s="779"/>
      <c r="B104" s="167" t="s">
        <v>84</v>
      </c>
      <c r="C104" s="167" t="s">
        <v>17</v>
      </c>
      <c r="D104" s="168" t="s">
        <v>68</v>
      </c>
      <c r="E104" s="169">
        <v>2</v>
      </c>
      <c r="F104" s="170">
        <f>141*2*4</f>
        <v>1128</v>
      </c>
      <c r="G104" s="169">
        <v>1</v>
      </c>
      <c r="H104" s="171">
        <f t="shared" si="81"/>
        <v>2256</v>
      </c>
      <c r="I104" s="195"/>
      <c r="J104" s="661">
        <v>0</v>
      </c>
      <c r="K104" s="195">
        <f t="shared" si="46"/>
        <v>0</v>
      </c>
      <c r="L104" s="198">
        <f t="shared" ref="L104:L110" si="83">I104*H104</f>
        <v>0</v>
      </c>
      <c r="M104" s="439">
        <v>2</v>
      </c>
      <c r="N104" s="477">
        <f>141*2*4</f>
        <v>1128</v>
      </c>
      <c r="O104" s="439">
        <v>1</v>
      </c>
      <c r="P104" s="662">
        <f>M104*N104*O104</f>
        <v>2256</v>
      </c>
      <c r="Q104" s="195"/>
      <c r="R104" s="468"/>
      <c r="S104" s="465">
        <f t="shared" si="82"/>
        <v>0</v>
      </c>
      <c r="T104" s="174">
        <f t="shared" ref="T104:T111" si="84">P104*Q104</f>
        <v>0</v>
      </c>
      <c r="U104" s="171">
        <f t="shared" ref="U104:U111" si="85">P104+H104</f>
        <v>4512</v>
      </c>
      <c r="V104" s="606"/>
      <c r="W104" s="286">
        <f t="shared" ref="W104:W109" si="86">U104*V104</f>
        <v>0</v>
      </c>
      <c r="X104" s="176" t="s">
        <v>251</v>
      </c>
      <c r="Y104" s="392"/>
      <c r="AA104" s="372"/>
      <c r="AB104" s="390"/>
      <c r="AC104" s="414"/>
      <c r="AD104" s="304"/>
    </row>
    <row r="105" spans="1:31" s="199" customFormat="1" ht="18.75" customHeight="1" x14ac:dyDescent="0.2">
      <c r="A105" s="779"/>
      <c r="B105" s="177" t="s">
        <v>135</v>
      </c>
      <c r="C105" s="167" t="s">
        <v>17</v>
      </c>
      <c r="D105" s="168" t="s">
        <v>68</v>
      </c>
      <c r="E105" s="169">
        <v>15</v>
      </c>
      <c r="F105" s="170">
        <v>200</v>
      </c>
      <c r="G105" s="169">
        <v>4</v>
      </c>
      <c r="H105" s="171">
        <f t="shared" si="81"/>
        <v>12000</v>
      </c>
      <c r="I105" s="195"/>
      <c r="J105" s="661">
        <v>11740</v>
      </c>
      <c r="K105" s="195">
        <f t="shared" si="46"/>
        <v>0.97833333333333339</v>
      </c>
      <c r="L105" s="174">
        <f>I105*H105</f>
        <v>0</v>
      </c>
      <c r="M105" s="439">
        <v>15</v>
      </c>
      <c r="N105" s="477">
        <v>200</v>
      </c>
      <c r="O105" s="439">
        <v>4</v>
      </c>
      <c r="P105" s="662">
        <f t="shared" ref="P105:P111" si="87">M105*N105*O105</f>
        <v>12000</v>
      </c>
      <c r="Q105" s="195"/>
      <c r="R105" s="468"/>
      <c r="S105" s="465">
        <f t="shared" si="82"/>
        <v>0</v>
      </c>
      <c r="T105" s="174">
        <f t="shared" si="84"/>
        <v>0</v>
      </c>
      <c r="U105" s="171">
        <f t="shared" si="85"/>
        <v>24000</v>
      </c>
      <c r="V105" s="606"/>
      <c r="W105" s="286">
        <f t="shared" si="86"/>
        <v>0</v>
      </c>
      <c r="X105" s="212" t="s">
        <v>252</v>
      </c>
      <c r="Y105" s="392"/>
      <c r="AA105" s="372"/>
      <c r="AB105" s="390"/>
      <c r="AC105" s="414"/>
      <c r="AD105" s="304"/>
    </row>
    <row r="106" spans="1:31" s="199" customFormat="1" ht="18.75" customHeight="1" x14ac:dyDescent="0.2">
      <c r="A106" s="779"/>
      <c r="B106" s="177" t="s">
        <v>85</v>
      </c>
      <c r="C106" s="167" t="s">
        <v>17</v>
      </c>
      <c r="D106" s="168" t="s">
        <v>68</v>
      </c>
      <c r="E106" s="169">
        <v>1</v>
      </c>
      <c r="F106" s="170">
        <v>8000</v>
      </c>
      <c r="G106" s="169">
        <v>1</v>
      </c>
      <c r="H106" s="171">
        <f t="shared" si="81"/>
        <v>8000</v>
      </c>
      <c r="I106" s="195"/>
      <c r="J106" s="661">
        <v>0</v>
      </c>
      <c r="K106" s="195">
        <f t="shared" si="46"/>
        <v>0</v>
      </c>
      <c r="L106" s="174">
        <f t="shared" si="83"/>
        <v>0</v>
      </c>
      <c r="M106" s="439">
        <v>1</v>
      </c>
      <c r="N106" s="477">
        <v>8000</v>
      </c>
      <c r="O106" s="439">
        <v>1</v>
      </c>
      <c r="P106" s="662">
        <f t="shared" si="87"/>
        <v>8000</v>
      </c>
      <c r="Q106" s="195"/>
      <c r="R106" s="468"/>
      <c r="S106" s="465">
        <f t="shared" si="82"/>
        <v>0</v>
      </c>
      <c r="T106" s="174">
        <f t="shared" si="84"/>
        <v>0</v>
      </c>
      <c r="U106" s="171">
        <f t="shared" si="85"/>
        <v>16000</v>
      </c>
      <c r="V106" s="606"/>
      <c r="W106" s="286">
        <f t="shared" si="86"/>
        <v>0</v>
      </c>
      <c r="X106" s="176" t="s">
        <v>251</v>
      </c>
      <c r="Y106" s="392"/>
      <c r="AA106" s="372"/>
      <c r="AB106" s="390"/>
      <c r="AC106" s="414"/>
      <c r="AD106" s="304"/>
    </row>
    <row r="107" spans="1:31" s="199" customFormat="1" ht="21" customHeight="1" x14ac:dyDescent="0.2">
      <c r="A107" s="779"/>
      <c r="B107" s="167" t="s">
        <v>136</v>
      </c>
      <c r="C107" s="167" t="s">
        <v>17</v>
      </c>
      <c r="D107" s="168" t="s">
        <v>68</v>
      </c>
      <c r="E107" s="169">
        <v>2</v>
      </c>
      <c r="F107" s="170">
        <f>141*6*4</f>
        <v>3384</v>
      </c>
      <c r="G107" s="169">
        <v>1</v>
      </c>
      <c r="H107" s="171">
        <f t="shared" si="81"/>
        <v>6768</v>
      </c>
      <c r="I107" s="195"/>
      <c r="J107" s="661">
        <v>6545</v>
      </c>
      <c r="K107" s="195">
        <f t="shared" si="46"/>
        <v>0.96705082742316784</v>
      </c>
      <c r="L107" s="174">
        <f t="shared" si="83"/>
        <v>0</v>
      </c>
      <c r="M107" s="439">
        <v>2</v>
      </c>
      <c r="N107" s="477">
        <f>141*6*4</f>
        <v>3384</v>
      </c>
      <c r="O107" s="439">
        <v>1</v>
      </c>
      <c r="P107" s="662">
        <f t="shared" si="87"/>
        <v>6768</v>
      </c>
      <c r="Q107" s="195"/>
      <c r="R107" s="468"/>
      <c r="S107" s="465">
        <f t="shared" si="82"/>
        <v>0</v>
      </c>
      <c r="T107" s="174">
        <f t="shared" si="84"/>
        <v>0</v>
      </c>
      <c r="U107" s="171">
        <f t="shared" si="85"/>
        <v>13536</v>
      </c>
      <c r="V107" s="606"/>
      <c r="W107" s="286">
        <f t="shared" si="86"/>
        <v>0</v>
      </c>
      <c r="X107" s="212"/>
      <c r="Y107" s="392"/>
      <c r="AA107" s="372"/>
      <c r="AB107" s="390"/>
      <c r="AC107" s="414"/>
      <c r="AD107" s="304"/>
    </row>
    <row r="108" spans="1:31" s="199" customFormat="1" ht="20.25" customHeight="1" x14ac:dyDescent="0.2">
      <c r="A108" s="779"/>
      <c r="B108" s="177" t="s">
        <v>81</v>
      </c>
      <c r="C108" s="167" t="s">
        <v>17</v>
      </c>
      <c r="D108" s="168" t="s">
        <v>68</v>
      </c>
      <c r="E108" s="169">
        <v>1</v>
      </c>
      <c r="F108" s="170">
        <v>10000</v>
      </c>
      <c r="G108" s="169">
        <v>1</v>
      </c>
      <c r="H108" s="171">
        <f t="shared" si="81"/>
        <v>10000</v>
      </c>
      <c r="I108" s="195"/>
      <c r="J108" s="661">
        <v>0</v>
      </c>
      <c r="K108" s="195">
        <f t="shared" si="46"/>
        <v>0</v>
      </c>
      <c r="L108" s="174">
        <f t="shared" si="83"/>
        <v>0</v>
      </c>
      <c r="M108" s="439">
        <v>0</v>
      </c>
      <c r="N108" s="443">
        <v>0</v>
      </c>
      <c r="O108" s="484"/>
      <c r="P108" s="662">
        <f t="shared" si="87"/>
        <v>0</v>
      </c>
      <c r="Q108" s="195"/>
      <c r="R108" s="468"/>
      <c r="S108" s="465" t="e">
        <f t="shared" si="82"/>
        <v>#DIV/0!</v>
      </c>
      <c r="T108" s="174">
        <f t="shared" si="84"/>
        <v>0</v>
      </c>
      <c r="U108" s="171">
        <f t="shared" si="85"/>
        <v>10000</v>
      </c>
      <c r="V108" s="606"/>
      <c r="W108" s="286">
        <f t="shared" si="86"/>
        <v>0</v>
      </c>
      <c r="X108" s="176" t="s">
        <v>251</v>
      </c>
      <c r="Y108" s="392"/>
      <c r="AA108" s="372"/>
      <c r="AB108" s="390"/>
      <c r="AC108" s="414"/>
      <c r="AD108" s="304"/>
    </row>
    <row r="109" spans="1:31" s="199" customFormat="1" ht="17.25" customHeight="1" x14ac:dyDescent="0.2">
      <c r="A109" s="779"/>
      <c r="B109" s="167" t="s">
        <v>82</v>
      </c>
      <c r="C109" s="167" t="s">
        <v>15</v>
      </c>
      <c r="D109" s="168" t="s">
        <v>68</v>
      </c>
      <c r="E109" s="169">
        <v>1</v>
      </c>
      <c r="F109" s="170">
        <v>15000</v>
      </c>
      <c r="G109" s="169">
        <v>1</v>
      </c>
      <c r="H109" s="171">
        <f t="shared" si="81"/>
        <v>15000</v>
      </c>
      <c r="I109" s="195"/>
      <c r="J109" s="661">
        <v>14900</v>
      </c>
      <c r="K109" s="195">
        <f t="shared" si="46"/>
        <v>0.99333333333333329</v>
      </c>
      <c r="L109" s="174">
        <f t="shared" si="83"/>
        <v>0</v>
      </c>
      <c r="M109" s="439">
        <v>1</v>
      </c>
      <c r="N109" s="477">
        <v>5000</v>
      </c>
      <c r="O109" s="439">
        <v>1</v>
      </c>
      <c r="P109" s="662">
        <f t="shared" si="87"/>
        <v>5000</v>
      </c>
      <c r="Q109" s="195"/>
      <c r="R109" s="468"/>
      <c r="S109" s="465">
        <f t="shared" si="82"/>
        <v>0</v>
      </c>
      <c r="T109" s="174">
        <f t="shared" si="84"/>
        <v>0</v>
      </c>
      <c r="U109" s="171">
        <f t="shared" si="85"/>
        <v>20000</v>
      </c>
      <c r="V109" s="606"/>
      <c r="W109" s="286">
        <f t="shared" si="86"/>
        <v>0</v>
      </c>
      <c r="X109" s="212"/>
      <c r="Y109" s="392"/>
      <c r="AA109" s="372"/>
      <c r="AB109" s="390"/>
      <c r="AC109" s="414"/>
      <c r="AD109" s="304"/>
    </row>
    <row r="110" spans="1:31" s="199" customFormat="1" ht="16.5" customHeight="1" x14ac:dyDescent="0.2">
      <c r="A110" s="779"/>
      <c r="B110" s="167" t="s">
        <v>83</v>
      </c>
      <c r="C110" s="167" t="s">
        <v>36</v>
      </c>
      <c r="D110" s="168" t="s">
        <v>68</v>
      </c>
      <c r="E110" s="169">
        <v>0</v>
      </c>
      <c r="F110" s="170">
        <v>0</v>
      </c>
      <c r="G110" s="169">
        <v>0</v>
      </c>
      <c r="H110" s="171">
        <f t="shared" si="81"/>
        <v>0</v>
      </c>
      <c r="I110" s="195"/>
      <c r="J110" s="661">
        <v>0</v>
      </c>
      <c r="K110" s="195" t="e">
        <f>SUM(J110/H110)</f>
        <v>#DIV/0!</v>
      </c>
      <c r="L110" s="174">
        <f t="shared" si="83"/>
        <v>0</v>
      </c>
      <c r="M110" s="439">
        <v>1</v>
      </c>
      <c r="N110" s="477">
        <v>20000</v>
      </c>
      <c r="O110" s="439">
        <v>1</v>
      </c>
      <c r="P110" s="662">
        <f t="shared" si="87"/>
        <v>20000</v>
      </c>
      <c r="Q110" s="195"/>
      <c r="R110" s="468"/>
      <c r="S110" s="465">
        <f t="shared" si="82"/>
        <v>0</v>
      </c>
      <c r="T110" s="174">
        <f t="shared" si="84"/>
        <v>0</v>
      </c>
      <c r="U110" s="171">
        <f t="shared" si="85"/>
        <v>20000</v>
      </c>
      <c r="V110" s="606"/>
      <c r="W110" s="286">
        <f>U110*V110</f>
        <v>0</v>
      </c>
      <c r="X110" s="212"/>
      <c r="Y110" s="392"/>
      <c r="AA110" s="372"/>
      <c r="AB110" s="390"/>
      <c r="AC110" s="414"/>
      <c r="AD110" s="304"/>
    </row>
    <row r="111" spans="1:31" s="199" customFormat="1" ht="63.75" x14ac:dyDescent="0.2">
      <c r="A111" s="779"/>
      <c r="B111" s="177" t="s">
        <v>137</v>
      </c>
      <c r="C111" s="167" t="s">
        <v>17</v>
      </c>
      <c r="D111" s="168" t="s">
        <v>68</v>
      </c>
      <c r="E111" s="169">
        <v>1</v>
      </c>
      <c r="F111" s="170">
        <v>4500</v>
      </c>
      <c r="G111" s="169">
        <v>1</v>
      </c>
      <c r="H111" s="171">
        <f t="shared" si="81"/>
        <v>4500</v>
      </c>
      <c r="I111" s="195">
        <v>0.25</v>
      </c>
      <c r="J111" s="661">
        <v>4426</v>
      </c>
      <c r="K111" s="195">
        <f t="shared" si="46"/>
        <v>0.98355555555555552</v>
      </c>
      <c r="L111" s="174">
        <f>SUM(I111*J111)</f>
        <v>1106.5</v>
      </c>
      <c r="M111" s="484"/>
      <c r="N111" s="443"/>
      <c r="O111" s="484"/>
      <c r="P111" s="662">
        <f t="shared" si="87"/>
        <v>0</v>
      </c>
      <c r="Q111" s="195"/>
      <c r="R111" s="468"/>
      <c r="S111" s="465" t="e">
        <f t="shared" si="82"/>
        <v>#DIV/0!</v>
      </c>
      <c r="T111" s="174">
        <f t="shared" si="84"/>
        <v>0</v>
      </c>
      <c r="U111" s="171">
        <f t="shared" si="85"/>
        <v>4500</v>
      </c>
      <c r="V111" s="606">
        <v>0.25</v>
      </c>
      <c r="W111" s="286">
        <f>U111*V111</f>
        <v>1125</v>
      </c>
      <c r="X111" s="212"/>
      <c r="Y111" s="392"/>
      <c r="AA111" s="372"/>
      <c r="AB111" s="390"/>
      <c r="AC111" s="414"/>
      <c r="AD111" s="304"/>
    </row>
    <row r="112" spans="1:31" s="199" customFormat="1" x14ac:dyDescent="0.2">
      <c r="A112" s="167"/>
      <c r="B112" s="768" t="s">
        <v>0</v>
      </c>
      <c r="C112" s="768"/>
      <c r="D112" s="768"/>
      <c r="E112" s="768"/>
      <c r="F112" s="768"/>
      <c r="G112" s="768"/>
      <c r="H112" s="171">
        <f>SUM(H103:H111)</f>
        <v>78524</v>
      </c>
      <c r="I112" s="609">
        <f>L112/H112</f>
        <v>1.4091233253527584E-2</v>
      </c>
      <c r="J112" s="171">
        <f>SUM(J103:J111)</f>
        <v>57432</v>
      </c>
      <c r="K112" s="336">
        <f>SUM(J112/H112)</f>
        <v>0.73139422342213845</v>
      </c>
      <c r="L112" s="171">
        <f>SUM(L103:L111)</f>
        <v>1106.5</v>
      </c>
      <c r="M112" s="663"/>
      <c r="N112" s="611"/>
      <c r="O112" s="663"/>
      <c r="P112" s="171">
        <f>SUM(P103:P111)</f>
        <v>54024</v>
      </c>
      <c r="Q112" s="171"/>
      <c r="R112" s="171">
        <f t="shared" ref="R112" si="88">SUM(R103:R111)</f>
        <v>0</v>
      </c>
      <c r="S112" s="606">
        <f t="shared" si="82"/>
        <v>0</v>
      </c>
      <c r="T112" s="171">
        <f t="shared" ref="T112" si="89">SUM(T103:T111)</f>
        <v>0</v>
      </c>
      <c r="U112" s="171">
        <f>SUM(U103:U111)</f>
        <v>132548</v>
      </c>
      <c r="V112" s="664"/>
      <c r="W112" s="171">
        <f>SUM(W103:W111)</f>
        <v>1125</v>
      </c>
      <c r="X112" s="665"/>
      <c r="Y112" s="392"/>
      <c r="AA112" s="372"/>
      <c r="AB112" s="390"/>
      <c r="AC112" s="414"/>
      <c r="AD112" s="304"/>
    </row>
    <row r="113" spans="1:30" s="205" customFormat="1" ht="15" x14ac:dyDescent="0.2">
      <c r="A113" s="772" t="s">
        <v>156</v>
      </c>
      <c r="B113" s="772"/>
      <c r="C113" s="772"/>
      <c r="D113" s="772"/>
      <c r="E113" s="772"/>
      <c r="F113" s="772"/>
      <c r="G113" s="772"/>
      <c r="H113" s="666">
        <f>SUM(H112)</f>
        <v>78524</v>
      </c>
      <c r="I113" s="667">
        <f>L113/H113</f>
        <v>1.4091233253527584E-2</v>
      </c>
      <c r="J113" s="666">
        <f>SUM(J112)</f>
        <v>57432</v>
      </c>
      <c r="K113" s="195">
        <f t="shared" si="46"/>
        <v>0.73139422342213845</v>
      </c>
      <c r="L113" s="666">
        <f>SUM(L112)</f>
        <v>1106.5</v>
      </c>
      <c r="M113" s="668"/>
      <c r="N113" s="668"/>
      <c r="O113" s="668"/>
      <c r="P113" s="666">
        <f>SUM(P112)</f>
        <v>54024</v>
      </c>
      <c r="Q113" s="666"/>
      <c r="R113" s="666">
        <f t="shared" ref="R113" si="90">SUM(R112)</f>
        <v>0</v>
      </c>
      <c r="S113" s="616">
        <f t="shared" si="82"/>
        <v>0</v>
      </c>
      <c r="T113" s="666">
        <f t="shared" ref="T113" si="91">SUM(T112)</f>
        <v>0</v>
      </c>
      <c r="U113" s="669">
        <f>SUM(U112)</f>
        <v>132548</v>
      </c>
      <c r="V113" s="670"/>
      <c r="W113" s="780">
        <f>SUM(W112)</f>
        <v>1125</v>
      </c>
      <c r="X113" s="781"/>
      <c r="Y113" s="343"/>
      <c r="AA113" s="368"/>
      <c r="AB113" s="386"/>
      <c r="AC113" s="410"/>
      <c r="AD113" s="41"/>
    </row>
    <row r="114" spans="1:30" s="205" customFormat="1" ht="15.75" x14ac:dyDescent="0.2">
      <c r="A114" s="771" t="s">
        <v>42</v>
      </c>
      <c r="B114" s="771"/>
      <c r="C114" s="771"/>
      <c r="D114" s="771"/>
      <c r="E114" s="771"/>
      <c r="F114" s="771"/>
      <c r="G114" s="771"/>
      <c r="H114" s="171">
        <f>H113+H101+H82+H59</f>
        <v>1214746</v>
      </c>
      <c r="I114" s="609">
        <f>L114/H114</f>
        <v>0.38955935644159356</v>
      </c>
      <c r="J114" s="171">
        <f>J113+J101+J82+J59</f>
        <v>1105471</v>
      </c>
      <c r="K114" s="195">
        <f>SUM(J114/H114)</f>
        <v>0.91004292255335684</v>
      </c>
      <c r="L114" s="171">
        <f>L113+L101+L82+L59</f>
        <v>473215.67000000004</v>
      </c>
      <c r="M114" s="671"/>
      <c r="N114" s="671"/>
      <c r="O114" s="671"/>
      <c r="P114" s="171">
        <f t="shared" ref="P114:T114" si="92">P113+P101+P82+P59</f>
        <v>698684</v>
      </c>
      <c r="Q114" s="171"/>
      <c r="R114" s="171">
        <f t="shared" si="92"/>
        <v>396310</v>
      </c>
      <c r="S114" s="606">
        <f t="shared" si="82"/>
        <v>0.56722352308053425</v>
      </c>
      <c r="T114" s="171">
        <f t="shared" si="92"/>
        <v>299732</v>
      </c>
      <c r="U114" s="171">
        <f>U113+U101+U82+U59</f>
        <v>1913430</v>
      </c>
      <c r="V114" s="171"/>
      <c r="W114" s="171">
        <f>W113+W101+W82+W59</f>
        <v>772966.17</v>
      </c>
      <c r="X114" s="210"/>
      <c r="Y114" s="343"/>
      <c r="AA114" s="368"/>
      <c r="AB114" s="386"/>
      <c r="AC114" s="410"/>
      <c r="AD114" s="41"/>
    </row>
    <row r="115" spans="1:30" s="263" customFormat="1" x14ac:dyDescent="0.2">
      <c r="A115" s="766" t="s">
        <v>48</v>
      </c>
      <c r="B115" s="766"/>
      <c r="C115" s="766"/>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343"/>
      <c r="AA115" s="367"/>
      <c r="AB115" s="385"/>
      <c r="AC115" s="409"/>
      <c r="AD115" s="343"/>
    </row>
    <row r="116" spans="1:30" s="263" customFormat="1" ht="12.75" customHeight="1" x14ac:dyDescent="0.2">
      <c r="A116" s="212" t="s">
        <v>43</v>
      </c>
      <c r="B116" s="176"/>
      <c r="C116" s="176"/>
      <c r="D116" s="176"/>
      <c r="E116" s="169"/>
      <c r="F116" s="170"/>
      <c r="G116" s="169"/>
      <c r="H116" s="662"/>
      <c r="I116" s="169"/>
      <c r="J116" s="169"/>
      <c r="K116" s="169"/>
      <c r="L116" s="170"/>
      <c r="M116" s="169"/>
      <c r="N116" s="170"/>
      <c r="O116" s="169"/>
      <c r="P116" s="662"/>
      <c r="Q116" s="169"/>
      <c r="R116" s="169"/>
      <c r="S116" s="169"/>
      <c r="T116" s="170"/>
      <c r="U116" s="170"/>
      <c r="V116" s="169"/>
      <c r="W116" s="170"/>
      <c r="X116" s="176"/>
      <c r="Y116" s="343"/>
      <c r="AA116" s="367"/>
      <c r="AB116" s="385"/>
      <c r="AC116" s="409"/>
      <c r="AD116" s="343"/>
    </row>
    <row r="117" spans="1:30" s="205" customFormat="1" ht="38.25" x14ac:dyDescent="0.2">
      <c r="A117" s="177"/>
      <c r="B117" s="177" t="s">
        <v>138</v>
      </c>
      <c r="C117" s="167" t="s">
        <v>14</v>
      </c>
      <c r="D117" s="264" t="s">
        <v>68</v>
      </c>
      <c r="E117" s="169">
        <v>1</v>
      </c>
      <c r="F117" s="174">
        <v>2200</v>
      </c>
      <c r="G117" s="169">
        <v>12</v>
      </c>
      <c r="H117" s="171">
        <f t="shared" ref="H117:H122" si="93">E117*F117*G117</f>
        <v>26400</v>
      </c>
      <c r="I117" s="172"/>
      <c r="J117" s="672">
        <v>26400</v>
      </c>
      <c r="K117" s="172">
        <f t="shared" ref="K117:K167" si="94">SUM(J117/H117)</f>
        <v>1</v>
      </c>
      <c r="L117" s="198">
        <f>H117*I117</f>
        <v>0</v>
      </c>
      <c r="M117" s="439">
        <v>1</v>
      </c>
      <c r="N117" s="443">
        <v>2200</v>
      </c>
      <c r="O117" s="439">
        <v>12</v>
      </c>
      <c r="P117" s="171">
        <f>M117*N117*O117</f>
        <v>26400</v>
      </c>
      <c r="Q117" s="172"/>
      <c r="R117" s="468">
        <v>8800</v>
      </c>
      <c r="S117" s="465">
        <f t="shared" ref="S117:S123" si="95">SUM(R117/P117)</f>
        <v>0.33333333333333331</v>
      </c>
      <c r="T117" s="198">
        <f t="shared" ref="T117:T122" si="96">P117*Q117</f>
        <v>0</v>
      </c>
      <c r="U117" s="174">
        <f>H117+P117</f>
        <v>52800</v>
      </c>
      <c r="V117" s="197"/>
      <c r="W117" s="286">
        <f>U117*V117</f>
        <v>0</v>
      </c>
      <c r="X117" s="209"/>
      <c r="Y117" s="392"/>
      <c r="AA117" s="368"/>
      <c r="AB117" s="386"/>
      <c r="AC117" s="410"/>
      <c r="AD117" s="41"/>
    </row>
    <row r="118" spans="1:30" s="205" customFormat="1" ht="38.25" x14ac:dyDescent="0.25">
      <c r="A118" s="177"/>
      <c r="B118" s="177" t="s">
        <v>190</v>
      </c>
      <c r="C118" s="167" t="s">
        <v>14</v>
      </c>
      <c r="D118" s="264" t="s">
        <v>68</v>
      </c>
      <c r="E118" s="169">
        <v>1</v>
      </c>
      <c r="F118" s="174">
        <v>4100</v>
      </c>
      <c r="G118" s="169">
        <v>12</v>
      </c>
      <c r="H118" s="171">
        <f t="shared" si="93"/>
        <v>49200</v>
      </c>
      <c r="I118" s="172"/>
      <c r="J118" s="672">
        <v>58766</v>
      </c>
      <c r="K118" s="605">
        <f>SUM(J118/H118)</f>
        <v>1.194430894308943</v>
      </c>
      <c r="L118" s="198">
        <v>0</v>
      </c>
      <c r="M118" s="439">
        <v>1</v>
      </c>
      <c r="N118" s="443">
        <v>4100</v>
      </c>
      <c r="O118" s="439">
        <v>12</v>
      </c>
      <c r="P118" s="171">
        <f>M118*N118*O118</f>
        <v>49200</v>
      </c>
      <c r="Q118" s="172"/>
      <c r="R118" s="468">
        <v>16400</v>
      </c>
      <c r="S118" s="465">
        <f t="shared" si="95"/>
        <v>0.33333333333333331</v>
      </c>
      <c r="T118" s="198">
        <v>0</v>
      </c>
      <c r="U118" s="174">
        <f>H118+P118</f>
        <v>98400</v>
      </c>
      <c r="V118" s="197"/>
      <c r="W118" s="286">
        <f t="shared" ref="W118:W122" si="97">U118*V118</f>
        <v>0</v>
      </c>
      <c r="X118" s="673" t="s">
        <v>253</v>
      </c>
      <c r="Y118" s="392"/>
      <c r="AA118" s="368"/>
      <c r="AB118" s="386"/>
      <c r="AC118" s="410"/>
      <c r="AD118" s="41"/>
    </row>
    <row r="119" spans="1:30" s="205" customFormat="1" ht="38.25" x14ac:dyDescent="0.2">
      <c r="A119" s="177"/>
      <c r="B119" s="177" t="s">
        <v>86</v>
      </c>
      <c r="C119" s="167" t="s">
        <v>14</v>
      </c>
      <c r="D119" s="264" t="s">
        <v>68</v>
      </c>
      <c r="E119" s="169">
        <v>1</v>
      </c>
      <c r="F119" s="174">
        <v>1700</v>
      </c>
      <c r="G119" s="169">
        <v>12</v>
      </c>
      <c r="H119" s="171">
        <f t="shared" si="93"/>
        <v>20400</v>
      </c>
      <c r="I119" s="172"/>
      <c r="J119" s="672">
        <v>27528</v>
      </c>
      <c r="K119" s="605">
        <f>SUM(J119/H119)</f>
        <v>1.3494117647058823</v>
      </c>
      <c r="L119" s="198">
        <f t="shared" ref="L119:L122" si="98">H119*I119</f>
        <v>0</v>
      </c>
      <c r="M119" s="439">
        <v>1</v>
      </c>
      <c r="N119" s="443">
        <v>1700</v>
      </c>
      <c r="O119" s="439">
        <v>12</v>
      </c>
      <c r="P119" s="171">
        <f t="shared" ref="P119:P122" si="99">M119*N119*O119</f>
        <v>20400</v>
      </c>
      <c r="Q119" s="172"/>
      <c r="R119" s="468">
        <v>6800</v>
      </c>
      <c r="S119" s="465">
        <f t="shared" si="95"/>
        <v>0.33333333333333331</v>
      </c>
      <c r="T119" s="198">
        <f t="shared" si="96"/>
        <v>0</v>
      </c>
      <c r="U119" s="174">
        <f t="shared" ref="U119:U122" si="100">H119+P119</f>
        <v>40800</v>
      </c>
      <c r="V119" s="197"/>
      <c r="W119" s="286">
        <f t="shared" si="97"/>
        <v>0</v>
      </c>
      <c r="X119" s="266" t="s">
        <v>254</v>
      </c>
      <c r="Y119" s="392"/>
      <c r="AA119" s="368"/>
      <c r="AB119" s="386"/>
      <c r="AC119" s="410"/>
      <c r="AD119" s="41"/>
    </row>
    <row r="120" spans="1:30" s="205" customFormat="1" ht="38.25" x14ac:dyDescent="0.2">
      <c r="A120" s="177"/>
      <c r="B120" s="177" t="s">
        <v>144</v>
      </c>
      <c r="C120" s="167" t="s">
        <v>14</v>
      </c>
      <c r="D120" s="264" t="s">
        <v>89</v>
      </c>
      <c r="E120" s="169">
        <v>1</v>
      </c>
      <c r="F120" s="170">
        <v>2600</v>
      </c>
      <c r="G120" s="169">
        <v>12</v>
      </c>
      <c r="H120" s="171">
        <f t="shared" si="93"/>
        <v>31200</v>
      </c>
      <c r="I120" s="172"/>
      <c r="J120" s="674">
        <v>31200</v>
      </c>
      <c r="K120" s="172">
        <f t="shared" si="94"/>
        <v>1</v>
      </c>
      <c r="L120" s="198">
        <f t="shared" si="98"/>
        <v>0</v>
      </c>
      <c r="M120" s="439">
        <v>1</v>
      </c>
      <c r="N120" s="477">
        <v>2600</v>
      </c>
      <c r="O120" s="439">
        <v>12</v>
      </c>
      <c r="P120" s="171">
        <f t="shared" si="99"/>
        <v>31200</v>
      </c>
      <c r="Q120" s="172"/>
      <c r="R120" s="468">
        <v>26000</v>
      </c>
      <c r="S120" s="465">
        <f t="shared" si="95"/>
        <v>0.83333333333333337</v>
      </c>
      <c r="T120" s="198">
        <f t="shared" si="96"/>
        <v>0</v>
      </c>
      <c r="U120" s="174">
        <f t="shared" si="100"/>
        <v>62400</v>
      </c>
      <c r="V120" s="197"/>
      <c r="W120" s="286">
        <f t="shared" si="97"/>
        <v>0</v>
      </c>
      <c r="X120" s="209"/>
      <c r="Y120" s="392"/>
      <c r="AA120" s="368"/>
      <c r="AB120" s="386"/>
      <c r="AC120" s="410"/>
      <c r="AD120" s="41"/>
    </row>
    <row r="121" spans="1:30" s="205" customFormat="1" ht="38.25" x14ac:dyDescent="0.2">
      <c r="A121" s="177"/>
      <c r="B121" s="177" t="s">
        <v>179</v>
      </c>
      <c r="C121" s="167" t="s">
        <v>14</v>
      </c>
      <c r="D121" s="264" t="s">
        <v>89</v>
      </c>
      <c r="E121" s="169">
        <v>1</v>
      </c>
      <c r="F121" s="170">
        <v>1700</v>
      </c>
      <c r="G121" s="169">
        <v>12</v>
      </c>
      <c r="H121" s="171">
        <f t="shared" si="93"/>
        <v>20400</v>
      </c>
      <c r="I121" s="172"/>
      <c r="J121" s="675">
        <v>20400</v>
      </c>
      <c r="K121" s="172">
        <f t="shared" si="94"/>
        <v>1</v>
      </c>
      <c r="L121" s="198">
        <f t="shared" si="98"/>
        <v>0</v>
      </c>
      <c r="M121" s="439">
        <v>1</v>
      </c>
      <c r="N121" s="477">
        <v>1700</v>
      </c>
      <c r="O121" s="439">
        <v>12</v>
      </c>
      <c r="P121" s="171">
        <f t="shared" si="99"/>
        <v>20400</v>
      </c>
      <c r="Q121" s="172"/>
      <c r="R121" s="468">
        <v>17000</v>
      </c>
      <c r="S121" s="465">
        <f t="shared" si="95"/>
        <v>0.83333333333333337</v>
      </c>
      <c r="T121" s="198">
        <f t="shared" si="96"/>
        <v>0</v>
      </c>
      <c r="U121" s="174">
        <f t="shared" si="100"/>
        <v>40800</v>
      </c>
      <c r="V121" s="197"/>
      <c r="W121" s="286">
        <f t="shared" si="97"/>
        <v>0</v>
      </c>
      <c r="X121" s="209"/>
      <c r="Y121" s="392"/>
      <c r="AA121" s="368"/>
      <c r="AB121" s="386"/>
      <c r="AC121" s="410"/>
      <c r="AD121" s="41"/>
    </row>
    <row r="122" spans="1:30" s="267" customFormat="1" ht="38.25" x14ac:dyDescent="0.2">
      <c r="A122" s="177"/>
      <c r="B122" s="177" t="s">
        <v>86</v>
      </c>
      <c r="C122" s="167" t="s">
        <v>14</v>
      </c>
      <c r="D122" s="264" t="s">
        <v>104</v>
      </c>
      <c r="E122" s="178">
        <v>1</v>
      </c>
      <c r="F122" s="170">
        <v>1700</v>
      </c>
      <c r="G122" s="178">
        <v>12</v>
      </c>
      <c r="H122" s="171">
        <f t="shared" si="93"/>
        <v>20400</v>
      </c>
      <c r="I122" s="178"/>
      <c r="J122" s="672">
        <v>20400</v>
      </c>
      <c r="K122" s="172">
        <f t="shared" si="94"/>
        <v>1</v>
      </c>
      <c r="L122" s="198">
        <f t="shared" si="98"/>
        <v>0</v>
      </c>
      <c r="M122" s="496"/>
      <c r="N122" s="497"/>
      <c r="O122" s="496"/>
      <c r="P122" s="171">
        <f t="shared" si="99"/>
        <v>0</v>
      </c>
      <c r="Q122" s="178"/>
      <c r="R122" s="468"/>
      <c r="S122" s="465" t="e">
        <f t="shared" si="95"/>
        <v>#DIV/0!</v>
      </c>
      <c r="T122" s="198">
        <f t="shared" si="96"/>
        <v>0</v>
      </c>
      <c r="U122" s="174">
        <f t="shared" si="100"/>
        <v>20400</v>
      </c>
      <c r="V122" s="178"/>
      <c r="W122" s="286">
        <f t="shared" si="97"/>
        <v>0</v>
      </c>
      <c r="X122" s="264"/>
      <c r="Y122" s="395"/>
      <c r="AA122" s="369"/>
      <c r="AB122" s="387"/>
      <c r="AC122" s="411"/>
      <c r="AD122" s="350"/>
    </row>
    <row r="123" spans="1:30" s="205" customFormat="1" x14ac:dyDescent="0.2">
      <c r="A123" s="177"/>
      <c r="B123" s="767" t="s">
        <v>0</v>
      </c>
      <c r="C123" s="768"/>
      <c r="D123" s="768" t="s">
        <v>0</v>
      </c>
      <c r="E123" s="768"/>
      <c r="F123" s="768"/>
      <c r="G123" s="768"/>
      <c r="H123" s="171">
        <f>SUM(H117:H122)</f>
        <v>168000</v>
      </c>
      <c r="I123" s="171"/>
      <c r="J123" s="171">
        <f>SUM(J117:J122)</f>
        <v>184694</v>
      </c>
      <c r="K123" s="605">
        <f>SUM(J123/H123)</f>
        <v>1.0993690476190476</v>
      </c>
      <c r="L123" s="171">
        <f>SUM(L117:L122)</f>
        <v>0</v>
      </c>
      <c r="M123" s="496"/>
      <c r="N123" s="497"/>
      <c r="O123" s="496"/>
      <c r="P123" s="171">
        <f>SUM(P117:P122)</f>
        <v>147600</v>
      </c>
      <c r="Q123" s="171"/>
      <c r="R123" s="171">
        <f t="shared" ref="R123" si="101">SUM(R117:R122)</f>
        <v>75000</v>
      </c>
      <c r="S123" s="606">
        <f t="shared" si="95"/>
        <v>0.50813008130081305</v>
      </c>
      <c r="T123" s="171"/>
      <c r="U123" s="171">
        <f>SUM(U117:U122)</f>
        <v>315600</v>
      </c>
      <c r="V123" s="664"/>
      <c r="W123" s="171">
        <f>SUM(W117:W122)</f>
        <v>0</v>
      </c>
      <c r="X123" s="665"/>
      <c r="Y123" s="343"/>
      <c r="AA123" s="368"/>
      <c r="AB123" s="386"/>
      <c r="AC123" s="410"/>
      <c r="AD123" s="41"/>
    </row>
    <row r="124" spans="1:30" s="205" customFormat="1" x14ac:dyDescent="0.2">
      <c r="A124" s="212" t="s">
        <v>44</v>
      </c>
      <c r="B124" s="176"/>
      <c r="C124" s="176"/>
      <c r="D124" s="176"/>
      <c r="E124" s="169"/>
      <c r="F124" s="170"/>
      <c r="G124" s="169"/>
      <c r="H124" s="662"/>
      <c r="I124" s="169"/>
      <c r="J124" s="169"/>
      <c r="K124" s="169"/>
      <c r="L124" s="170"/>
      <c r="M124" s="169"/>
      <c r="N124" s="170"/>
      <c r="O124" s="169"/>
      <c r="P124" s="662"/>
      <c r="Q124" s="169"/>
      <c r="R124" s="169"/>
      <c r="S124" s="169"/>
      <c r="T124" s="170"/>
      <c r="U124" s="170"/>
      <c r="V124" s="169"/>
      <c r="W124" s="170"/>
      <c r="X124" s="176"/>
      <c r="Y124" s="343"/>
      <c r="AA124" s="368"/>
      <c r="AB124" s="386"/>
      <c r="AC124" s="410"/>
      <c r="AD124" s="41"/>
    </row>
    <row r="125" spans="1:30" s="205" customFormat="1" ht="63.75" x14ac:dyDescent="0.2">
      <c r="A125" s="177"/>
      <c r="B125" s="177" t="s">
        <v>69</v>
      </c>
      <c r="C125" s="167" t="s">
        <v>17</v>
      </c>
      <c r="D125" s="176" t="s">
        <v>68</v>
      </c>
      <c r="E125" s="169">
        <v>1</v>
      </c>
      <c r="F125" s="174">
        <v>4500</v>
      </c>
      <c r="G125" s="169">
        <v>1</v>
      </c>
      <c r="H125" s="171">
        <f>E125*F125*G125</f>
        <v>4500</v>
      </c>
      <c r="I125" s="178"/>
      <c r="J125" s="676">
        <v>4500</v>
      </c>
      <c r="K125" s="172">
        <f t="shared" si="94"/>
        <v>1</v>
      </c>
      <c r="L125" s="198"/>
      <c r="M125" s="439">
        <v>1</v>
      </c>
      <c r="N125" s="477">
        <v>4500</v>
      </c>
      <c r="O125" s="439">
        <v>1</v>
      </c>
      <c r="P125" s="171">
        <f>M125*N125*O125</f>
        <v>4500</v>
      </c>
      <c r="Q125" s="197"/>
      <c r="R125" s="468"/>
      <c r="S125" s="591">
        <f t="shared" ref="S125:S138" si="102">SUM(R125/P125)</f>
        <v>0</v>
      </c>
      <c r="T125" s="198"/>
      <c r="U125" s="174">
        <f>P125+H125</f>
        <v>9000</v>
      </c>
      <c r="V125" s="197"/>
      <c r="W125" s="174">
        <f t="shared" ref="W125:W138" si="103">U125*V125</f>
        <v>0</v>
      </c>
      <c r="X125" s="209"/>
      <c r="Y125" s="343"/>
      <c r="AA125" s="368"/>
      <c r="AB125" s="386"/>
      <c r="AC125" s="410"/>
      <c r="AD125" s="41"/>
    </row>
    <row r="126" spans="1:30" s="267" customFormat="1" ht="15.75" customHeight="1" x14ac:dyDescent="0.2">
      <c r="A126" s="177"/>
      <c r="B126" s="177" t="s">
        <v>70</v>
      </c>
      <c r="C126" s="167" t="s">
        <v>17</v>
      </c>
      <c r="D126" s="264" t="s">
        <v>68</v>
      </c>
      <c r="E126" s="178">
        <v>1</v>
      </c>
      <c r="F126" s="174">
        <v>6000</v>
      </c>
      <c r="G126" s="178">
        <v>1</v>
      </c>
      <c r="H126" s="171">
        <f>E126*F126*G126</f>
        <v>6000</v>
      </c>
      <c r="I126" s="178"/>
      <c r="J126" s="676">
        <v>6000</v>
      </c>
      <c r="K126" s="172">
        <f t="shared" si="94"/>
        <v>1</v>
      </c>
      <c r="L126" s="198"/>
      <c r="M126" s="496">
        <v>1</v>
      </c>
      <c r="N126" s="497">
        <v>6000</v>
      </c>
      <c r="O126" s="496">
        <v>1</v>
      </c>
      <c r="P126" s="171">
        <f t="shared" ref="P126:P132" si="104">M126*N126*O126</f>
        <v>6000</v>
      </c>
      <c r="Q126" s="178"/>
      <c r="R126" s="468"/>
      <c r="S126" s="591">
        <f t="shared" si="102"/>
        <v>0</v>
      </c>
      <c r="T126" s="198"/>
      <c r="U126" s="174">
        <f t="shared" ref="U126:U138" si="105">P126+H126</f>
        <v>12000</v>
      </c>
      <c r="V126" s="178"/>
      <c r="W126" s="174">
        <f t="shared" si="103"/>
        <v>0</v>
      </c>
      <c r="X126" s="264"/>
      <c r="Y126" s="395"/>
      <c r="AA126" s="369"/>
      <c r="AB126" s="387"/>
      <c r="AC126" s="411"/>
      <c r="AD126" s="350"/>
    </row>
    <row r="127" spans="1:30" s="267" customFormat="1" ht="25.5" x14ac:dyDescent="0.2">
      <c r="A127" s="177"/>
      <c r="B127" s="177" t="s">
        <v>74</v>
      </c>
      <c r="C127" s="167" t="s">
        <v>36</v>
      </c>
      <c r="D127" s="264" t="s">
        <v>68</v>
      </c>
      <c r="E127" s="178">
        <v>1</v>
      </c>
      <c r="F127" s="174">
        <v>15000</v>
      </c>
      <c r="G127" s="178">
        <v>1</v>
      </c>
      <c r="H127" s="171">
        <f>E127*F127*G127</f>
        <v>15000</v>
      </c>
      <c r="I127" s="178"/>
      <c r="J127" s="676">
        <v>15000</v>
      </c>
      <c r="K127" s="172">
        <f t="shared" si="94"/>
        <v>1</v>
      </c>
      <c r="L127" s="198"/>
      <c r="M127" s="496">
        <v>1</v>
      </c>
      <c r="N127" s="497">
        <v>10800</v>
      </c>
      <c r="O127" s="496">
        <v>1</v>
      </c>
      <c r="P127" s="171">
        <f t="shared" si="104"/>
        <v>10800</v>
      </c>
      <c r="Q127" s="178"/>
      <c r="R127" s="468">
        <v>3600</v>
      </c>
      <c r="S127" s="591">
        <f t="shared" si="102"/>
        <v>0.33333333333333331</v>
      </c>
      <c r="T127" s="198"/>
      <c r="U127" s="174">
        <f t="shared" si="105"/>
        <v>25800</v>
      </c>
      <c r="V127" s="178"/>
      <c r="W127" s="174">
        <f t="shared" si="103"/>
        <v>0</v>
      </c>
      <c r="X127" s="264"/>
      <c r="Y127" s="395"/>
      <c r="AA127" s="369"/>
      <c r="AB127" s="387"/>
      <c r="AC127" s="411"/>
      <c r="AD127" s="350"/>
    </row>
    <row r="128" spans="1:30" s="267" customFormat="1" ht="14.25" customHeight="1" x14ac:dyDescent="0.2">
      <c r="A128" s="177"/>
      <c r="B128" s="20" t="s">
        <v>200</v>
      </c>
      <c r="C128" s="167"/>
      <c r="D128" s="264" t="s">
        <v>68</v>
      </c>
      <c r="E128" s="178"/>
      <c r="F128" s="174"/>
      <c r="G128" s="178"/>
      <c r="H128" s="171"/>
      <c r="I128" s="178"/>
      <c r="J128" s="676"/>
      <c r="K128" s="172"/>
      <c r="L128" s="198"/>
      <c r="M128" s="496"/>
      <c r="N128" s="497"/>
      <c r="O128" s="496"/>
      <c r="P128" s="171"/>
      <c r="Q128" s="178"/>
      <c r="R128" s="468"/>
      <c r="S128" s="591" t="e">
        <f t="shared" si="102"/>
        <v>#DIV/0!</v>
      </c>
      <c r="T128" s="198"/>
      <c r="U128" s="174"/>
      <c r="V128" s="178"/>
      <c r="W128" s="174">
        <f t="shared" si="103"/>
        <v>0</v>
      </c>
      <c r="X128" s="264"/>
      <c r="Y128" s="395" t="s">
        <v>266</v>
      </c>
      <c r="AA128" s="369"/>
      <c r="AB128" s="387"/>
      <c r="AC128" s="411"/>
      <c r="AD128" s="350"/>
    </row>
    <row r="129" spans="1:30" s="267" customFormat="1" ht="15" customHeight="1" x14ac:dyDescent="0.2">
      <c r="A129" s="177"/>
      <c r="B129" s="177" t="s">
        <v>78</v>
      </c>
      <c r="C129" s="167" t="s">
        <v>30</v>
      </c>
      <c r="D129" s="264" t="s">
        <v>68</v>
      </c>
      <c r="E129" s="178">
        <v>1</v>
      </c>
      <c r="F129" s="174">
        <v>10000</v>
      </c>
      <c r="G129" s="178">
        <v>1</v>
      </c>
      <c r="H129" s="171">
        <f>E129*F129*G129</f>
        <v>10000</v>
      </c>
      <c r="I129" s="178"/>
      <c r="J129" s="676">
        <v>10000</v>
      </c>
      <c r="K129" s="172">
        <f t="shared" si="94"/>
        <v>1</v>
      </c>
      <c r="L129" s="198"/>
      <c r="M129" s="496"/>
      <c r="N129" s="497"/>
      <c r="O129" s="496"/>
      <c r="P129" s="171">
        <f t="shared" si="104"/>
        <v>0</v>
      </c>
      <c r="Q129" s="178"/>
      <c r="R129" s="468"/>
      <c r="S129" s="591" t="e">
        <f t="shared" si="102"/>
        <v>#DIV/0!</v>
      </c>
      <c r="T129" s="198"/>
      <c r="U129" s="174">
        <f t="shared" si="105"/>
        <v>10000</v>
      </c>
      <c r="V129" s="178"/>
      <c r="W129" s="174">
        <f t="shared" si="103"/>
        <v>0</v>
      </c>
      <c r="X129" s="264"/>
      <c r="Y129" s="395"/>
      <c r="AA129" s="369"/>
      <c r="AB129" s="387"/>
      <c r="AC129" s="411"/>
      <c r="AD129" s="350"/>
    </row>
    <row r="130" spans="1:30" s="267" customFormat="1" ht="15" customHeight="1" x14ac:dyDescent="0.2">
      <c r="A130" s="177"/>
      <c r="B130" s="177" t="s">
        <v>145</v>
      </c>
      <c r="C130" s="167" t="s">
        <v>30</v>
      </c>
      <c r="D130" s="264" t="s">
        <v>89</v>
      </c>
      <c r="E130" s="178">
        <v>1</v>
      </c>
      <c r="F130" s="174">
        <v>900</v>
      </c>
      <c r="G130" s="178">
        <v>1</v>
      </c>
      <c r="H130" s="171">
        <f t="shared" ref="H130:H138" si="106">E130*F130*G130</f>
        <v>900</v>
      </c>
      <c r="I130" s="178"/>
      <c r="J130" s="676">
        <v>900</v>
      </c>
      <c r="K130" s="172">
        <f t="shared" si="94"/>
        <v>1</v>
      </c>
      <c r="L130" s="198"/>
      <c r="M130" s="496"/>
      <c r="N130" s="497"/>
      <c r="O130" s="496"/>
      <c r="P130" s="171">
        <f t="shared" si="104"/>
        <v>0</v>
      </c>
      <c r="Q130" s="178"/>
      <c r="R130" s="468"/>
      <c r="S130" s="591" t="e">
        <f t="shared" si="102"/>
        <v>#DIV/0!</v>
      </c>
      <c r="T130" s="198"/>
      <c r="U130" s="174">
        <f t="shared" si="105"/>
        <v>900</v>
      </c>
      <c r="V130" s="178"/>
      <c r="W130" s="174">
        <f t="shared" si="103"/>
        <v>0</v>
      </c>
      <c r="X130" s="264"/>
      <c r="Y130" s="395"/>
      <c r="AA130" s="369"/>
      <c r="AB130" s="387"/>
      <c r="AC130" s="411"/>
      <c r="AD130" s="350"/>
    </row>
    <row r="131" spans="1:30" s="267" customFormat="1" ht="15.75" customHeight="1" x14ac:dyDescent="0.2">
      <c r="A131" s="177"/>
      <c r="B131" s="177" t="s">
        <v>146</v>
      </c>
      <c r="C131" s="167" t="s">
        <v>30</v>
      </c>
      <c r="D131" s="264" t="s">
        <v>89</v>
      </c>
      <c r="E131" s="178">
        <v>1</v>
      </c>
      <c r="F131" s="174">
        <v>1200</v>
      </c>
      <c r="G131" s="178">
        <v>1</v>
      </c>
      <c r="H131" s="171">
        <f t="shared" si="106"/>
        <v>1200</v>
      </c>
      <c r="I131" s="178"/>
      <c r="J131" s="676">
        <v>1200</v>
      </c>
      <c r="K131" s="172">
        <f t="shared" si="94"/>
        <v>1</v>
      </c>
      <c r="L131" s="198"/>
      <c r="M131" s="496"/>
      <c r="N131" s="497"/>
      <c r="O131" s="496"/>
      <c r="P131" s="171">
        <f t="shared" si="104"/>
        <v>0</v>
      </c>
      <c r="Q131" s="178"/>
      <c r="R131" s="468"/>
      <c r="S131" s="591" t="e">
        <f t="shared" si="102"/>
        <v>#DIV/0!</v>
      </c>
      <c r="T131" s="198"/>
      <c r="U131" s="174">
        <f t="shared" si="105"/>
        <v>1200</v>
      </c>
      <c r="V131" s="178"/>
      <c r="W131" s="174">
        <f t="shared" si="103"/>
        <v>0</v>
      </c>
      <c r="X131" s="264"/>
      <c r="Y131" s="395"/>
      <c r="AA131" s="369"/>
      <c r="AB131" s="387"/>
      <c r="AC131" s="411"/>
      <c r="AD131" s="350"/>
    </row>
    <row r="132" spans="1:30" s="267" customFormat="1" ht="15" customHeight="1" x14ac:dyDescent="0.2">
      <c r="A132" s="177"/>
      <c r="B132" s="177" t="s">
        <v>147</v>
      </c>
      <c r="C132" s="167" t="s">
        <v>30</v>
      </c>
      <c r="D132" s="264" t="s">
        <v>89</v>
      </c>
      <c r="E132" s="178">
        <v>1</v>
      </c>
      <c r="F132" s="174">
        <v>0</v>
      </c>
      <c r="G132" s="178">
        <v>1</v>
      </c>
      <c r="H132" s="171">
        <f t="shared" si="106"/>
        <v>0</v>
      </c>
      <c r="I132" s="178"/>
      <c r="J132" s="676"/>
      <c r="K132" s="172"/>
      <c r="L132" s="198"/>
      <c r="M132" s="439"/>
      <c r="N132" s="477"/>
      <c r="O132" s="439"/>
      <c r="P132" s="171">
        <f t="shared" si="104"/>
        <v>0</v>
      </c>
      <c r="Q132" s="178"/>
      <c r="R132" s="468"/>
      <c r="S132" s="591" t="e">
        <f t="shared" si="102"/>
        <v>#DIV/0!</v>
      </c>
      <c r="T132" s="198"/>
      <c r="U132" s="174">
        <f t="shared" si="105"/>
        <v>0</v>
      </c>
      <c r="V132" s="178"/>
      <c r="W132" s="174">
        <f t="shared" si="103"/>
        <v>0</v>
      </c>
      <c r="X132" s="264"/>
      <c r="Y132" s="395"/>
      <c r="AA132" s="369"/>
      <c r="AB132" s="387"/>
      <c r="AC132" s="411"/>
      <c r="AD132" s="350"/>
    </row>
    <row r="133" spans="1:30" s="205" customFormat="1" ht="18.75" customHeight="1" x14ac:dyDescent="0.2">
      <c r="A133" s="177"/>
      <c r="B133" s="177" t="s">
        <v>108</v>
      </c>
      <c r="C133" s="167" t="s">
        <v>17</v>
      </c>
      <c r="D133" s="176" t="s">
        <v>89</v>
      </c>
      <c r="E133" s="169">
        <v>1</v>
      </c>
      <c r="F133" s="170">
        <v>3000</v>
      </c>
      <c r="G133" s="169">
        <v>1</v>
      </c>
      <c r="H133" s="171">
        <f t="shared" si="106"/>
        <v>3000</v>
      </c>
      <c r="I133" s="169"/>
      <c r="J133" s="677">
        <v>3000</v>
      </c>
      <c r="K133" s="172">
        <f t="shared" si="94"/>
        <v>1</v>
      </c>
      <c r="L133" s="170"/>
      <c r="M133" s="439">
        <v>1</v>
      </c>
      <c r="N133" s="477">
        <v>2950</v>
      </c>
      <c r="O133" s="439">
        <v>1</v>
      </c>
      <c r="P133" s="171">
        <f t="shared" ref="P133:P138" si="107">SUM(N133*M133*O133)</f>
        <v>2950</v>
      </c>
      <c r="Q133" s="197"/>
      <c r="R133" s="468"/>
      <c r="S133" s="591">
        <f t="shared" si="102"/>
        <v>0</v>
      </c>
      <c r="T133" s="174"/>
      <c r="U133" s="174">
        <f t="shared" si="105"/>
        <v>5950</v>
      </c>
      <c r="V133" s="197"/>
      <c r="W133" s="174">
        <f t="shared" si="103"/>
        <v>0</v>
      </c>
      <c r="X133" s="209"/>
      <c r="Y133" s="343"/>
      <c r="AA133" s="368"/>
      <c r="AB133" s="386"/>
      <c r="AC133" s="410"/>
      <c r="AD133" s="41"/>
    </row>
    <row r="134" spans="1:30" s="205" customFormat="1" ht="18.75" customHeight="1" x14ac:dyDescent="0.2">
      <c r="A134" s="177"/>
      <c r="B134" s="177" t="s">
        <v>151</v>
      </c>
      <c r="C134" s="167" t="s">
        <v>15</v>
      </c>
      <c r="D134" s="264" t="s">
        <v>89</v>
      </c>
      <c r="E134" s="178">
        <v>2</v>
      </c>
      <c r="F134" s="198">
        <v>400</v>
      </c>
      <c r="G134" s="178">
        <v>12</v>
      </c>
      <c r="H134" s="171">
        <f t="shared" si="106"/>
        <v>9600</v>
      </c>
      <c r="I134" s="178"/>
      <c r="J134" s="676">
        <v>9600</v>
      </c>
      <c r="K134" s="172">
        <f t="shared" si="94"/>
        <v>1</v>
      </c>
      <c r="L134" s="198"/>
      <c r="M134" s="496">
        <v>2</v>
      </c>
      <c r="N134" s="497">
        <v>400</v>
      </c>
      <c r="O134" s="496">
        <v>12</v>
      </c>
      <c r="P134" s="171">
        <f t="shared" si="107"/>
        <v>9600</v>
      </c>
      <c r="Q134" s="178"/>
      <c r="R134" s="468">
        <v>1200</v>
      </c>
      <c r="S134" s="591">
        <f t="shared" si="102"/>
        <v>0.125</v>
      </c>
      <c r="T134" s="198"/>
      <c r="U134" s="174">
        <f t="shared" si="105"/>
        <v>19200</v>
      </c>
      <c r="V134" s="178"/>
      <c r="W134" s="174">
        <f t="shared" si="103"/>
        <v>0</v>
      </c>
      <c r="X134" s="264"/>
      <c r="Y134" s="343"/>
      <c r="AA134" s="368"/>
      <c r="AB134" s="386"/>
      <c r="AC134" s="410"/>
      <c r="AD134" s="41"/>
    </row>
    <row r="135" spans="1:30" s="205" customFormat="1" ht="21.75" customHeight="1" x14ac:dyDescent="0.2">
      <c r="A135" s="177"/>
      <c r="B135" s="177" t="s">
        <v>152</v>
      </c>
      <c r="C135" s="167" t="s">
        <v>17</v>
      </c>
      <c r="D135" s="264" t="s">
        <v>89</v>
      </c>
      <c r="E135" s="178">
        <v>1</v>
      </c>
      <c r="F135" s="198">
        <v>1400</v>
      </c>
      <c r="G135" s="178">
        <v>1</v>
      </c>
      <c r="H135" s="171">
        <f t="shared" si="106"/>
        <v>1400</v>
      </c>
      <c r="I135" s="178"/>
      <c r="J135" s="676">
        <v>1396</v>
      </c>
      <c r="K135" s="172">
        <f t="shared" si="94"/>
        <v>0.99714285714285711</v>
      </c>
      <c r="L135" s="198"/>
      <c r="M135" s="496">
        <v>1</v>
      </c>
      <c r="N135" s="497">
        <v>1400</v>
      </c>
      <c r="O135" s="496">
        <v>1</v>
      </c>
      <c r="P135" s="171">
        <f t="shared" si="107"/>
        <v>1400</v>
      </c>
      <c r="Q135" s="178"/>
      <c r="R135" s="468"/>
      <c r="S135" s="591">
        <f t="shared" si="102"/>
        <v>0</v>
      </c>
      <c r="T135" s="198"/>
      <c r="U135" s="174">
        <f t="shared" si="105"/>
        <v>2800</v>
      </c>
      <c r="V135" s="178"/>
      <c r="W135" s="174">
        <f t="shared" si="103"/>
        <v>0</v>
      </c>
      <c r="X135" s="264"/>
      <c r="Y135" s="343"/>
      <c r="AA135" s="368"/>
      <c r="AB135" s="386"/>
      <c r="AC135" s="410"/>
      <c r="AD135" s="41"/>
    </row>
    <row r="136" spans="1:30" s="205" customFormat="1" ht="21.75" customHeight="1" x14ac:dyDescent="0.2">
      <c r="A136" s="177"/>
      <c r="B136" s="177" t="s">
        <v>111</v>
      </c>
      <c r="C136" s="167" t="s">
        <v>17</v>
      </c>
      <c r="D136" s="264" t="s">
        <v>104</v>
      </c>
      <c r="E136" s="178">
        <v>1</v>
      </c>
      <c r="F136" s="198">
        <v>2500</v>
      </c>
      <c r="G136" s="178">
        <v>12</v>
      </c>
      <c r="H136" s="171">
        <f t="shared" si="106"/>
        <v>30000</v>
      </c>
      <c r="I136" s="178"/>
      <c r="J136" s="678">
        <v>30000</v>
      </c>
      <c r="K136" s="172">
        <f t="shared" si="94"/>
        <v>1</v>
      </c>
      <c r="L136" s="198"/>
      <c r="M136" s="496">
        <v>0</v>
      </c>
      <c r="N136" s="497">
        <v>0</v>
      </c>
      <c r="O136" s="496">
        <v>0</v>
      </c>
      <c r="P136" s="171">
        <f t="shared" si="107"/>
        <v>0</v>
      </c>
      <c r="Q136" s="178"/>
      <c r="R136" s="468">
        <v>0</v>
      </c>
      <c r="S136" s="591" t="e">
        <f t="shared" si="102"/>
        <v>#DIV/0!</v>
      </c>
      <c r="T136" s="198"/>
      <c r="U136" s="174">
        <f t="shared" si="105"/>
        <v>30000</v>
      </c>
      <c r="V136" s="178"/>
      <c r="W136" s="174">
        <f t="shared" si="103"/>
        <v>0</v>
      </c>
      <c r="X136" s="264"/>
      <c r="Y136" s="343"/>
      <c r="AA136" s="368"/>
      <c r="AB136" s="386"/>
      <c r="AC136" s="410"/>
      <c r="AD136" s="41"/>
    </row>
    <row r="137" spans="1:30" s="205" customFormat="1" ht="21" customHeight="1" x14ac:dyDescent="0.2">
      <c r="A137" s="177"/>
      <c r="B137" s="177" t="s">
        <v>180</v>
      </c>
      <c r="C137" s="167" t="s">
        <v>17</v>
      </c>
      <c r="D137" s="176" t="s">
        <v>89</v>
      </c>
      <c r="E137" s="169">
        <v>1</v>
      </c>
      <c r="F137" s="170">
        <v>500</v>
      </c>
      <c r="G137" s="169">
        <v>12</v>
      </c>
      <c r="H137" s="171">
        <f t="shared" si="106"/>
        <v>6000</v>
      </c>
      <c r="I137" s="169"/>
      <c r="J137" s="677">
        <v>6000</v>
      </c>
      <c r="K137" s="172">
        <f t="shared" si="94"/>
        <v>1</v>
      </c>
      <c r="L137" s="170"/>
      <c r="M137" s="439">
        <v>1</v>
      </c>
      <c r="N137" s="477">
        <v>500</v>
      </c>
      <c r="O137" s="439">
        <v>12</v>
      </c>
      <c r="P137" s="171">
        <f t="shared" si="107"/>
        <v>6000</v>
      </c>
      <c r="Q137" s="197"/>
      <c r="R137" s="468">
        <v>6000</v>
      </c>
      <c r="S137" s="591">
        <f t="shared" si="102"/>
        <v>1</v>
      </c>
      <c r="T137" s="174"/>
      <c r="U137" s="174">
        <f t="shared" si="105"/>
        <v>12000</v>
      </c>
      <c r="V137" s="197"/>
      <c r="W137" s="174">
        <f t="shared" si="103"/>
        <v>0</v>
      </c>
      <c r="X137" s="209"/>
      <c r="Y137" s="343"/>
      <c r="AA137" s="368"/>
      <c r="AB137" s="386"/>
      <c r="AC137" s="410"/>
      <c r="AD137" s="41"/>
    </row>
    <row r="138" spans="1:30" s="205" customFormat="1" ht="25.5" x14ac:dyDescent="0.2">
      <c r="A138" s="177"/>
      <c r="B138" s="177" t="s">
        <v>109</v>
      </c>
      <c r="C138" s="167" t="s">
        <v>30</v>
      </c>
      <c r="D138" s="264" t="s">
        <v>89</v>
      </c>
      <c r="E138" s="178">
        <v>2</v>
      </c>
      <c r="F138" s="198">
        <v>1500</v>
      </c>
      <c r="G138" s="178">
        <v>1</v>
      </c>
      <c r="H138" s="171">
        <f t="shared" si="106"/>
        <v>3000</v>
      </c>
      <c r="I138" s="178"/>
      <c r="J138" s="676">
        <v>3000</v>
      </c>
      <c r="K138" s="172">
        <f t="shared" si="94"/>
        <v>1</v>
      </c>
      <c r="L138" s="198"/>
      <c r="M138" s="496">
        <v>1</v>
      </c>
      <c r="N138" s="497">
        <v>0</v>
      </c>
      <c r="O138" s="496">
        <v>0</v>
      </c>
      <c r="P138" s="171">
        <f t="shared" si="107"/>
        <v>0</v>
      </c>
      <c r="Q138" s="178"/>
      <c r="R138" s="468"/>
      <c r="S138" s="591" t="e">
        <f t="shared" si="102"/>
        <v>#DIV/0!</v>
      </c>
      <c r="T138" s="198"/>
      <c r="U138" s="174">
        <f t="shared" si="105"/>
        <v>3000</v>
      </c>
      <c r="V138" s="178"/>
      <c r="W138" s="174">
        <f t="shared" si="103"/>
        <v>0</v>
      </c>
      <c r="X138" s="264"/>
      <c r="Y138" s="343"/>
      <c r="AA138" s="368"/>
      <c r="AB138" s="386"/>
      <c r="AC138" s="410"/>
      <c r="AD138" s="41"/>
    </row>
    <row r="139" spans="1:30" s="205" customFormat="1" x14ac:dyDescent="0.2">
      <c r="A139" s="177"/>
      <c r="B139" s="768"/>
      <c r="C139" s="768"/>
      <c r="D139" s="768" t="s">
        <v>0</v>
      </c>
      <c r="E139" s="768"/>
      <c r="F139" s="768"/>
      <c r="G139" s="768"/>
      <c r="H139" s="171">
        <f>SUM(H125:H138)</f>
        <v>90600</v>
      </c>
      <c r="I139" s="171">
        <f>SUM(I125:I138)</f>
        <v>0</v>
      </c>
      <c r="J139" s="171">
        <f>SUM(J125:J138)</f>
        <v>90596</v>
      </c>
      <c r="K139" s="172">
        <f>SUM(J139/H139)</f>
        <v>0.99995584988962471</v>
      </c>
      <c r="L139" s="171"/>
      <c r="M139" s="664"/>
      <c r="N139" s="171"/>
      <c r="O139" s="664"/>
      <c r="P139" s="171">
        <f>SUM(P125:P138)</f>
        <v>41250</v>
      </c>
      <c r="Q139" s="606"/>
      <c r="R139" s="679">
        <f>SUM(R125:R138)</f>
        <v>10800</v>
      </c>
      <c r="S139" s="606"/>
      <c r="T139" s="171"/>
      <c r="U139" s="171">
        <f>SUM(U125:U138)</f>
        <v>131850</v>
      </c>
      <c r="V139" s="664"/>
      <c r="W139" s="171">
        <f>SUM(W125:W138)</f>
        <v>0</v>
      </c>
      <c r="X139" s="665"/>
      <c r="Y139" s="343"/>
      <c r="AA139" s="368"/>
      <c r="AB139" s="386"/>
      <c r="AC139" s="410"/>
      <c r="AD139" s="41"/>
    </row>
    <row r="140" spans="1:30" s="205" customFormat="1" x14ac:dyDescent="0.2">
      <c r="A140" s="212" t="s">
        <v>45</v>
      </c>
      <c r="B140" s="176"/>
      <c r="C140" s="176"/>
      <c r="D140" s="176"/>
      <c r="E140" s="169"/>
      <c r="F140" s="170"/>
      <c r="G140" s="169"/>
      <c r="H140" s="662"/>
      <c r="I140" s="169"/>
      <c r="J140" s="169"/>
      <c r="K140" s="170"/>
      <c r="L140" s="170"/>
      <c r="M140" s="169"/>
      <c r="N140" s="170"/>
      <c r="O140" s="169"/>
      <c r="P140" s="662"/>
      <c r="Q140" s="169"/>
      <c r="R140" s="680"/>
      <c r="S140" s="169"/>
      <c r="T140" s="170"/>
      <c r="U140" s="170"/>
      <c r="V140" s="169"/>
      <c r="W140" s="170"/>
      <c r="X140" s="176"/>
      <c r="Y140" s="343"/>
      <c r="AA140" s="368"/>
      <c r="AB140" s="386"/>
      <c r="AC140" s="410"/>
      <c r="AD140" s="41"/>
    </row>
    <row r="141" spans="1:30" s="205" customFormat="1" ht="25.5" x14ac:dyDescent="0.2">
      <c r="A141" s="177"/>
      <c r="B141" s="177" t="s">
        <v>72</v>
      </c>
      <c r="C141" s="167" t="s">
        <v>30</v>
      </c>
      <c r="D141" s="264" t="s">
        <v>68</v>
      </c>
      <c r="E141" s="178">
        <v>1</v>
      </c>
      <c r="F141" s="174">
        <v>5000</v>
      </c>
      <c r="G141" s="178">
        <v>1</v>
      </c>
      <c r="H141" s="171">
        <f>E141*F141*G141</f>
        <v>5000</v>
      </c>
      <c r="I141" s="169"/>
      <c r="J141" s="681">
        <v>3497</v>
      </c>
      <c r="K141" s="172">
        <f t="shared" si="94"/>
        <v>0.69940000000000002</v>
      </c>
      <c r="L141" s="170"/>
      <c r="M141" s="169"/>
      <c r="N141" s="174"/>
      <c r="O141" s="175"/>
      <c r="P141" s="171">
        <f>M141*N141*O141</f>
        <v>0</v>
      </c>
      <c r="Q141" s="197"/>
      <c r="R141" s="468"/>
      <c r="S141" s="591" t="e">
        <f t="shared" ref="S141:S180" si="108">SUM(R141/P141)</f>
        <v>#DIV/0!</v>
      </c>
      <c r="T141" s="174"/>
      <c r="U141" s="174">
        <f>P141+H141</f>
        <v>5000</v>
      </c>
      <c r="V141" s="197"/>
      <c r="W141" s="174">
        <f t="shared" ref="W141:W146" si="109">U141*V141</f>
        <v>0</v>
      </c>
      <c r="X141" s="176"/>
      <c r="Y141" s="392"/>
      <c r="AA141" s="368"/>
      <c r="AB141" s="386"/>
      <c r="AC141" s="410"/>
      <c r="AD141" s="41"/>
    </row>
    <row r="142" spans="1:30" s="205" customFormat="1" ht="38.25" x14ac:dyDescent="0.2">
      <c r="A142" s="177"/>
      <c r="B142" s="177" t="s">
        <v>73</v>
      </c>
      <c r="C142" s="167" t="s">
        <v>30</v>
      </c>
      <c r="D142" s="264" t="s">
        <v>68</v>
      </c>
      <c r="E142" s="178">
        <v>3</v>
      </c>
      <c r="F142" s="174">
        <v>800</v>
      </c>
      <c r="G142" s="178">
        <v>1</v>
      </c>
      <c r="H142" s="171">
        <f>E142*F142*G142</f>
        <v>2400</v>
      </c>
      <c r="I142" s="169"/>
      <c r="J142" s="681">
        <v>4050</v>
      </c>
      <c r="K142" s="605">
        <f t="shared" si="94"/>
        <v>1.6875</v>
      </c>
      <c r="L142" s="170"/>
      <c r="M142" s="439"/>
      <c r="N142" s="443"/>
      <c r="O142" s="444"/>
      <c r="P142" s="171">
        <f t="shared" ref="P142:P145" si="110">M142*N142*O142</f>
        <v>0</v>
      </c>
      <c r="Q142" s="197"/>
      <c r="R142" s="468"/>
      <c r="S142" s="591" t="e">
        <f t="shared" si="108"/>
        <v>#DIV/0!</v>
      </c>
      <c r="T142" s="174"/>
      <c r="U142" s="174">
        <f t="shared" ref="U142:U145" si="111">P142+H142</f>
        <v>2400</v>
      </c>
      <c r="V142" s="197"/>
      <c r="W142" s="174">
        <f t="shared" si="109"/>
        <v>0</v>
      </c>
      <c r="X142" s="176" t="s">
        <v>255</v>
      </c>
      <c r="Y142" s="343"/>
      <c r="AA142" s="368"/>
      <c r="AB142" s="386"/>
      <c r="AC142" s="410"/>
      <c r="AD142" s="41"/>
    </row>
    <row r="143" spans="1:30" s="205" customFormat="1" x14ac:dyDescent="0.2">
      <c r="A143" s="177"/>
      <c r="B143" s="20" t="s">
        <v>199</v>
      </c>
      <c r="C143" s="167"/>
      <c r="D143" s="264" t="s">
        <v>68</v>
      </c>
      <c r="E143" s="178"/>
      <c r="F143" s="174"/>
      <c r="G143" s="178"/>
      <c r="H143" s="171"/>
      <c r="I143" s="169"/>
      <c r="J143" s="682"/>
      <c r="K143" s="172"/>
      <c r="L143" s="170"/>
      <c r="M143" s="439"/>
      <c r="N143" s="443"/>
      <c r="O143" s="444"/>
      <c r="P143" s="171"/>
      <c r="Q143" s="197"/>
      <c r="R143" s="468"/>
      <c r="S143" s="591" t="e">
        <f t="shared" si="108"/>
        <v>#DIV/0!</v>
      </c>
      <c r="T143" s="174"/>
      <c r="U143" s="174"/>
      <c r="V143" s="197"/>
      <c r="W143" s="174">
        <f t="shared" si="109"/>
        <v>0</v>
      </c>
      <c r="X143" s="209"/>
      <c r="Y143" s="395" t="s">
        <v>266</v>
      </c>
      <c r="AA143" s="368"/>
      <c r="AB143" s="386"/>
      <c r="AC143" s="410"/>
      <c r="AD143" s="41"/>
    </row>
    <row r="144" spans="1:30" s="205" customFormat="1" ht="25.5" x14ac:dyDescent="0.2">
      <c r="A144" s="177"/>
      <c r="B144" s="177" t="s">
        <v>77</v>
      </c>
      <c r="C144" s="167" t="s">
        <v>30</v>
      </c>
      <c r="D144" s="264" t="s">
        <v>68</v>
      </c>
      <c r="E144" s="178">
        <v>1</v>
      </c>
      <c r="F144" s="174">
        <v>2000</v>
      </c>
      <c r="G144" s="178">
        <v>1</v>
      </c>
      <c r="H144" s="171">
        <f>E144*F144*G144</f>
        <v>2000</v>
      </c>
      <c r="I144" s="169"/>
      <c r="J144" s="682">
        <v>1850</v>
      </c>
      <c r="K144" s="172">
        <f t="shared" si="94"/>
        <v>0.92500000000000004</v>
      </c>
      <c r="L144" s="170"/>
      <c r="M144" s="439"/>
      <c r="N144" s="443"/>
      <c r="O144" s="444"/>
      <c r="P144" s="171">
        <f t="shared" si="110"/>
        <v>0</v>
      </c>
      <c r="Q144" s="197"/>
      <c r="R144" s="468"/>
      <c r="S144" s="591" t="e">
        <f t="shared" si="108"/>
        <v>#DIV/0!</v>
      </c>
      <c r="T144" s="174"/>
      <c r="U144" s="174">
        <f t="shared" si="111"/>
        <v>2000</v>
      </c>
      <c r="V144" s="197"/>
      <c r="W144" s="174">
        <f t="shared" si="109"/>
        <v>0</v>
      </c>
      <c r="X144" s="209"/>
      <c r="Y144" s="343"/>
      <c r="AA144" s="368"/>
      <c r="AB144" s="386"/>
      <c r="AC144" s="410"/>
      <c r="AD144" s="41"/>
    </row>
    <row r="145" spans="1:30" s="267" customFormat="1" ht="25.5" x14ac:dyDescent="0.2">
      <c r="A145" s="177"/>
      <c r="B145" s="177" t="s">
        <v>111</v>
      </c>
      <c r="C145" s="167" t="s">
        <v>30</v>
      </c>
      <c r="D145" s="264" t="s">
        <v>104</v>
      </c>
      <c r="E145" s="178">
        <v>1</v>
      </c>
      <c r="F145" s="174">
        <v>0</v>
      </c>
      <c r="G145" s="178">
        <v>12</v>
      </c>
      <c r="H145" s="171">
        <f t="shared" ref="H145" si="112">E145*F145*G145</f>
        <v>0</v>
      </c>
      <c r="I145" s="178"/>
      <c r="J145" s="681"/>
      <c r="K145" s="172"/>
      <c r="L145" s="198"/>
      <c r="M145" s="498"/>
      <c r="N145" s="499"/>
      <c r="O145" s="498"/>
      <c r="P145" s="171">
        <f t="shared" si="110"/>
        <v>0</v>
      </c>
      <c r="Q145" s="178"/>
      <c r="R145" s="468"/>
      <c r="S145" s="591" t="e">
        <f t="shared" si="108"/>
        <v>#DIV/0!</v>
      </c>
      <c r="T145" s="198"/>
      <c r="U145" s="174">
        <f t="shared" si="111"/>
        <v>0</v>
      </c>
      <c r="V145" s="178"/>
      <c r="W145" s="174">
        <f t="shared" si="109"/>
        <v>0</v>
      </c>
      <c r="X145" s="264"/>
      <c r="Y145" s="395"/>
      <c r="AA145" s="369"/>
      <c r="AB145" s="387"/>
      <c r="AC145" s="411"/>
      <c r="AD145" s="350"/>
    </row>
    <row r="146" spans="1:30" s="267" customFormat="1" ht="25.5" x14ac:dyDescent="0.2">
      <c r="A146" s="177"/>
      <c r="B146" s="177" t="s">
        <v>150</v>
      </c>
      <c r="C146" s="167" t="s">
        <v>30</v>
      </c>
      <c r="D146" s="176" t="s">
        <v>89</v>
      </c>
      <c r="E146" s="169">
        <v>1</v>
      </c>
      <c r="F146" s="170">
        <v>1000</v>
      </c>
      <c r="G146" s="169">
        <v>1</v>
      </c>
      <c r="H146" s="171">
        <f>E146*F146*G146</f>
        <v>1000</v>
      </c>
      <c r="I146" s="169"/>
      <c r="J146" s="682">
        <v>1000</v>
      </c>
      <c r="K146" s="172">
        <f t="shared" si="94"/>
        <v>1</v>
      </c>
      <c r="L146" s="170"/>
      <c r="M146" s="439">
        <v>1</v>
      </c>
      <c r="N146" s="477">
        <v>0</v>
      </c>
      <c r="O146" s="439">
        <v>0</v>
      </c>
      <c r="P146" s="171">
        <f>SUM(N146*M146*O146)</f>
        <v>0</v>
      </c>
      <c r="Q146" s="197"/>
      <c r="R146" s="468"/>
      <c r="S146" s="591" t="e">
        <f t="shared" si="108"/>
        <v>#DIV/0!</v>
      </c>
      <c r="T146" s="174"/>
      <c r="U146" s="174">
        <f>P146+H146</f>
        <v>1000</v>
      </c>
      <c r="V146" s="197"/>
      <c r="W146" s="174">
        <f t="shared" si="109"/>
        <v>0</v>
      </c>
      <c r="X146" s="209"/>
      <c r="Y146" s="395"/>
      <c r="AA146" s="369"/>
      <c r="AB146" s="387"/>
      <c r="AC146" s="411"/>
      <c r="AD146" s="350"/>
    </row>
    <row r="147" spans="1:30" s="205" customFormat="1" x14ac:dyDescent="0.2">
      <c r="A147" s="177"/>
      <c r="B147" s="768"/>
      <c r="C147" s="768"/>
      <c r="D147" s="768" t="s">
        <v>0</v>
      </c>
      <c r="E147" s="768"/>
      <c r="F147" s="768"/>
      <c r="G147" s="768"/>
      <c r="H147" s="171">
        <f>SUM(H141:H146)</f>
        <v>10400</v>
      </c>
      <c r="I147" s="171">
        <f>SUM(I141:I146)</f>
        <v>0</v>
      </c>
      <c r="J147" s="171">
        <f>SUM(J141:J146)</f>
        <v>10397</v>
      </c>
      <c r="K147" s="172">
        <f>SUM(J147/H147)</f>
        <v>0.99971153846153848</v>
      </c>
      <c r="L147" s="171"/>
      <c r="M147" s="664"/>
      <c r="N147" s="171"/>
      <c r="O147" s="664"/>
      <c r="P147" s="171">
        <f>SUM(P141:P146)</f>
        <v>0</v>
      </c>
      <c r="Q147" s="171"/>
      <c r="R147" s="171">
        <f>SUM(R141:R146)</f>
        <v>0</v>
      </c>
      <c r="S147" s="591" t="e">
        <f t="shared" si="108"/>
        <v>#DIV/0!</v>
      </c>
      <c r="T147" s="171">
        <f>SUM(T141:T144)</f>
        <v>0</v>
      </c>
      <c r="U147" s="171">
        <f>SUM(U141:U146)</f>
        <v>10400</v>
      </c>
      <c r="V147" s="664"/>
      <c r="W147" s="171">
        <f>SUM(W141:W146)</f>
        <v>0</v>
      </c>
      <c r="X147" s="665"/>
      <c r="Y147" s="343"/>
      <c r="AA147" s="368"/>
      <c r="AB147" s="386"/>
      <c r="AC147" s="410"/>
      <c r="AD147" s="41"/>
    </row>
    <row r="148" spans="1:30" s="205" customFormat="1" x14ac:dyDescent="0.2">
      <c r="A148" s="212" t="s">
        <v>46</v>
      </c>
      <c r="B148" s="176"/>
      <c r="C148" s="176"/>
      <c r="D148" s="176"/>
      <c r="E148" s="169"/>
      <c r="F148" s="170"/>
      <c r="G148" s="169"/>
      <c r="H148" s="662"/>
      <c r="I148" s="169"/>
      <c r="J148" s="169"/>
      <c r="K148" s="170"/>
      <c r="L148" s="170"/>
      <c r="M148" s="169"/>
      <c r="N148" s="170"/>
      <c r="O148" s="169"/>
      <c r="P148" s="662"/>
      <c r="Q148" s="169"/>
      <c r="R148" s="680"/>
      <c r="S148" s="170"/>
      <c r="T148" s="170"/>
      <c r="U148" s="170"/>
      <c r="V148" s="169"/>
      <c r="W148" s="170"/>
      <c r="X148" s="176"/>
      <c r="Y148" s="343"/>
      <c r="AA148" s="368"/>
      <c r="AB148" s="386"/>
      <c r="AC148" s="410"/>
      <c r="AD148" s="41"/>
    </row>
    <row r="149" spans="1:30" s="205" customFormat="1" ht="25.5" x14ac:dyDescent="0.2">
      <c r="A149" s="177"/>
      <c r="B149" s="177" t="s">
        <v>76</v>
      </c>
      <c r="C149" s="167" t="s">
        <v>36</v>
      </c>
      <c r="D149" s="176" t="s">
        <v>68</v>
      </c>
      <c r="E149" s="169">
        <v>1</v>
      </c>
      <c r="F149" s="170">
        <v>1500</v>
      </c>
      <c r="G149" s="169">
        <v>12</v>
      </c>
      <c r="H149" s="171">
        <f>E149*F149*G149</f>
        <v>18000</v>
      </c>
      <c r="I149" s="178"/>
      <c r="J149" s="681">
        <v>18000</v>
      </c>
      <c r="K149" s="172">
        <f t="shared" si="94"/>
        <v>1</v>
      </c>
      <c r="L149" s="198"/>
      <c r="M149" s="439">
        <v>1</v>
      </c>
      <c r="N149" s="477">
        <v>1500</v>
      </c>
      <c r="O149" s="439">
        <v>12</v>
      </c>
      <c r="P149" s="171">
        <f>M149*N149*O149</f>
        <v>18000</v>
      </c>
      <c r="Q149" s="197"/>
      <c r="R149" s="468">
        <v>6000</v>
      </c>
      <c r="S149" s="591">
        <f t="shared" si="108"/>
        <v>0.33333333333333331</v>
      </c>
      <c r="T149" s="174"/>
      <c r="U149" s="174">
        <f t="shared" ref="U149" si="113">P149+H149</f>
        <v>36000</v>
      </c>
      <c r="V149" s="197"/>
      <c r="W149" s="174">
        <f t="shared" ref="W149:W153" si="114">U149*V149</f>
        <v>0</v>
      </c>
      <c r="X149" s="209"/>
      <c r="Y149" s="343"/>
      <c r="AA149" s="368"/>
      <c r="AB149" s="386"/>
      <c r="AC149" s="410"/>
      <c r="AD149" s="41"/>
    </row>
    <row r="150" spans="1:30" s="205" customFormat="1" ht="25.5" x14ac:dyDescent="0.2">
      <c r="A150" s="177"/>
      <c r="B150" s="177" t="s">
        <v>75</v>
      </c>
      <c r="C150" s="167" t="s">
        <v>36</v>
      </c>
      <c r="D150" s="176" t="s">
        <v>68</v>
      </c>
      <c r="E150" s="169">
        <v>1</v>
      </c>
      <c r="F150" s="170">
        <v>1000</v>
      </c>
      <c r="G150" s="169">
        <v>12</v>
      </c>
      <c r="H150" s="171">
        <f>E150*F150*G150</f>
        <v>12000</v>
      </c>
      <c r="I150" s="178"/>
      <c r="J150" s="681">
        <v>12000</v>
      </c>
      <c r="K150" s="172">
        <f t="shared" si="94"/>
        <v>1</v>
      </c>
      <c r="L150" s="198"/>
      <c r="M150" s="439">
        <v>1</v>
      </c>
      <c r="N150" s="477">
        <v>1000</v>
      </c>
      <c r="O150" s="439">
        <v>12</v>
      </c>
      <c r="P150" s="171">
        <f>M150*N150*O150</f>
        <v>12000</v>
      </c>
      <c r="Q150" s="197"/>
      <c r="R150" s="468">
        <v>4000</v>
      </c>
      <c r="S150" s="591">
        <f t="shared" si="108"/>
        <v>0.33333333333333331</v>
      </c>
      <c r="T150" s="174"/>
      <c r="U150" s="174">
        <f>P150+H150</f>
        <v>24000</v>
      </c>
      <c r="V150" s="197"/>
      <c r="W150" s="174">
        <f t="shared" si="114"/>
        <v>0</v>
      </c>
      <c r="X150" s="209"/>
      <c r="Y150" s="343"/>
      <c r="AA150" s="368"/>
      <c r="AB150" s="386"/>
      <c r="AC150" s="410"/>
      <c r="AD150" s="41"/>
    </row>
    <row r="151" spans="1:30" s="205" customFormat="1" ht="25.5" x14ac:dyDescent="0.2">
      <c r="A151" s="177"/>
      <c r="B151" s="20" t="s">
        <v>202</v>
      </c>
      <c r="C151" s="167"/>
      <c r="D151" s="176" t="s">
        <v>68</v>
      </c>
      <c r="E151" s="169"/>
      <c r="F151" s="170"/>
      <c r="G151" s="169"/>
      <c r="H151" s="171"/>
      <c r="I151" s="178"/>
      <c r="J151" s="681"/>
      <c r="K151" s="172"/>
      <c r="L151" s="198"/>
      <c r="M151" s="496"/>
      <c r="N151" s="497"/>
      <c r="O151" s="496"/>
      <c r="P151" s="171"/>
      <c r="Q151" s="197"/>
      <c r="R151" s="468"/>
      <c r="S151" s="591" t="e">
        <f t="shared" si="108"/>
        <v>#DIV/0!</v>
      </c>
      <c r="T151" s="174"/>
      <c r="U151" s="174"/>
      <c r="V151" s="197"/>
      <c r="W151" s="174">
        <f t="shared" si="114"/>
        <v>0</v>
      </c>
      <c r="X151" s="209"/>
      <c r="Y151" s="395" t="s">
        <v>266</v>
      </c>
      <c r="AA151" s="368"/>
      <c r="AB151" s="386"/>
      <c r="AC151" s="410"/>
      <c r="AD151" s="41"/>
    </row>
    <row r="152" spans="1:30" s="205" customFormat="1" ht="25.5" x14ac:dyDescent="0.2">
      <c r="A152" s="177"/>
      <c r="B152" s="20" t="s">
        <v>203</v>
      </c>
      <c r="C152" s="167"/>
      <c r="D152" s="176" t="s">
        <v>68</v>
      </c>
      <c r="E152" s="169"/>
      <c r="F152" s="170"/>
      <c r="G152" s="169"/>
      <c r="H152" s="171"/>
      <c r="I152" s="178"/>
      <c r="J152" s="681"/>
      <c r="K152" s="172"/>
      <c r="L152" s="198"/>
      <c r="M152" s="169"/>
      <c r="N152" s="170"/>
      <c r="O152" s="169"/>
      <c r="P152" s="171"/>
      <c r="Q152" s="197"/>
      <c r="R152" s="468"/>
      <c r="S152" s="591" t="e">
        <f t="shared" si="108"/>
        <v>#DIV/0!</v>
      </c>
      <c r="T152" s="174"/>
      <c r="U152" s="174"/>
      <c r="V152" s="197"/>
      <c r="W152" s="174">
        <f t="shared" si="114"/>
        <v>0</v>
      </c>
      <c r="X152" s="209"/>
      <c r="Y152" s="395" t="s">
        <v>266</v>
      </c>
      <c r="AA152" s="368"/>
      <c r="AB152" s="386"/>
      <c r="AC152" s="410"/>
      <c r="AD152" s="41"/>
    </row>
    <row r="153" spans="1:30" s="205" customFormat="1" ht="25.5" x14ac:dyDescent="0.2">
      <c r="A153" s="177"/>
      <c r="B153" s="177" t="s">
        <v>189</v>
      </c>
      <c r="C153" s="167" t="s">
        <v>36</v>
      </c>
      <c r="D153" s="264" t="s">
        <v>104</v>
      </c>
      <c r="E153" s="178">
        <v>2</v>
      </c>
      <c r="F153" s="170">
        <v>625</v>
      </c>
      <c r="G153" s="178">
        <v>12</v>
      </c>
      <c r="H153" s="171">
        <f>E153*F153*G153</f>
        <v>15000</v>
      </c>
      <c r="I153" s="178"/>
      <c r="J153" s="681">
        <v>15000</v>
      </c>
      <c r="K153" s="172">
        <f t="shared" si="94"/>
        <v>1</v>
      </c>
      <c r="L153" s="198">
        <f>H153*I153</f>
        <v>0</v>
      </c>
      <c r="M153" s="178"/>
      <c r="N153" s="198"/>
      <c r="O153" s="178"/>
      <c r="P153" s="171">
        <f>M153*N153*O153</f>
        <v>0</v>
      </c>
      <c r="Q153" s="178"/>
      <c r="R153" s="468"/>
      <c r="S153" s="591" t="e">
        <f t="shared" si="108"/>
        <v>#DIV/0!</v>
      </c>
      <c r="T153" s="198">
        <f>P153*Q153</f>
        <v>0</v>
      </c>
      <c r="U153" s="174">
        <f>H153+P153</f>
        <v>15000</v>
      </c>
      <c r="V153" s="178"/>
      <c r="W153" s="174">
        <f t="shared" si="114"/>
        <v>0</v>
      </c>
      <c r="X153" s="264"/>
      <c r="Y153" s="343"/>
      <c r="AA153" s="368"/>
      <c r="AB153" s="386"/>
      <c r="AC153" s="410"/>
      <c r="AD153" s="41"/>
    </row>
    <row r="154" spans="1:30" s="205" customFormat="1" x14ac:dyDescent="0.2">
      <c r="A154" s="177"/>
      <c r="B154" s="768"/>
      <c r="C154" s="768"/>
      <c r="D154" s="768" t="s">
        <v>0</v>
      </c>
      <c r="E154" s="768"/>
      <c r="F154" s="768"/>
      <c r="G154" s="768"/>
      <c r="H154" s="171">
        <f>SUM(H149:H153)</f>
        <v>45000</v>
      </c>
      <c r="I154" s="171">
        <f>SUM(I149:I153)</f>
        <v>0</v>
      </c>
      <c r="J154" s="171">
        <f>SUM(J149:J153)</f>
        <v>45000</v>
      </c>
      <c r="K154" s="172">
        <f>SUM(J154/H154)</f>
        <v>1</v>
      </c>
      <c r="L154" s="171"/>
      <c r="M154" s="664"/>
      <c r="N154" s="171"/>
      <c r="O154" s="664"/>
      <c r="P154" s="171">
        <f>SUM(P149:P153)</f>
        <v>30000</v>
      </c>
      <c r="Q154" s="606">
        <f>SUM(Q149:Q150)</f>
        <v>0</v>
      </c>
      <c r="R154" s="679">
        <f>SUM(R149:R153)</f>
        <v>10000</v>
      </c>
      <c r="S154" s="606">
        <f t="shared" si="108"/>
        <v>0.33333333333333331</v>
      </c>
      <c r="T154" s="171">
        <f>SUM(T149:T150)</f>
        <v>0</v>
      </c>
      <c r="U154" s="171">
        <f>SUM(U149:U153)</f>
        <v>75000</v>
      </c>
      <c r="V154" s="664"/>
      <c r="W154" s="171">
        <f>SUM(W149:W153)</f>
        <v>0</v>
      </c>
      <c r="X154" s="665"/>
      <c r="Y154" s="343"/>
      <c r="AA154" s="368"/>
      <c r="AB154" s="386"/>
      <c r="AC154" s="410"/>
      <c r="AD154" s="41"/>
    </row>
    <row r="155" spans="1:30" s="205" customFormat="1" x14ac:dyDescent="0.2">
      <c r="A155" s="212" t="s">
        <v>47</v>
      </c>
      <c r="B155" s="176"/>
      <c r="C155" s="176"/>
      <c r="D155" s="176"/>
      <c r="E155" s="169"/>
      <c r="F155" s="170"/>
      <c r="G155" s="169"/>
      <c r="H155" s="662"/>
      <c r="I155" s="169"/>
      <c r="J155" s="169"/>
      <c r="K155" s="170"/>
      <c r="L155" s="170"/>
      <c r="M155" s="169"/>
      <c r="N155" s="170"/>
      <c r="O155" s="169"/>
      <c r="P155" s="662"/>
      <c r="Q155" s="169"/>
      <c r="R155" s="680"/>
      <c r="S155" s="169"/>
      <c r="T155" s="170"/>
      <c r="U155" s="170"/>
      <c r="V155" s="169"/>
      <c r="W155" s="170"/>
      <c r="X155" s="176"/>
      <c r="Y155" s="343"/>
      <c r="AA155" s="368"/>
      <c r="AB155" s="386"/>
      <c r="AC155" s="410"/>
      <c r="AD155" s="41"/>
    </row>
    <row r="156" spans="1:30" s="205" customFormat="1" ht="25.5" x14ac:dyDescent="0.2">
      <c r="A156" s="177"/>
      <c r="B156" s="177" t="s">
        <v>71</v>
      </c>
      <c r="C156" s="167" t="s">
        <v>16</v>
      </c>
      <c r="D156" s="176" t="s">
        <v>68</v>
      </c>
      <c r="E156" s="169">
        <v>1</v>
      </c>
      <c r="F156" s="170">
        <v>5000</v>
      </c>
      <c r="G156" s="169">
        <v>1</v>
      </c>
      <c r="H156" s="171">
        <f>E156*F156*G156</f>
        <v>5000</v>
      </c>
      <c r="I156" s="169"/>
      <c r="J156" s="682">
        <v>5000</v>
      </c>
      <c r="K156" s="172">
        <f t="shared" si="94"/>
        <v>1</v>
      </c>
      <c r="L156" s="170"/>
      <c r="M156" s="439">
        <v>1</v>
      </c>
      <c r="N156" s="477">
        <v>5000</v>
      </c>
      <c r="O156" s="439">
        <v>1</v>
      </c>
      <c r="P156" s="171">
        <f>M156*N156*O156</f>
        <v>5000</v>
      </c>
      <c r="Q156" s="197"/>
      <c r="R156" s="468"/>
      <c r="S156" s="591">
        <f t="shared" si="108"/>
        <v>0</v>
      </c>
      <c r="T156" s="174"/>
      <c r="U156" s="174">
        <f t="shared" ref="U156:U163" si="115">P156+H156</f>
        <v>10000</v>
      </c>
      <c r="V156" s="197"/>
      <c r="W156" s="174">
        <f t="shared" ref="W156:W163" si="116">U156*V156</f>
        <v>0</v>
      </c>
      <c r="X156" s="209"/>
      <c r="Y156" s="343"/>
      <c r="AA156" s="368"/>
      <c r="AB156" s="386"/>
      <c r="AC156" s="410"/>
      <c r="AD156" s="41"/>
    </row>
    <row r="157" spans="1:30" s="205" customFormat="1" ht="25.5" x14ac:dyDescent="0.2">
      <c r="A157" s="177"/>
      <c r="B157" s="20" t="s">
        <v>201</v>
      </c>
      <c r="C157" s="167"/>
      <c r="D157" s="176" t="s">
        <v>68</v>
      </c>
      <c r="E157" s="169"/>
      <c r="F157" s="170"/>
      <c r="G157" s="169"/>
      <c r="H157" s="171"/>
      <c r="I157" s="169"/>
      <c r="J157" s="682"/>
      <c r="K157" s="172"/>
      <c r="L157" s="170"/>
      <c r="M157" s="439"/>
      <c r="N157" s="477"/>
      <c r="O157" s="439"/>
      <c r="P157" s="171"/>
      <c r="Q157" s="197"/>
      <c r="R157" s="468"/>
      <c r="S157" s="591" t="e">
        <f t="shared" si="108"/>
        <v>#DIV/0!</v>
      </c>
      <c r="T157" s="174"/>
      <c r="U157" s="174"/>
      <c r="V157" s="197"/>
      <c r="W157" s="174">
        <f t="shared" si="116"/>
        <v>0</v>
      </c>
      <c r="X157" s="209"/>
      <c r="Y157" s="395" t="s">
        <v>266</v>
      </c>
      <c r="AA157" s="368"/>
      <c r="AB157" s="386"/>
      <c r="AC157" s="410"/>
      <c r="AD157" s="41"/>
    </row>
    <row r="158" spans="1:30" s="205" customFormat="1" ht="25.5" x14ac:dyDescent="0.2">
      <c r="A158" s="177"/>
      <c r="B158" s="177" t="s">
        <v>110</v>
      </c>
      <c r="C158" s="167" t="s">
        <v>16</v>
      </c>
      <c r="D158" s="176" t="s">
        <v>68</v>
      </c>
      <c r="E158" s="169">
        <v>1</v>
      </c>
      <c r="F158" s="170">
        <v>70000</v>
      </c>
      <c r="G158" s="169">
        <v>1</v>
      </c>
      <c r="H158" s="171">
        <f>E158*F158*G158</f>
        <v>70000</v>
      </c>
      <c r="I158" s="169"/>
      <c r="J158" s="683">
        <v>70000</v>
      </c>
      <c r="K158" s="172">
        <f t="shared" si="94"/>
        <v>1</v>
      </c>
      <c r="L158" s="170"/>
      <c r="M158" s="439">
        <v>1</v>
      </c>
      <c r="N158" s="477">
        <v>70000</v>
      </c>
      <c r="O158" s="439">
        <v>1</v>
      </c>
      <c r="P158" s="171">
        <f>M158*N158*O158</f>
        <v>70000</v>
      </c>
      <c r="Q158" s="197"/>
      <c r="R158" s="468"/>
      <c r="S158" s="591">
        <f t="shared" si="108"/>
        <v>0</v>
      </c>
      <c r="T158" s="174"/>
      <c r="U158" s="174">
        <f t="shared" si="115"/>
        <v>140000</v>
      </c>
      <c r="V158" s="197"/>
      <c r="W158" s="174">
        <f t="shared" si="116"/>
        <v>0</v>
      </c>
      <c r="X158" s="209"/>
      <c r="Y158" s="343"/>
      <c r="AA158" s="368"/>
      <c r="AB158" s="386"/>
      <c r="AC158" s="410"/>
      <c r="AD158" s="41"/>
    </row>
    <row r="159" spans="1:30" s="205" customFormat="1" ht="25.5" x14ac:dyDescent="0.2">
      <c r="A159" s="177"/>
      <c r="B159" s="20" t="s">
        <v>204</v>
      </c>
      <c r="C159" s="167"/>
      <c r="D159" s="176" t="s">
        <v>68</v>
      </c>
      <c r="E159" s="169"/>
      <c r="F159" s="170"/>
      <c r="G159" s="169"/>
      <c r="H159" s="171"/>
      <c r="I159" s="169"/>
      <c r="J159" s="682"/>
      <c r="K159" s="172"/>
      <c r="L159" s="170"/>
      <c r="M159" s="496"/>
      <c r="N159" s="497"/>
      <c r="O159" s="496"/>
      <c r="P159" s="171"/>
      <c r="Q159" s="197"/>
      <c r="R159" s="468"/>
      <c r="S159" s="591" t="e">
        <f t="shared" si="108"/>
        <v>#DIV/0!</v>
      </c>
      <c r="T159" s="174"/>
      <c r="U159" s="174"/>
      <c r="V159" s="197"/>
      <c r="W159" s="174">
        <f t="shared" si="116"/>
        <v>0</v>
      </c>
      <c r="X159" s="209"/>
      <c r="Y159" s="395" t="s">
        <v>266</v>
      </c>
      <c r="AA159" s="368"/>
      <c r="AB159" s="386"/>
      <c r="AC159" s="410"/>
      <c r="AD159" s="41"/>
    </row>
    <row r="160" spans="1:30" s="267" customFormat="1" ht="25.5" x14ac:dyDescent="0.2">
      <c r="A160" s="177"/>
      <c r="B160" s="177" t="s">
        <v>110</v>
      </c>
      <c r="C160" s="167" t="s">
        <v>16</v>
      </c>
      <c r="D160" s="264" t="s">
        <v>89</v>
      </c>
      <c r="E160" s="178">
        <v>4</v>
      </c>
      <c r="F160" s="198">
        <v>141</v>
      </c>
      <c r="G160" s="178">
        <v>84</v>
      </c>
      <c r="H160" s="171">
        <f>E160*F160*G160</f>
        <v>47376</v>
      </c>
      <c r="I160" s="178"/>
      <c r="J160" s="681">
        <v>47350</v>
      </c>
      <c r="K160" s="172">
        <f t="shared" si="94"/>
        <v>0.99945119891928402</v>
      </c>
      <c r="L160" s="198"/>
      <c r="M160" s="496">
        <v>4</v>
      </c>
      <c r="N160" s="497">
        <v>141</v>
      </c>
      <c r="O160" s="496">
        <v>84</v>
      </c>
      <c r="P160" s="171">
        <f t="shared" ref="P160:P163" si="117">M160*N160*O160</f>
        <v>47376</v>
      </c>
      <c r="Q160" s="178"/>
      <c r="R160" s="468">
        <v>28658</v>
      </c>
      <c r="S160" s="591">
        <f t="shared" si="108"/>
        <v>0.60490543735224589</v>
      </c>
      <c r="T160" s="198"/>
      <c r="U160" s="174">
        <f t="shared" si="115"/>
        <v>94752</v>
      </c>
      <c r="V160" s="178"/>
      <c r="W160" s="174">
        <f t="shared" si="116"/>
        <v>0</v>
      </c>
      <c r="X160" s="264"/>
      <c r="Y160" s="395"/>
      <c r="AA160" s="369"/>
      <c r="AB160" s="387"/>
      <c r="AC160" s="411"/>
      <c r="AD160" s="350"/>
    </row>
    <row r="161" spans="1:30" s="267" customFormat="1" ht="25.5" x14ac:dyDescent="0.2">
      <c r="A161" s="177"/>
      <c r="B161" s="177" t="s">
        <v>148</v>
      </c>
      <c r="C161" s="167" t="s">
        <v>16</v>
      </c>
      <c r="D161" s="264" t="s">
        <v>89</v>
      </c>
      <c r="E161" s="178"/>
      <c r="F161" s="198">
        <v>1.4</v>
      </c>
      <c r="G161" s="178">
        <v>12</v>
      </c>
      <c r="H161" s="171">
        <f>E161*F161*G161</f>
        <v>0</v>
      </c>
      <c r="I161" s="178"/>
      <c r="J161" s="681"/>
      <c r="K161" s="172"/>
      <c r="L161" s="198"/>
      <c r="M161" s="496"/>
      <c r="N161" s="497">
        <v>1.4</v>
      </c>
      <c r="O161" s="496">
        <v>12</v>
      </c>
      <c r="P161" s="171">
        <f t="shared" si="117"/>
        <v>0</v>
      </c>
      <c r="Q161" s="178"/>
      <c r="R161" s="468"/>
      <c r="S161" s="591" t="e">
        <f t="shared" si="108"/>
        <v>#DIV/0!</v>
      </c>
      <c r="T161" s="198"/>
      <c r="U161" s="174">
        <f t="shared" si="115"/>
        <v>0</v>
      </c>
      <c r="V161" s="178"/>
      <c r="W161" s="174">
        <f t="shared" si="116"/>
        <v>0</v>
      </c>
      <c r="X161" s="264"/>
      <c r="Y161" s="395"/>
      <c r="AA161" s="369"/>
      <c r="AB161" s="387"/>
      <c r="AC161" s="411"/>
      <c r="AD161" s="350"/>
    </row>
    <row r="162" spans="1:30" s="267" customFormat="1" ht="25.5" x14ac:dyDescent="0.2">
      <c r="A162" s="177"/>
      <c r="B162" s="177" t="s">
        <v>149</v>
      </c>
      <c r="C162" s="167" t="s">
        <v>16</v>
      </c>
      <c r="D162" s="264" t="s">
        <v>89</v>
      </c>
      <c r="E162" s="178">
        <v>150</v>
      </c>
      <c r="F162" s="198">
        <v>1.4</v>
      </c>
      <c r="G162" s="178">
        <v>12</v>
      </c>
      <c r="H162" s="171">
        <f>E162*F162*G162</f>
        <v>2520</v>
      </c>
      <c r="I162" s="178"/>
      <c r="J162" s="681">
        <v>2520</v>
      </c>
      <c r="K162" s="172">
        <f t="shared" si="94"/>
        <v>1</v>
      </c>
      <c r="L162" s="198"/>
      <c r="M162" s="496">
        <v>150</v>
      </c>
      <c r="N162" s="497">
        <v>1.4</v>
      </c>
      <c r="O162" s="496">
        <v>12</v>
      </c>
      <c r="P162" s="171">
        <f t="shared" si="117"/>
        <v>2520</v>
      </c>
      <c r="Q162" s="178"/>
      <c r="R162" s="468">
        <v>1800</v>
      </c>
      <c r="S162" s="591">
        <f t="shared" si="108"/>
        <v>0.7142857142857143</v>
      </c>
      <c r="T162" s="198"/>
      <c r="U162" s="174">
        <f t="shared" si="115"/>
        <v>5040</v>
      </c>
      <c r="V162" s="178"/>
      <c r="W162" s="174">
        <f t="shared" si="116"/>
        <v>0</v>
      </c>
      <c r="X162" s="264"/>
      <c r="Y162" s="395"/>
      <c r="AA162" s="369"/>
      <c r="AB162" s="387"/>
      <c r="AC162" s="411"/>
      <c r="AD162" s="350"/>
    </row>
    <row r="163" spans="1:30" s="267" customFormat="1" ht="25.5" x14ac:dyDescent="0.2">
      <c r="A163" s="177"/>
      <c r="B163" s="177" t="s">
        <v>110</v>
      </c>
      <c r="C163" s="167" t="s">
        <v>16</v>
      </c>
      <c r="D163" s="264" t="s">
        <v>104</v>
      </c>
      <c r="E163" s="178">
        <v>107</v>
      </c>
      <c r="F163" s="198">
        <v>141</v>
      </c>
      <c r="G163" s="178">
        <v>1</v>
      </c>
      <c r="H163" s="171">
        <f>E163*F163*G163</f>
        <v>15087</v>
      </c>
      <c r="I163" s="178"/>
      <c r="J163" s="681">
        <v>15085</v>
      </c>
      <c r="K163" s="172">
        <f t="shared" si="94"/>
        <v>0.99986743554053159</v>
      </c>
      <c r="L163" s="198"/>
      <c r="M163" s="496">
        <v>55</v>
      </c>
      <c r="N163" s="497">
        <v>141</v>
      </c>
      <c r="O163" s="496">
        <v>1</v>
      </c>
      <c r="P163" s="171">
        <f t="shared" si="117"/>
        <v>7755</v>
      </c>
      <c r="Q163" s="178"/>
      <c r="R163" s="468">
        <v>7755</v>
      </c>
      <c r="S163" s="591">
        <f t="shared" si="108"/>
        <v>1</v>
      </c>
      <c r="T163" s="198"/>
      <c r="U163" s="174">
        <f t="shared" si="115"/>
        <v>22842</v>
      </c>
      <c r="V163" s="178"/>
      <c r="W163" s="174">
        <f t="shared" si="116"/>
        <v>0</v>
      </c>
      <c r="X163" s="264"/>
      <c r="Y163" s="395"/>
      <c r="AA163" s="369"/>
      <c r="AB163" s="387"/>
      <c r="AC163" s="411"/>
      <c r="AD163" s="350"/>
    </row>
    <row r="164" spans="1:30" s="205" customFormat="1" x14ac:dyDescent="0.2">
      <c r="A164" s="177"/>
      <c r="B164" s="768"/>
      <c r="C164" s="768"/>
      <c r="D164" s="768" t="s">
        <v>0</v>
      </c>
      <c r="E164" s="768"/>
      <c r="F164" s="768"/>
      <c r="G164" s="768"/>
      <c r="H164" s="171">
        <f>SUM(H156:H163)</f>
        <v>139983</v>
      </c>
      <c r="I164" s="171">
        <f>SUM(I156:I163)</f>
        <v>0</v>
      </c>
      <c r="J164" s="171">
        <f>SUM(J156:J163)</f>
        <v>139955</v>
      </c>
      <c r="K164" s="684">
        <f>SUM(J164/H164)</f>
        <v>0.99979997571133639</v>
      </c>
      <c r="L164" s="171"/>
      <c r="M164" s="664"/>
      <c r="N164" s="171"/>
      <c r="O164" s="664"/>
      <c r="P164" s="171">
        <f>SUM(P156:P163)</f>
        <v>132651</v>
      </c>
      <c r="Q164" s="171">
        <f>SUM(Q156:Q163)</f>
        <v>0</v>
      </c>
      <c r="R164" s="171">
        <f>SUM(R156:R163)</f>
        <v>38213</v>
      </c>
      <c r="S164" s="606">
        <f t="shared" si="108"/>
        <v>0.28807170696036971</v>
      </c>
      <c r="T164" s="171"/>
      <c r="U164" s="171">
        <f>SUM(U156:U163)</f>
        <v>272634</v>
      </c>
      <c r="V164" s="664"/>
      <c r="W164" s="171">
        <f>SUM(W156:W163)</f>
        <v>0</v>
      </c>
      <c r="X164" s="665"/>
      <c r="Y164" s="343"/>
      <c r="AA164" s="368"/>
      <c r="AB164" s="386"/>
      <c r="AC164" s="410"/>
      <c r="AD164" s="41"/>
    </row>
    <row r="165" spans="1:30" s="205" customFormat="1" x14ac:dyDescent="0.2">
      <c r="A165" s="212" t="s">
        <v>161</v>
      </c>
      <c r="B165" s="176"/>
      <c r="C165" s="176"/>
      <c r="D165" s="176"/>
      <c r="E165" s="169"/>
      <c r="F165" s="170"/>
      <c r="G165" s="169"/>
      <c r="H165" s="662"/>
      <c r="I165" s="169"/>
      <c r="J165" s="169"/>
      <c r="K165" s="169"/>
      <c r="L165" s="170"/>
      <c r="M165" s="169"/>
      <c r="N165" s="170"/>
      <c r="O165" s="169"/>
      <c r="P165" s="662"/>
      <c r="Q165" s="169"/>
      <c r="R165" s="680"/>
      <c r="S165" s="169"/>
      <c r="T165" s="170"/>
      <c r="U165" s="170"/>
      <c r="V165" s="169"/>
      <c r="W165" s="170"/>
      <c r="X165" s="176"/>
      <c r="Y165" s="343"/>
      <c r="AA165" s="368"/>
      <c r="AB165" s="386"/>
      <c r="AC165" s="410"/>
      <c r="AD165" s="41"/>
    </row>
    <row r="166" spans="1:30" s="205" customFormat="1" ht="25.5" x14ac:dyDescent="0.2">
      <c r="A166" s="177"/>
      <c r="B166" s="177" t="s">
        <v>153</v>
      </c>
      <c r="C166" s="167" t="s">
        <v>37</v>
      </c>
      <c r="D166" s="176" t="s">
        <v>89</v>
      </c>
      <c r="E166" s="169">
        <v>1</v>
      </c>
      <c r="F166" s="170">
        <v>38854</v>
      </c>
      <c r="G166" s="169">
        <v>1</v>
      </c>
      <c r="H166" s="171">
        <f>E166*F166*G166</f>
        <v>38854</v>
      </c>
      <c r="I166" s="197"/>
      <c r="J166" s="681">
        <v>38854</v>
      </c>
      <c r="K166" s="172">
        <f t="shared" si="94"/>
        <v>1</v>
      </c>
      <c r="L166" s="174"/>
      <c r="M166" s="500">
        <v>1</v>
      </c>
      <c r="N166" s="501">
        <v>22201</v>
      </c>
      <c r="O166" s="500">
        <v>1</v>
      </c>
      <c r="P166" s="171">
        <f t="shared" ref="P166" si="118">SUM(N166*M166*O166)</f>
        <v>22201</v>
      </c>
      <c r="Q166" s="197"/>
      <c r="R166" s="468">
        <v>16400</v>
      </c>
      <c r="S166" s="591">
        <f t="shared" si="108"/>
        <v>0.73870546371785051</v>
      </c>
      <c r="T166" s="174"/>
      <c r="U166" s="174">
        <f t="shared" ref="U166:U167" si="119">P166+H166</f>
        <v>61055</v>
      </c>
      <c r="V166" s="197"/>
      <c r="W166" s="174">
        <f t="shared" ref="W166:W167" si="120">U166*V166</f>
        <v>0</v>
      </c>
      <c r="X166" s="270"/>
      <c r="Y166" s="343"/>
      <c r="AA166" s="368"/>
      <c r="AB166" s="386"/>
      <c r="AC166" s="410"/>
      <c r="AD166" s="41"/>
    </row>
    <row r="167" spans="1:30" s="267" customFormat="1" ht="63.75" x14ac:dyDescent="0.2">
      <c r="A167" s="177"/>
      <c r="B167" s="177" t="s">
        <v>154</v>
      </c>
      <c r="C167" s="167" t="s">
        <v>17</v>
      </c>
      <c r="D167" s="264" t="s">
        <v>89</v>
      </c>
      <c r="E167" s="178">
        <v>1</v>
      </c>
      <c r="F167" s="198">
        <v>14430</v>
      </c>
      <c r="G167" s="178">
        <v>1</v>
      </c>
      <c r="H167" s="171">
        <f>E167*F167*G167</f>
        <v>14430</v>
      </c>
      <c r="I167" s="178"/>
      <c r="J167" s="681">
        <v>14430</v>
      </c>
      <c r="K167" s="172">
        <f t="shared" si="94"/>
        <v>1</v>
      </c>
      <c r="L167" s="198"/>
      <c r="M167" s="496">
        <v>1</v>
      </c>
      <c r="N167" s="497">
        <v>9216</v>
      </c>
      <c r="O167" s="496">
        <v>1</v>
      </c>
      <c r="P167" s="171">
        <f>SUM(N167*M167*O167)</f>
        <v>9216</v>
      </c>
      <c r="Q167" s="178"/>
      <c r="R167" s="468">
        <v>7562</v>
      </c>
      <c r="S167" s="591">
        <f t="shared" si="108"/>
        <v>0.82052951388888884</v>
      </c>
      <c r="T167" s="198"/>
      <c r="U167" s="174">
        <f t="shared" si="119"/>
        <v>23646</v>
      </c>
      <c r="V167" s="178"/>
      <c r="W167" s="174">
        <f t="shared" si="120"/>
        <v>0</v>
      </c>
      <c r="X167" s="264"/>
      <c r="Y167" s="395"/>
      <c r="AA167" s="369"/>
      <c r="AB167" s="387"/>
      <c r="AC167" s="411"/>
      <c r="AD167" s="350"/>
    </row>
    <row r="168" spans="1:30" s="205" customFormat="1" x14ac:dyDescent="0.2">
      <c r="A168" s="177"/>
      <c r="B168" s="768"/>
      <c r="C168" s="768"/>
      <c r="D168" s="768" t="s">
        <v>0</v>
      </c>
      <c r="E168" s="768"/>
      <c r="F168" s="768"/>
      <c r="G168" s="768"/>
      <c r="H168" s="171">
        <f>SUM(H166:H167)</f>
        <v>53284</v>
      </c>
      <c r="I168" s="171">
        <f t="shared" ref="I168" si="121">SUM(I166:I167)</f>
        <v>0</v>
      </c>
      <c r="J168" s="171">
        <f>SUM(J166:J167)</f>
        <v>53284</v>
      </c>
      <c r="K168" s="684">
        <f>SUM(J168/H168)</f>
        <v>1</v>
      </c>
      <c r="L168" s="171"/>
      <c r="M168" s="664"/>
      <c r="N168" s="171"/>
      <c r="O168" s="664"/>
      <c r="P168" s="171">
        <f>SUM(P166:P167)</f>
        <v>31417</v>
      </c>
      <c r="Q168" s="171"/>
      <c r="R168" s="171">
        <f t="shared" ref="R168" si="122">SUM(R166:R167)</f>
        <v>23962</v>
      </c>
      <c r="S168" s="606">
        <f t="shared" si="108"/>
        <v>0.76270808797784639</v>
      </c>
      <c r="T168" s="171"/>
      <c r="U168" s="171">
        <f>SUM(U166:U167)</f>
        <v>84701</v>
      </c>
      <c r="V168" s="664"/>
      <c r="W168" s="171">
        <f>SUM(W166:W167)</f>
        <v>0</v>
      </c>
      <c r="X168" s="665"/>
      <c r="Y168" s="343"/>
      <c r="AA168" s="368"/>
      <c r="AB168" s="386"/>
      <c r="AC168" s="410"/>
      <c r="AD168" s="41"/>
    </row>
    <row r="169" spans="1:30" s="154" customFormat="1" x14ac:dyDescent="0.2">
      <c r="A169" s="769" t="s">
        <v>41</v>
      </c>
      <c r="B169" s="769"/>
      <c r="C169" s="769"/>
      <c r="D169" s="769"/>
      <c r="E169" s="769"/>
      <c r="F169" s="769"/>
      <c r="G169" s="769"/>
      <c r="H169" s="171">
        <f>H168+H164+H154+H147+H139+H123</f>
        <v>507267</v>
      </c>
      <c r="I169" s="171">
        <f>I168+I164+I154+I147+I139+I123</f>
        <v>0</v>
      </c>
      <c r="J169" s="171">
        <f>J168+J164+J154+J147+J139+J123</f>
        <v>523926</v>
      </c>
      <c r="K169" s="172">
        <f>SUM(J169/H169)</f>
        <v>1.032840693362667</v>
      </c>
      <c r="L169" s="174"/>
      <c r="M169" s="197"/>
      <c r="N169" s="174"/>
      <c r="O169" s="197"/>
      <c r="P169" s="171">
        <f>P168+P164+P154+P147+P139+P123</f>
        <v>382918</v>
      </c>
      <c r="Q169" s="171"/>
      <c r="R169" s="171">
        <f>R168+R164+R154+R147+R139+R123</f>
        <v>157975</v>
      </c>
      <c r="S169" s="606">
        <f t="shared" si="108"/>
        <v>0.41255569077452614</v>
      </c>
      <c r="T169" s="174"/>
      <c r="U169" s="171">
        <f>U168+U164+U154+U147+U139+U123</f>
        <v>890185</v>
      </c>
      <c r="V169" s="195">
        <f>U169/U171</f>
        <v>0.31751328195918482</v>
      </c>
      <c r="W169" s="174">
        <f>W168+W164+W154+W147+W139+W123</f>
        <v>0</v>
      </c>
      <c r="X169" s="685"/>
      <c r="Y169" s="686"/>
      <c r="AA169" s="687"/>
      <c r="AB169" s="688"/>
      <c r="AC169" s="689"/>
      <c r="AD169" s="456"/>
    </row>
    <row r="170" spans="1:30" s="199" customFormat="1" x14ac:dyDescent="0.2">
      <c r="A170" s="770" t="s">
        <v>52</v>
      </c>
      <c r="B170" s="770"/>
      <c r="C170" s="770"/>
      <c r="D170" s="770"/>
      <c r="E170" s="527"/>
      <c r="F170" s="286"/>
      <c r="G170" s="527"/>
      <c r="H170" s="662" t="s">
        <v>3</v>
      </c>
      <c r="I170" s="690"/>
      <c r="J170" s="690"/>
      <c r="K170" s="172"/>
      <c r="L170" s="662"/>
      <c r="M170" s="690"/>
      <c r="N170" s="662"/>
      <c r="O170" s="690"/>
      <c r="P170" s="662" t="s">
        <v>4</v>
      </c>
      <c r="Q170" s="690"/>
      <c r="R170" s="691"/>
      <c r="S170" s="690"/>
      <c r="T170" s="662"/>
      <c r="U170" s="662"/>
      <c r="V170" s="690"/>
      <c r="W170" s="662"/>
      <c r="X170" s="581"/>
      <c r="Y170" s="392"/>
      <c r="AA170" s="372"/>
      <c r="AB170" s="390"/>
      <c r="AC170" s="414"/>
      <c r="AD170" s="304"/>
    </row>
    <row r="171" spans="1:30" s="199" customFormat="1" x14ac:dyDescent="0.2">
      <c r="A171" s="770"/>
      <c r="B171" s="770"/>
      <c r="C171" s="770"/>
      <c r="D171" s="770"/>
      <c r="E171" s="527"/>
      <c r="F171" s="286"/>
      <c r="G171" s="527"/>
      <c r="H171" s="662">
        <f>H114+H169</f>
        <v>1722013</v>
      </c>
      <c r="I171" s="662"/>
      <c r="J171" s="662">
        <f>J114+J169</f>
        <v>1629397</v>
      </c>
      <c r="K171" s="172">
        <f>SUM(J171/H171)</f>
        <v>0.94621643390613197</v>
      </c>
      <c r="L171" s="662">
        <f>L114+L169</f>
        <v>473215.67000000004</v>
      </c>
      <c r="M171" s="692"/>
      <c r="N171" s="662"/>
      <c r="O171" s="692"/>
      <c r="P171" s="662">
        <f>P114+P169</f>
        <v>1081602</v>
      </c>
      <c r="Q171" s="662">
        <f>Q114+Q169</f>
        <v>0</v>
      </c>
      <c r="R171" s="662">
        <f>R114+R169</f>
        <v>554285</v>
      </c>
      <c r="S171" s="693">
        <f t="shared" si="108"/>
        <v>0.51246669292401459</v>
      </c>
      <c r="T171" s="662">
        <f>T114+T169</f>
        <v>299732</v>
      </c>
      <c r="U171" s="662">
        <f>U114+U169</f>
        <v>2803615</v>
      </c>
      <c r="V171" s="690"/>
      <c r="W171" s="662">
        <f>W114+W169</f>
        <v>772966.17</v>
      </c>
      <c r="X171" s="581"/>
      <c r="Y171" s="392"/>
      <c r="AA171" s="372"/>
      <c r="AB171" s="390"/>
      <c r="AC171" s="414"/>
      <c r="AD171" s="304"/>
    </row>
    <row r="172" spans="1:30" s="199" customFormat="1" x14ac:dyDescent="0.2">
      <c r="A172" s="177"/>
      <c r="B172" s="768" t="s">
        <v>67</v>
      </c>
      <c r="C172" s="768"/>
      <c r="D172" s="768" t="s">
        <v>67</v>
      </c>
      <c r="E172" s="768"/>
      <c r="F172" s="768"/>
      <c r="G172" s="768"/>
      <c r="H172" s="604"/>
      <c r="I172" s="606"/>
      <c r="J172" s="606"/>
      <c r="K172" s="195">
        <f>L172/J171</f>
        <v>0.29042380095213138</v>
      </c>
      <c r="L172" s="171">
        <f>L171</f>
        <v>473215.67000000004</v>
      </c>
      <c r="M172" s="664"/>
      <c r="N172" s="171"/>
      <c r="O172" s="664"/>
      <c r="P172" s="171">
        <f>T171</f>
        <v>299732</v>
      </c>
      <c r="Q172" s="606"/>
      <c r="R172" s="679">
        <f>R171</f>
        <v>554285</v>
      </c>
      <c r="S172" s="606">
        <f>T172/R171</f>
        <v>0.54075430509575395</v>
      </c>
      <c r="T172" s="171">
        <f>T171</f>
        <v>299732</v>
      </c>
      <c r="U172" s="171"/>
      <c r="V172" s="606">
        <f>W172/U171</f>
        <v>0.10690911555259905</v>
      </c>
      <c r="W172" s="171">
        <f>P172+H172</f>
        <v>299732</v>
      </c>
      <c r="X172" s="665"/>
      <c r="Y172" s="392"/>
      <c r="AA172" s="372"/>
      <c r="AB172" s="390"/>
      <c r="AC172" s="414"/>
      <c r="AD172" s="304"/>
    </row>
    <row r="173" spans="1:30" s="199" customFormat="1" ht="15.75" customHeight="1" x14ac:dyDescent="0.2">
      <c r="A173" s="740" t="s">
        <v>54</v>
      </c>
      <c r="B173" s="741"/>
      <c r="C173" s="741"/>
      <c r="D173" s="741"/>
      <c r="E173" s="741"/>
      <c r="F173" s="741"/>
      <c r="G173" s="742"/>
      <c r="H173" s="286">
        <f>SUM(H171)*0.07</f>
        <v>120540.91000000002</v>
      </c>
      <c r="I173" s="336">
        <f>H173/H171</f>
        <v>7.0000000000000007E-2</v>
      </c>
      <c r="J173" s="286">
        <f>J171*0.07</f>
        <v>114057.79000000001</v>
      </c>
      <c r="K173" s="172">
        <f>SUM(J173/H173)</f>
        <v>0.94621643390613186</v>
      </c>
      <c r="L173" s="286"/>
      <c r="M173" s="705"/>
      <c r="N173" s="706"/>
      <c r="O173" s="707"/>
      <c r="P173" s="286">
        <f>SUM(P171)*0.07</f>
        <v>75712.140000000014</v>
      </c>
      <c r="Q173" s="286"/>
      <c r="R173" s="286">
        <f>SUM(R171)*0.07</f>
        <v>38799.950000000004</v>
      </c>
      <c r="S173" s="591">
        <f t="shared" si="108"/>
        <v>0.51246669292401448</v>
      </c>
      <c r="T173" s="286"/>
      <c r="U173" s="286">
        <f>SUM(U171)*0.07</f>
        <v>196253.05000000002</v>
      </c>
      <c r="V173" s="288"/>
      <c r="W173" s="198"/>
      <c r="X173" s="289"/>
      <c r="Y173" s="392"/>
      <c r="AA173" s="372"/>
      <c r="AB173" s="390"/>
      <c r="AC173" s="414"/>
      <c r="AD173" s="304"/>
    </row>
    <row r="174" spans="1:30" s="199" customFormat="1" ht="15.75" customHeight="1" x14ac:dyDescent="0.2">
      <c r="A174" s="526"/>
      <c r="B174" s="741" t="s">
        <v>207</v>
      </c>
      <c r="C174" s="741"/>
      <c r="D174" s="741"/>
      <c r="E174" s="741"/>
      <c r="F174" s="741"/>
      <c r="G174" s="742"/>
      <c r="H174" s="334">
        <f>SUM(Budget_Recapitulatif!C18)</f>
        <v>50637.58</v>
      </c>
      <c r="I174" s="336">
        <v>7.0000000000000007E-2</v>
      </c>
      <c r="J174" s="334">
        <f>SUM(J59+J113+J117+J118+J119+J125+J126+J127+J128+J129+J141+J142+J143+J144+J149+J150+J151+J152+J156+J157+J158+J159)*0.07</f>
        <v>46291.700000000004</v>
      </c>
      <c r="K174" s="303">
        <f>J174/H174</f>
        <v>0.9141767833296931</v>
      </c>
      <c r="L174" s="286"/>
      <c r="M174" s="705"/>
      <c r="N174" s="706"/>
      <c r="O174" s="707"/>
      <c r="P174" s="334">
        <f>SUM(Budget_Recapitulatif!D18)</f>
        <v>33063.379999999997</v>
      </c>
      <c r="Q174" s="286"/>
      <c r="R174" s="468">
        <f>SUM(R59+R113+R117+R118+R119+R125+R126+R127+R128+R129+R141+R142+R143+R144+R149+R150+R151+R152+R156+R157+R158+R159)*0.07</f>
        <v>5268.2000000000007</v>
      </c>
      <c r="S174" s="591">
        <f t="shared" si="108"/>
        <v>0.15933640178348377</v>
      </c>
      <c r="T174" s="286"/>
      <c r="U174" s="286"/>
      <c r="V174" s="288"/>
      <c r="W174" s="198"/>
      <c r="X174" s="289"/>
      <c r="Y174" s="392"/>
      <c r="AA174" s="372"/>
      <c r="AB174" s="390"/>
      <c r="AC174" s="414"/>
      <c r="AD174" s="304"/>
    </row>
    <row r="175" spans="1:30" s="199" customFormat="1" ht="15.75" customHeight="1" x14ac:dyDescent="0.2">
      <c r="A175" s="526"/>
      <c r="B175" s="741" t="s">
        <v>205</v>
      </c>
      <c r="C175" s="741"/>
      <c r="D175" s="741"/>
      <c r="E175" s="741"/>
      <c r="F175" s="741"/>
      <c r="G175" s="742"/>
      <c r="H175" s="334">
        <f>SUM(Budget_Recapitulatif!G18)</f>
        <v>18388.09</v>
      </c>
      <c r="I175" s="336">
        <v>7.0000000000000007E-2</v>
      </c>
      <c r="J175" s="334">
        <f>SUM(J101+J122+J136+J145+J153+J163)*0.07</f>
        <v>18387.95</v>
      </c>
      <c r="K175" s="303">
        <f t="shared" ref="K175:K176" si="123">J175/H175</f>
        <v>0.9999923863761816</v>
      </c>
      <c r="L175" s="286"/>
      <c r="M175" s="705"/>
      <c r="N175" s="706"/>
      <c r="O175" s="707"/>
      <c r="P175" s="286">
        <f>SUM(Budget_Recapitulatif!H18)</f>
        <v>9747.85</v>
      </c>
      <c r="Q175" s="286"/>
      <c r="R175" s="468">
        <f>SUM(R101+R122+R136+R145+R153+R163)*0.07</f>
        <v>7157.85</v>
      </c>
      <c r="S175" s="591">
        <f t="shared" si="108"/>
        <v>0.73430038418728238</v>
      </c>
      <c r="T175" s="286"/>
      <c r="U175" s="286"/>
      <c r="V175" s="288"/>
      <c r="W175" s="198"/>
      <c r="X175" s="289"/>
      <c r="Y175" s="392"/>
      <c r="AA175" s="372"/>
      <c r="AB175" s="390"/>
      <c r="AC175" s="414"/>
      <c r="AD175" s="304"/>
    </row>
    <row r="176" spans="1:30" s="199" customFormat="1" ht="15.75" customHeight="1" x14ac:dyDescent="0.2">
      <c r="A176" s="526"/>
      <c r="B176" s="741" t="s">
        <v>206</v>
      </c>
      <c r="C176" s="741"/>
      <c r="D176" s="741"/>
      <c r="E176" s="741"/>
      <c r="F176" s="741"/>
      <c r="G176" s="742"/>
      <c r="H176" s="334">
        <f>SUM(Budget_Recapitulatif!K18)</f>
        <v>51515.24</v>
      </c>
      <c r="I176" s="336">
        <v>7.0000000000000007E-2</v>
      </c>
      <c r="J176" s="334">
        <f>SUM(J82+J120+J121+J130+J131+J132+J133+J134+J135+J137+J138+J146+J160+J161+J162+J166+J167)*0.07</f>
        <v>49378.140000000007</v>
      </c>
      <c r="K176" s="303">
        <f t="shared" si="123"/>
        <v>0.95851518890332277</v>
      </c>
      <c r="L176" s="286"/>
      <c r="M176" s="705"/>
      <c r="N176" s="706"/>
      <c r="O176" s="707"/>
      <c r="P176" s="286">
        <f>SUM(Budget_Recapitulatif!L18)</f>
        <v>32900.910000000003</v>
      </c>
      <c r="Q176" s="286"/>
      <c r="R176" s="468">
        <f>SUM(R82+R120+R121+R130+R131+R132+R133+R134+R135+R137+R138+R146+R160+R161+R162+R166+R167)*0.07</f>
        <v>26373.9</v>
      </c>
      <c r="S176" s="591">
        <f t="shared" si="108"/>
        <v>0.80161612551142203</v>
      </c>
      <c r="T176" s="286"/>
      <c r="U176" s="286"/>
      <c r="V176" s="288"/>
      <c r="W176" s="198"/>
      <c r="X176" s="289"/>
      <c r="Y176" s="392"/>
      <c r="AA176" s="372"/>
      <c r="AB176" s="390"/>
      <c r="AC176" s="414"/>
      <c r="AD176" s="304"/>
    </row>
    <row r="177" spans="1:31" s="199" customFormat="1" ht="15.75" customHeight="1" x14ac:dyDescent="0.2">
      <c r="A177" s="526"/>
      <c r="B177" s="750" t="s">
        <v>267</v>
      </c>
      <c r="C177" s="761"/>
      <c r="D177" s="761"/>
      <c r="E177" s="761"/>
      <c r="F177" s="761"/>
      <c r="G177" s="762"/>
      <c r="H177" s="334">
        <f>H169</f>
        <v>507267</v>
      </c>
      <c r="I177" s="336">
        <f>H169/H171</f>
        <v>0.29457791549773432</v>
      </c>
      <c r="J177" s="334">
        <f>J169</f>
        <v>523926</v>
      </c>
      <c r="K177" s="303">
        <f>J177/J171</f>
        <v>0.32154594613835669</v>
      </c>
      <c r="L177" s="286"/>
      <c r="M177" s="705"/>
      <c r="N177" s="706"/>
      <c r="O177" s="707"/>
      <c r="P177" s="286">
        <f>P169</f>
        <v>382918</v>
      </c>
      <c r="Q177" s="286"/>
      <c r="R177" s="468">
        <f>R169</f>
        <v>157975</v>
      </c>
      <c r="S177" s="591">
        <f>R177/R171</f>
        <v>0.28500681057578681</v>
      </c>
      <c r="T177" s="286"/>
      <c r="U177" s="286"/>
      <c r="V177" s="288"/>
      <c r="W177" s="198"/>
      <c r="X177" s="289"/>
      <c r="Y177" s="392"/>
      <c r="AA177" s="372"/>
      <c r="AB177" s="390"/>
      <c r="AC177" s="414"/>
      <c r="AD177" s="304"/>
    </row>
    <row r="178" spans="1:31" s="205" customFormat="1" x14ac:dyDescent="0.2">
      <c r="A178" s="763" t="s">
        <v>56</v>
      </c>
      <c r="B178" s="764"/>
      <c r="C178" s="764"/>
      <c r="D178" s="764"/>
      <c r="E178" s="764"/>
      <c r="F178" s="764"/>
      <c r="G178" s="765"/>
      <c r="H178" s="286">
        <f>SUM(H171+H173)</f>
        <v>1842553.91</v>
      </c>
      <c r="I178" s="286"/>
      <c r="J178" s="286">
        <f>SUM(J171+J173)</f>
        <v>1743454.79</v>
      </c>
      <c r="K178" s="172">
        <f>J178/H178</f>
        <v>0.94621643390613197</v>
      </c>
      <c r="L178" s="286"/>
      <c r="M178" s="286"/>
      <c r="N178" s="286"/>
      <c r="O178" s="286"/>
      <c r="P178" s="286">
        <f>SUM(P171+P173)</f>
        <v>1157314.1400000001</v>
      </c>
      <c r="Q178" s="286">
        <f t="shared" ref="Q178:R178" si="124">SUM(Q171+Q173)</f>
        <v>0</v>
      </c>
      <c r="R178" s="286">
        <f t="shared" si="124"/>
        <v>593084.94999999995</v>
      </c>
      <c r="S178" s="606">
        <f t="shared" si="108"/>
        <v>0.51246669292401448</v>
      </c>
      <c r="T178" s="286">
        <f>SUM(T171+T173)</f>
        <v>299732</v>
      </c>
      <c r="U178" s="286">
        <f>SUM(U171+U173)</f>
        <v>2999868.05</v>
      </c>
      <c r="V178" s="295"/>
      <c r="W178" s="286"/>
      <c r="X178" s="297"/>
      <c r="Y178" s="343"/>
      <c r="AA178" s="368"/>
      <c r="AB178" s="386"/>
      <c r="AC178" s="410"/>
      <c r="AD178" s="41"/>
    </row>
    <row r="179" spans="1:31" s="205" customFormat="1" ht="15.75" customHeight="1" x14ac:dyDescent="0.2">
      <c r="A179" s="746" t="s">
        <v>55</v>
      </c>
      <c r="B179" s="747"/>
      <c r="C179" s="747"/>
      <c r="D179" s="747"/>
      <c r="E179" s="747"/>
      <c r="F179" s="747"/>
      <c r="G179" s="748"/>
      <c r="H179" s="286"/>
      <c r="I179" s="295"/>
      <c r="J179" s="295"/>
      <c r="K179" s="172"/>
      <c r="L179" s="286"/>
      <c r="M179" s="295"/>
      <c r="N179" s="286"/>
      <c r="O179" s="295"/>
      <c r="P179" s="286"/>
      <c r="Q179" s="295"/>
      <c r="R179" s="468"/>
      <c r="S179" s="591" t="e">
        <f t="shared" si="108"/>
        <v>#DIV/0!</v>
      </c>
      <c r="T179" s="286"/>
      <c r="U179" s="286">
        <f>H179+P179</f>
        <v>0</v>
      </c>
      <c r="V179" s="295"/>
      <c r="W179" s="286"/>
      <c r="X179" s="297"/>
      <c r="Y179" s="343"/>
      <c r="AA179" s="368"/>
      <c r="AB179" s="386"/>
      <c r="AC179" s="410"/>
      <c r="AD179" s="41"/>
    </row>
    <row r="180" spans="1:31" s="205" customFormat="1" x14ac:dyDescent="0.2">
      <c r="A180" s="749"/>
      <c r="B180" s="749"/>
      <c r="C180" s="749"/>
      <c r="D180" s="524" t="s">
        <v>23</v>
      </c>
      <c r="E180" s="527"/>
      <c r="F180" s="286"/>
      <c r="G180" s="527"/>
      <c r="H180" s="286">
        <f>SUM(H178:H179)</f>
        <v>1842553.91</v>
      </c>
      <c r="I180" s="286">
        <f t="shared" ref="I180" si="125">SUM(I178:I179)</f>
        <v>0</v>
      </c>
      <c r="J180" s="286">
        <f>SUM(J178:J179)</f>
        <v>1743454.79</v>
      </c>
      <c r="K180" s="172"/>
      <c r="L180" s="286"/>
      <c r="M180" s="295"/>
      <c r="N180" s="286"/>
      <c r="O180" s="295"/>
      <c r="P180" s="286">
        <f>SUM(P178:P179)</f>
        <v>1157314.1400000001</v>
      </c>
      <c r="Q180" s="286">
        <f t="shared" ref="Q180:R180" si="126">SUM(Q178:Q179)</f>
        <v>0</v>
      </c>
      <c r="R180" s="286">
        <f t="shared" si="126"/>
        <v>593084.94999999995</v>
      </c>
      <c r="S180" s="591">
        <f t="shared" si="108"/>
        <v>0.51246669292401448</v>
      </c>
      <c r="T180" s="286"/>
      <c r="U180" s="286">
        <f>SUM(U178:U179)</f>
        <v>2999868.05</v>
      </c>
      <c r="V180" s="295"/>
      <c r="W180" s="286"/>
      <c r="X180" s="297"/>
      <c r="Y180" s="343"/>
      <c r="AA180" s="368"/>
      <c r="AB180" s="386"/>
      <c r="AC180" s="410"/>
      <c r="AD180" s="41"/>
    </row>
    <row r="181" spans="1:31" s="199" customFormat="1" x14ac:dyDescent="0.2">
      <c r="A181" s="694"/>
      <c r="B181" s="144"/>
      <c r="C181" s="144"/>
      <c r="E181" s="148"/>
      <c r="F181" s="149"/>
      <c r="G181" s="148"/>
      <c r="H181" s="147"/>
      <c r="I181" s="148"/>
      <c r="J181" s="695"/>
      <c r="K181" s="149">
        <f>SUM(H180-J180)</f>
        <v>99099.119999999879</v>
      </c>
      <c r="L181" s="149"/>
      <c r="M181" s="148"/>
      <c r="N181" s="149"/>
      <c r="O181" s="148"/>
      <c r="P181" s="147"/>
      <c r="Q181" s="148"/>
      <c r="R181" s="149">
        <f>SUM(P180-R180)</f>
        <v>564229.19000000018</v>
      </c>
      <c r="S181" s="148"/>
      <c r="T181" s="149"/>
      <c r="U181" s="149"/>
      <c r="V181" s="148"/>
      <c r="W181" s="149"/>
      <c r="X181" s="696"/>
      <c r="Y181" s="392"/>
      <c r="AA181" s="372"/>
      <c r="AB181" s="390"/>
      <c r="AC181" s="414"/>
      <c r="AD181" s="304"/>
    </row>
    <row r="182" spans="1:31" s="199" customFormat="1" x14ac:dyDescent="0.2">
      <c r="A182" s="694" t="s">
        <v>5</v>
      </c>
      <c r="B182" s="694"/>
      <c r="C182" s="694"/>
      <c r="D182" s="205"/>
      <c r="E182" s="157"/>
      <c r="F182" s="147"/>
      <c r="G182" s="157"/>
      <c r="H182" s="147"/>
      <c r="I182" s="157"/>
      <c r="J182" s="157"/>
      <c r="K182" s="157"/>
      <c r="L182" s="147"/>
      <c r="M182" s="157"/>
      <c r="N182" s="147"/>
      <c r="O182" s="157"/>
      <c r="P182" s="147"/>
      <c r="Q182" s="148"/>
      <c r="R182" s="148"/>
      <c r="S182" s="148"/>
      <c r="T182" s="149"/>
      <c r="U182" s="149"/>
      <c r="V182" s="148"/>
      <c r="W182" s="149"/>
      <c r="Y182" s="392"/>
      <c r="AA182" s="372"/>
      <c r="AB182" s="390"/>
      <c r="AC182" s="414"/>
      <c r="AD182" s="304"/>
    </row>
    <row r="183" spans="1:31" s="199" customFormat="1" ht="29.25" customHeight="1" x14ac:dyDescent="0.2">
      <c r="A183" s="697" t="s">
        <v>24</v>
      </c>
      <c r="B183" s="144"/>
      <c r="C183" s="144"/>
      <c r="E183" s="148"/>
      <c r="F183" s="335"/>
      <c r="G183" s="695"/>
      <c r="H183" s="335"/>
      <c r="I183" s="698" t="s">
        <v>297</v>
      </c>
      <c r="J183" s="547" t="s">
        <v>298</v>
      </c>
      <c r="K183" s="548" t="s">
        <v>292</v>
      </c>
      <c r="L183" s="549" t="s">
        <v>296</v>
      </c>
      <c r="M183" s="550" t="s">
        <v>293</v>
      </c>
      <c r="N183" s="699" t="s">
        <v>299</v>
      </c>
      <c r="O183" s="157"/>
      <c r="P183" s="147"/>
      <c r="Q183" s="148"/>
      <c r="R183" s="148"/>
      <c r="S183" s="148"/>
      <c r="T183" s="149"/>
      <c r="U183" s="149"/>
      <c r="V183" s="148"/>
      <c r="W183" s="149"/>
      <c r="Y183" s="392"/>
      <c r="AA183" s="372"/>
      <c r="AB183" s="390"/>
      <c r="AC183" s="414"/>
      <c r="AD183" s="304"/>
    </row>
    <row r="184" spans="1:31" s="199" customFormat="1" ht="12.75" customHeight="1" x14ac:dyDescent="0.2">
      <c r="A184" s="759" t="s">
        <v>35</v>
      </c>
      <c r="B184" s="759"/>
      <c r="C184" s="759"/>
      <c r="D184" s="759"/>
      <c r="E184" s="759"/>
      <c r="F184" s="339"/>
      <c r="G184" s="338"/>
      <c r="H184" s="335"/>
      <c r="I184" s="758" t="s">
        <v>294</v>
      </c>
      <c r="J184" s="551" t="s">
        <v>68</v>
      </c>
      <c r="K184" s="552">
        <v>774031.58</v>
      </c>
      <c r="L184" s="552">
        <v>774031.58</v>
      </c>
      <c r="M184" s="553">
        <v>707601.7</v>
      </c>
      <c r="N184" s="554">
        <f>SUM(L184-M184)</f>
        <v>66429.88</v>
      </c>
      <c r="O184" s="148"/>
      <c r="P184" s="147"/>
      <c r="Q184" s="148"/>
      <c r="R184" s="148"/>
      <c r="S184" s="148"/>
      <c r="T184" s="149"/>
      <c r="U184" s="149"/>
      <c r="V184" s="148"/>
      <c r="W184" s="149"/>
      <c r="Y184" s="392"/>
      <c r="AA184" s="372"/>
      <c r="AB184" s="390"/>
      <c r="AC184" s="414"/>
      <c r="AD184" s="304"/>
    </row>
    <row r="185" spans="1:31" s="199" customFormat="1" ht="15.75" x14ac:dyDescent="0.2">
      <c r="A185" s="697" t="s">
        <v>49</v>
      </c>
      <c r="B185" s="144"/>
      <c r="C185" s="144"/>
      <c r="D185" s="205"/>
      <c r="E185" s="148"/>
      <c r="F185" s="339"/>
      <c r="G185" s="338"/>
      <c r="H185" s="335"/>
      <c r="I185" s="758"/>
      <c r="J185" s="551" t="s">
        <v>89</v>
      </c>
      <c r="K185" s="552">
        <v>787447.24</v>
      </c>
      <c r="L185" s="552">
        <v>787447.24</v>
      </c>
      <c r="M185" s="553">
        <v>754780.14</v>
      </c>
      <c r="N185" s="554">
        <f t="shared" ref="N185:N189" si="127">SUM(L185-M185)</f>
        <v>32667.099999999977</v>
      </c>
      <c r="O185" s="148"/>
      <c r="P185" s="147"/>
      <c r="Q185" s="148"/>
      <c r="R185" s="148"/>
      <c r="S185" s="148"/>
      <c r="T185" s="149"/>
      <c r="U185" s="149"/>
      <c r="V185" s="148"/>
      <c r="W185" s="149"/>
      <c r="Y185" s="392"/>
      <c r="AA185" s="372"/>
      <c r="AB185" s="390"/>
      <c r="AC185" s="414"/>
      <c r="AD185" s="304"/>
    </row>
    <row r="186" spans="1:31" s="199" customFormat="1" ht="15.75" x14ac:dyDescent="0.2">
      <c r="A186" s="144"/>
      <c r="B186" s="144" t="s">
        <v>27</v>
      </c>
      <c r="C186" s="144"/>
      <c r="E186" s="148"/>
      <c r="F186" s="339"/>
      <c r="G186" s="338"/>
      <c r="H186" s="335"/>
      <c r="I186" s="758"/>
      <c r="J186" s="551" t="s">
        <v>104</v>
      </c>
      <c r="K186" s="553">
        <v>281075.09000000003</v>
      </c>
      <c r="L186" s="552">
        <v>281075.09000000003</v>
      </c>
      <c r="M186" s="553">
        <v>281072.95</v>
      </c>
      <c r="N186" s="554">
        <f t="shared" si="127"/>
        <v>2.1400000000139698</v>
      </c>
      <c r="O186" s="148"/>
      <c r="P186" s="147"/>
      <c r="Q186" s="148"/>
      <c r="R186" s="148"/>
      <c r="S186" s="148"/>
      <c r="T186" s="149"/>
      <c r="U186" s="149"/>
      <c r="V186" s="148"/>
      <c r="W186" s="149"/>
      <c r="Y186" s="392"/>
      <c r="AA186" s="372"/>
      <c r="AB186" s="390"/>
      <c r="AC186" s="414"/>
      <c r="AD186" s="304"/>
    </row>
    <row r="187" spans="1:31" s="199" customFormat="1" ht="15.75" x14ac:dyDescent="0.2">
      <c r="A187" s="144"/>
      <c r="B187" s="144" t="s">
        <v>28</v>
      </c>
      <c r="C187" s="144"/>
      <c r="E187" s="148"/>
      <c r="F187" s="339"/>
      <c r="G187" s="338"/>
      <c r="H187" s="335"/>
      <c r="I187" s="758" t="s">
        <v>295</v>
      </c>
      <c r="J187" s="551" t="s">
        <v>68</v>
      </c>
      <c r="K187" s="553">
        <v>505397.38</v>
      </c>
      <c r="L187" s="552">
        <v>505397.38</v>
      </c>
      <c r="M187" s="553">
        <v>80528.2</v>
      </c>
      <c r="N187" s="554">
        <f t="shared" si="127"/>
        <v>424869.18</v>
      </c>
      <c r="O187" s="148"/>
      <c r="P187" s="147"/>
      <c r="Q187" s="148"/>
      <c r="R187" s="148"/>
      <c r="S187" s="148"/>
      <c r="T187" s="149"/>
      <c r="U187" s="149"/>
      <c r="V187" s="148"/>
      <c r="W187" s="149"/>
      <c r="Y187" s="392"/>
      <c r="AA187" s="372"/>
      <c r="AB187" s="390"/>
      <c r="AC187" s="414"/>
      <c r="AD187" s="304"/>
    </row>
    <row r="188" spans="1:31" s="199" customFormat="1" ht="15.75" x14ac:dyDescent="0.2">
      <c r="A188" s="759" t="s">
        <v>50</v>
      </c>
      <c r="B188" s="759"/>
      <c r="C188" s="759"/>
      <c r="D188" s="759"/>
      <c r="E188" s="759"/>
      <c r="F188" s="339"/>
      <c r="G188" s="338"/>
      <c r="H188" s="335"/>
      <c r="I188" s="758"/>
      <c r="J188" s="551" t="s">
        <v>89</v>
      </c>
      <c r="K188" s="553">
        <v>502913.91000000003</v>
      </c>
      <c r="L188" s="552">
        <v>502913.91000000003</v>
      </c>
      <c r="M188" s="553">
        <v>403143.9</v>
      </c>
      <c r="N188" s="554">
        <f t="shared" si="127"/>
        <v>99770.010000000009</v>
      </c>
      <c r="O188" s="148"/>
      <c r="P188" s="147"/>
      <c r="Q188" s="148"/>
      <c r="R188" s="148"/>
      <c r="S188" s="148"/>
      <c r="T188" s="149"/>
      <c r="U188" s="149"/>
      <c r="V188" s="148"/>
      <c r="W188" s="149"/>
      <c r="Y188" s="392"/>
      <c r="AA188" s="372"/>
      <c r="AB188" s="390"/>
      <c r="AC188" s="414"/>
      <c r="AD188" s="304"/>
    </row>
    <row r="189" spans="1:31" s="199" customFormat="1" ht="15.75" x14ac:dyDescent="0.2">
      <c r="A189" s="759" t="s">
        <v>58</v>
      </c>
      <c r="B189" s="759"/>
      <c r="C189" s="759"/>
      <c r="D189" s="759"/>
      <c r="E189" s="759"/>
      <c r="F189" s="149"/>
      <c r="G189" s="148"/>
      <c r="H189" s="147"/>
      <c r="I189" s="758"/>
      <c r="J189" s="551" t="s">
        <v>104</v>
      </c>
      <c r="K189" s="553">
        <v>149002.85</v>
      </c>
      <c r="L189" s="552">
        <v>149002.85</v>
      </c>
      <c r="M189" s="553">
        <v>109412.85</v>
      </c>
      <c r="N189" s="554">
        <f t="shared" si="127"/>
        <v>39590</v>
      </c>
      <c r="O189" s="148"/>
      <c r="P189" s="147"/>
      <c r="Q189" s="148"/>
      <c r="R189" s="148"/>
      <c r="S189" s="148"/>
      <c r="T189" s="149"/>
      <c r="U189" s="149"/>
      <c r="V189" s="148"/>
      <c r="W189" s="149"/>
      <c r="Y189" s="392"/>
      <c r="AA189" s="372"/>
      <c r="AB189" s="390"/>
      <c r="AC189" s="414"/>
      <c r="AD189" s="304"/>
    </row>
    <row r="190" spans="1:31" s="199" customFormat="1" ht="15.75" x14ac:dyDescent="0.2">
      <c r="A190" s="144"/>
      <c r="B190" s="144"/>
      <c r="C190" s="144"/>
      <c r="E190" s="148"/>
      <c r="F190" s="149"/>
      <c r="G190" s="148"/>
      <c r="H190" s="147"/>
      <c r="I190" s="760" t="s">
        <v>301</v>
      </c>
      <c r="J190" s="551" t="s">
        <v>68</v>
      </c>
      <c r="K190" s="554">
        <f>SUM(K184+K187)</f>
        <v>1279428.96</v>
      </c>
      <c r="L190" s="554">
        <f>SUM(L184+L187)</f>
        <v>1279428.96</v>
      </c>
      <c r="M190" s="554">
        <f>SUM(M184+M187)</f>
        <v>788129.89999999991</v>
      </c>
      <c r="N190" s="554">
        <f>SUM(N184+N187)</f>
        <v>491299.06</v>
      </c>
      <c r="O190" s="148"/>
      <c r="P190" s="147"/>
      <c r="Q190" s="148"/>
      <c r="R190" s="148"/>
      <c r="S190" s="148"/>
      <c r="T190" s="149"/>
      <c r="U190" s="149"/>
      <c r="V190" s="148"/>
      <c r="W190" s="149"/>
      <c r="Y190" s="392"/>
      <c r="AA190" s="372"/>
      <c r="AB190" s="390"/>
      <c r="AC190" s="414"/>
      <c r="AD190" s="304"/>
    </row>
    <row r="191" spans="1:31" s="148" customFormat="1" ht="15.75" x14ac:dyDescent="0.2">
      <c r="A191" s="700" t="s">
        <v>38</v>
      </c>
      <c r="B191" s="144"/>
      <c r="C191" s="144"/>
      <c r="D191" s="199"/>
      <c r="F191" s="149"/>
      <c r="H191" s="147"/>
      <c r="I191" s="760"/>
      <c r="J191" s="551" t="s">
        <v>89</v>
      </c>
      <c r="K191" s="554">
        <f t="shared" ref="K191:N192" si="128">SUM(K188+K185)</f>
        <v>1290361.1499999999</v>
      </c>
      <c r="L191" s="554">
        <f t="shared" si="128"/>
        <v>1290361.1499999999</v>
      </c>
      <c r="M191" s="554">
        <f t="shared" si="128"/>
        <v>1157924.04</v>
      </c>
      <c r="N191" s="554">
        <f t="shared" si="128"/>
        <v>132437.10999999999</v>
      </c>
      <c r="P191" s="147"/>
      <c r="T191" s="149"/>
      <c r="U191" s="149"/>
      <c r="W191" s="149"/>
      <c r="X191" s="199"/>
      <c r="Y191" s="392"/>
      <c r="Z191" s="199"/>
      <c r="AA191" s="372"/>
      <c r="AB191" s="390"/>
      <c r="AC191" s="414"/>
      <c r="AD191" s="304"/>
      <c r="AE191" s="199"/>
    </row>
    <row r="192" spans="1:31" s="148" customFormat="1" ht="15.75" x14ac:dyDescent="0.2">
      <c r="A192" s="697" t="s">
        <v>14</v>
      </c>
      <c r="B192" s="144"/>
      <c r="C192" s="144"/>
      <c r="D192" s="199"/>
      <c r="F192" s="149"/>
      <c r="H192" s="147"/>
      <c r="I192" s="760"/>
      <c r="J192" s="551" t="s">
        <v>104</v>
      </c>
      <c r="K192" s="547">
        <f t="shared" si="128"/>
        <v>430077.94000000006</v>
      </c>
      <c r="L192" s="547">
        <f t="shared" si="128"/>
        <v>430077.94000000006</v>
      </c>
      <c r="M192" s="547">
        <f t="shared" si="128"/>
        <v>390485.80000000005</v>
      </c>
      <c r="N192" s="547">
        <f t="shared" si="128"/>
        <v>39592.140000000014</v>
      </c>
      <c r="P192" s="147"/>
      <c r="T192" s="149"/>
      <c r="U192" s="149"/>
      <c r="W192" s="149"/>
      <c r="X192" s="199"/>
      <c r="Y192" s="392"/>
      <c r="Z192" s="199"/>
      <c r="AA192" s="372"/>
      <c r="AB192" s="390"/>
      <c r="AC192" s="414"/>
      <c r="AD192" s="304"/>
      <c r="AE192" s="199"/>
    </row>
    <row r="193" spans="1:31" s="148" customFormat="1" ht="15.75" x14ac:dyDescent="0.2">
      <c r="A193" s="697" t="s">
        <v>15</v>
      </c>
      <c r="B193" s="144"/>
      <c r="C193" s="144"/>
      <c r="D193" s="199"/>
      <c r="F193" s="149"/>
      <c r="H193" s="147"/>
      <c r="I193" s="760"/>
      <c r="J193" s="547" t="s">
        <v>302</v>
      </c>
      <c r="K193" s="554">
        <f>SUM(K190:K192)</f>
        <v>2999868.05</v>
      </c>
      <c r="L193" s="554">
        <f t="shared" ref="L193:N193" si="129">SUM(L190:L192)</f>
        <v>2999868.05</v>
      </c>
      <c r="M193" s="554">
        <f t="shared" si="129"/>
        <v>2336539.7400000002</v>
      </c>
      <c r="N193" s="554">
        <f t="shared" si="129"/>
        <v>663328.30999999994</v>
      </c>
      <c r="P193" s="147"/>
      <c r="T193" s="149"/>
      <c r="U193" s="149"/>
      <c r="W193" s="149"/>
      <c r="X193" s="199"/>
      <c r="Y193" s="392"/>
      <c r="Z193" s="199"/>
      <c r="AA193" s="372"/>
      <c r="AB193" s="390"/>
      <c r="AC193" s="414"/>
      <c r="AD193" s="304"/>
      <c r="AE193" s="199"/>
    </row>
    <row r="194" spans="1:31" s="148" customFormat="1" x14ac:dyDescent="0.2">
      <c r="A194" s="697" t="s">
        <v>30</v>
      </c>
      <c r="B194" s="144"/>
      <c r="C194" s="144"/>
      <c r="D194" s="199"/>
      <c r="F194" s="149"/>
      <c r="H194" s="147"/>
      <c r="L194" s="149"/>
      <c r="N194" s="149"/>
      <c r="P194" s="147"/>
      <c r="T194" s="149"/>
      <c r="U194" s="149"/>
      <c r="W194" s="149"/>
      <c r="X194" s="199"/>
      <c r="Y194" s="392"/>
      <c r="Z194" s="199"/>
      <c r="AA194" s="372"/>
      <c r="AB194" s="390"/>
      <c r="AC194" s="414"/>
      <c r="AD194" s="304"/>
      <c r="AE194" s="199"/>
    </row>
    <row r="195" spans="1:31" s="148" customFormat="1" x14ac:dyDescent="0.2">
      <c r="A195" s="697" t="s">
        <v>36</v>
      </c>
      <c r="B195" s="144"/>
      <c r="C195" s="144"/>
      <c r="D195" s="199"/>
      <c r="F195" s="149"/>
      <c r="H195" s="147"/>
      <c r="L195" s="149"/>
      <c r="N195" s="149"/>
      <c r="P195" s="147"/>
      <c r="T195" s="149"/>
      <c r="U195" s="149"/>
      <c r="W195" s="149"/>
      <c r="X195" s="199"/>
      <c r="Y195" s="392"/>
      <c r="Z195" s="199"/>
      <c r="AA195" s="372"/>
      <c r="AB195" s="390"/>
      <c r="AC195" s="414"/>
      <c r="AD195" s="304"/>
      <c r="AE195" s="199"/>
    </row>
    <row r="196" spans="1:31" s="148" customFormat="1" x14ac:dyDescent="0.2">
      <c r="A196" s="697" t="s">
        <v>16</v>
      </c>
      <c r="B196" s="144"/>
      <c r="C196" s="144"/>
      <c r="D196" s="199"/>
      <c r="F196" s="149"/>
      <c r="H196" s="147"/>
      <c r="L196" s="149"/>
      <c r="N196" s="149"/>
      <c r="P196" s="147"/>
      <c r="T196" s="149"/>
      <c r="U196" s="149"/>
      <c r="W196" s="149"/>
      <c r="X196" s="199"/>
      <c r="Y196" s="392"/>
      <c r="Z196" s="199"/>
      <c r="AA196" s="372"/>
      <c r="AB196" s="390"/>
      <c r="AC196" s="414"/>
      <c r="AD196" s="304"/>
      <c r="AE196" s="199"/>
    </row>
    <row r="197" spans="1:31" s="148" customFormat="1" x14ac:dyDescent="0.2">
      <c r="A197" s="697" t="s">
        <v>37</v>
      </c>
      <c r="B197" s="144"/>
      <c r="C197" s="144"/>
      <c r="D197" s="199"/>
      <c r="F197" s="149"/>
      <c r="H197" s="147"/>
      <c r="L197" s="149"/>
      <c r="N197" s="149"/>
      <c r="P197" s="147"/>
      <c r="T197" s="149"/>
      <c r="U197" s="149"/>
      <c r="W197" s="149"/>
      <c r="X197" s="199"/>
      <c r="Y197" s="392"/>
      <c r="Z197" s="199"/>
      <c r="AA197" s="372"/>
      <c r="AB197" s="390"/>
      <c r="AC197" s="414"/>
      <c r="AD197" s="304"/>
      <c r="AE197" s="199"/>
    </row>
    <row r="198" spans="1:31" s="148" customFormat="1" x14ac:dyDescent="0.2">
      <c r="A198" s="697" t="s">
        <v>17</v>
      </c>
      <c r="B198" s="144"/>
      <c r="C198" s="144"/>
      <c r="D198" s="199"/>
      <c r="F198" s="149"/>
      <c r="H198" s="147"/>
      <c r="L198" s="149"/>
      <c r="N198" s="149"/>
      <c r="P198" s="147"/>
      <c r="T198" s="149"/>
      <c r="U198" s="149"/>
      <c r="W198" s="149"/>
      <c r="X198" s="199"/>
      <c r="Y198" s="392"/>
      <c r="Z198" s="199"/>
      <c r="AA198" s="372"/>
      <c r="AB198" s="390"/>
      <c r="AC198" s="414"/>
      <c r="AD198" s="304"/>
      <c r="AE198" s="199"/>
    </row>
    <row r="199" spans="1:31" s="199" customFormat="1" x14ac:dyDescent="0.2">
      <c r="A199" s="144"/>
      <c r="B199" s="144"/>
      <c r="C199" s="144"/>
      <c r="E199" s="148"/>
      <c r="F199" s="149"/>
      <c r="G199" s="148"/>
      <c r="H199" s="147"/>
      <c r="I199" s="148"/>
      <c r="J199" s="148"/>
      <c r="K199" s="148"/>
      <c r="L199" s="149"/>
      <c r="M199" s="148"/>
      <c r="N199" s="149"/>
      <c r="O199" s="148"/>
      <c r="P199" s="147"/>
      <c r="Q199" s="148"/>
      <c r="R199" s="148"/>
      <c r="S199" s="148"/>
      <c r="T199" s="149"/>
      <c r="U199" s="149"/>
      <c r="V199" s="148"/>
      <c r="W199" s="149"/>
      <c r="Y199" s="392"/>
      <c r="AA199" s="372"/>
      <c r="AB199" s="390"/>
      <c r="AC199" s="414"/>
      <c r="AD199" s="304"/>
    </row>
    <row r="200" spans="1:31" s="199" customFormat="1" x14ac:dyDescent="0.2">
      <c r="A200" s="144"/>
      <c r="B200" s="144"/>
      <c r="C200" s="144"/>
      <c r="E200" s="148"/>
      <c r="F200" s="149"/>
      <c r="G200" s="148"/>
      <c r="H200" s="147"/>
      <c r="I200" s="148"/>
      <c r="J200" s="148"/>
      <c r="K200" s="148"/>
      <c r="L200" s="149"/>
      <c r="M200" s="148"/>
      <c r="N200" s="149"/>
      <c r="O200" s="148"/>
      <c r="P200" s="147"/>
      <c r="Q200" s="148"/>
      <c r="R200" s="148"/>
      <c r="S200" s="148"/>
      <c r="T200" s="149"/>
      <c r="U200" s="149"/>
      <c r="V200" s="148"/>
      <c r="W200" s="149"/>
      <c r="Y200" s="392"/>
      <c r="AA200" s="372"/>
      <c r="AB200" s="390"/>
      <c r="AC200" s="414"/>
      <c r="AD200" s="304"/>
    </row>
    <row r="201" spans="1:31" s="199" customFormat="1" x14ac:dyDescent="0.2">
      <c r="A201" s="144"/>
      <c r="B201" s="144"/>
      <c r="C201" s="144"/>
      <c r="E201" s="148"/>
      <c r="F201" s="149"/>
      <c r="G201" s="148"/>
      <c r="H201" s="147"/>
      <c r="I201" s="148"/>
      <c r="J201" s="148"/>
      <c r="K201" s="148"/>
      <c r="L201" s="149"/>
      <c r="M201" s="148"/>
      <c r="N201" s="149"/>
      <c r="O201" s="148"/>
      <c r="P201" s="147"/>
      <c r="Q201" s="148"/>
      <c r="R201" s="148"/>
      <c r="S201" s="148"/>
      <c r="T201" s="149"/>
      <c r="U201" s="149"/>
      <c r="V201" s="148"/>
      <c r="W201" s="149"/>
      <c r="Y201" s="392"/>
      <c r="AA201" s="372"/>
      <c r="AB201" s="390"/>
      <c r="AC201" s="414"/>
      <c r="AD201" s="304"/>
    </row>
  </sheetData>
  <dataConsolidate/>
  <mergeCells count="74">
    <mergeCell ref="A4:B4"/>
    <mergeCell ref="A5:B5"/>
    <mergeCell ref="A6:B6"/>
    <mergeCell ref="A7:B7"/>
    <mergeCell ref="A8:B8"/>
    <mergeCell ref="Z8:Z9"/>
    <mergeCell ref="AA8:AC8"/>
    <mergeCell ref="A9:B9"/>
    <mergeCell ref="I8:K8"/>
    <mergeCell ref="L8:L9"/>
    <mergeCell ref="N8:N9"/>
    <mergeCell ref="O8:Q8"/>
    <mergeCell ref="U8:U9"/>
    <mergeCell ref="V8:X8"/>
    <mergeCell ref="H8:H9"/>
    <mergeCell ref="A60:X60"/>
    <mergeCell ref="A17:A27"/>
    <mergeCell ref="B27:G27"/>
    <mergeCell ref="A28:A35"/>
    <mergeCell ref="B35:G35"/>
    <mergeCell ref="A36:A41"/>
    <mergeCell ref="B41:G41"/>
    <mergeCell ref="A42:A48"/>
    <mergeCell ref="B48:G48"/>
    <mergeCell ref="A49:A58"/>
    <mergeCell ref="B58:G58"/>
    <mergeCell ref="A59:G59"/>
    <mergeCell ref="A61:A67"/>
    <mergeCell ref="B67:G67"/>
    <mergeCell ref="A68:A72"/>
    <mergeCell ref="B72:G72"/>
    <mergeCell ref="A73:A81"/>
    <mergeCell ref="B81:G81"/>
    <mergeCell ref="A114:G114"/>
    <mergeCell ref="A82:G82"/>
    <mergeCell ref="A83:X83"/>
    <mergeCell ref="A84:A88"/>
    <mergeCell ref="B88:G88"/>
    <mergeCell ref="A89:A100"/>
    <mergeCell ref="B100:G100"/>
    <mergeCell ref="A101:G101"/>
    <mergeCell ref="A103:A111"/>
    <mergeCell ref="B112:G112"/>
    <mergeCell ref="A113:G113"/>
    <mergeCell ref="W113:X113"/>
    <mergeCell ref="M173:O173"/>
    <mergeCell ref="A115:X115"/>
    <mergeCell ref="B123:G123"/>
    <mergeCell ref="B139:G139"/>
    <mergeCell ref="B147:G147"/>
    <mergeCell ref="B154:G154"/>
    <mergeCell ref="B164:G164"/>
    <mergeCell ref="B168:G168"/>
    <mergeCell ref="A169:G169"/>
    <mergeCell ref="A170:D171"/>
    <mergeCell ref="B172:G172"/>
    <mergeCell ref="A173:G173"/>
    <mergeCell ref="B174:G174"/>
    <mergeCell ref="M174:O174"/>
    <mergeCell ref="B175:G175"/>
    <mergeCell ref="M175:O175"/>
    <mergeCell ref="B176:G176"/>
    <mergeCell ref="M176:O176"/>
    <mergeCell ref="M177:O177"/>
    <mergeCell ref="A178:G178"/>
    <mergeCell ref="A179:G179"/>
    <mergeCell ref="A180:C180"/>
    <mergeCell ref="A184:E184"/>
    <mergeCell ref="I184:I186"/>
    <mergeCell ref="I187:I189"/>
    <mergeCell ref="A188:E188"/>
    <mergeCell ref="A189:E189"/>
    <mergeCell ref="I190:I193"/>
    <mergeCell ref="B177:G177"/>
  </mergeCells>
  <dataValidations count="3">
    <dataValidation type="list" allowBlank="1" showInputMessage="1" showErrorMessage="1" sqref="C35">
      <formula1>$A$112:$A$119</formula1>
    </dataValidation>
    <dataValidation type="list" allowBlank="1" showInputMessage="1" showErrorMessage="1" sqref="C89:C99 C28:C34 C61:C66 C68:C71 C156:C163 C149:C153 C103:C111 C49:C57 C42:C47 C36:C40 C117:C122 C84:C87 C125:C138 C141:C146 C73:C80 C166:C167 C17:C26">
      <formula1>$A$192:$A$198</formula1>
    </dataValidation>
    <dataValidation type="list" allowBlank="1" showInputMessage="1" showErrorMessage="1" sqref="C164 C168 C72 C123 C147 C154 C100 C81 C67 C139 D153 D122">
      <formula1>categories</formula1>
    </dataValidation>
  </dataValidations>
  <pageMargins left="0.19685039370078741" right="3.937007874015748E-2" top="0.9055118110236221" bottom="0.6692913385826772" header="0" footer="0"/>
  <pageSetup scale="24" fitToHeight="0" orientation="landscape" r:id="rId1"/>
  <headerFooter alignWithMargins="0">
    <oddFooter>Página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29"/>
  <sheetViews>
    <sheetView workbookViewId="0">
      <selection activeCell="D12" sqref="D12"/>
    </sheetView>
  </sheetViews>
  <sheetFormatPr defaultColWidth="9.140625" defaultRowHeight="12.75" x14ac:dyDescent="0.2"/>
  <cols>
    <col min="1" max="1" width="59.5703125" customWidth="1"/>
    <col min="2" max="2" width="14" customWidth="1"/>
    <col min="3" max="3" width="12.140625" customWidth="1"/>
    <col min="4" max="4" width="15.42578125" customWidth="1"/>
    <col min="5" max="5" width="10.28515625" bestFit="1" customWidth="1"/>
    <col min="8" max="8" width="12.7109375" customWidth="1"/>
    <col min="10" max="10" width="13.7109375" customWidth="1"/>
  </cols>
  <sheetData>
    <row r="5" spans="1:8" x14ac:dyDescent="0.2">
      <c r="B5">
        <v>1620</v>
      </c>
      <c r="C5">
        <v>1620</v>
      </c>
    </row>
    <row r="6" spans="1:8" x14ac:dyDescent="0.2">
      <c r="B6">
        <v>2400</v>
      </c>
      <c r="C6">
        <v>2400</v>
      </c>
    </row>
    <row r="7" spans="1:8" x14ac:dyDescent="0.2">
      <c r="B7">
        <v>660</v>
      </c>
      <c r="C7">
        <v>660</v>
      </c>
    </row>
    <row r="8" spans="1:8" x14ac:dyDescent="0.2">
      <c r="B8">
        <v>7470</v>
      </c>
      <c r="C8">
        <v>7470</v>
      </c>
      <c r="D8" s="502" t="s">
        <v>290</v>
      </c>
    </row>
    <row r="9" spans="1:8" ht="30" customHeight="1" x14ac:dyDescent="0.2">
      <c r="A9" s="428" t="s">
        <v>274</v>
      </c>
      <c r="B9" s="438">
        <v>4650</v>
      </c>
      <c r="C9">
        <v>4650</v>
      </c>
      <c r="D9" s="503">
        <v>2850</v>
      </c>
      <c r="E9">
        <v>10</v>
      </c>
      <c r="F9">
        <v>281</v>
      </c>
      <c r="G9">
        <v>1</v>
      </c>
      <c r="H9">
        <f>SUM(E9*F9*G9)</f>
        <v>2810</v>
      </c>
    </row>
    <row r="10" spans="1:8" ht="30" customHeight="1" x14ac:dyDescent="0.2">
      <c r="A10" s="428" t="s">
        <v>257</v>
      </c>
      <c r="B10" s="438">
        <v>6300</v>
      </c>
      <c r="C10">
        <v>6300</v>
      </c>
      <c r="D10" s="503">
        <v>4200</v>
      </c>
      <c r="E10">
        <v>10</v>
      </c>
      <c r="F10">
        <v>420</v>
      </c>
      <c r="G10">
        <v>1</v>
      </c>
      <c r="H10">
        <f>SUM(E10*F10*G10)</f>
        <v>4200</v>
      </c>
    </row>
    <row r="11" spans="1:8" ht="30" customHeight="1" x14ac:dyDescent="0.2">
      <c r="A11" s="428" t="s">
        <v>258</v>
      </c>
      <c r="B11" s="438">
        <v>9000</v>
      </c>
      <c r="C11">
        <v>9000</v>
      </c>
      <c r="D11" s="503">
        <v>6000</v>
      </c>
      <c r="E11">
        <v>10</v>
      </c>
      <c r="F11">
        <v>280</v>
      </c>
      <c r="G11">
        <v>2</v>
      </c>
      <c r="H11">
        <f t="shared" ref="H11:H14" si="0">SUM(E11*F11*G11)</f>
        <v>5600</v>
      </c>
    </row>
    <row r="12" spans="1:8" ht="30" customHeight="1" x14ac:dyDescent="0.2">
      <c r="A12" s="428" t="s">
        <v>259</v>
      </c>
      <c r="B12" s="438">
        <v>20000</v>
      </c>
      <c r="C12">
        <v>25000</v>
      </c>
      <c r="D12" s="503">
        <v>0</v>
      </c>
      <c r="E12">
        <v>0</v>
      </c>
      <c r="F12">
        <v>0</v>
      </c>
      <c r="G12">
        <v>0</v>
      </c>
      <c r="H12">
        <f t="shared" si="0"/>
        <v>0</v>
      </c>
    </row>
    <row r="13" spans="1:8" ht="30" customHeight="1" x14ac:dyDescent="0.2">
      <c r="A13" s="428" t="s">
        <v>260</v>
      </c>
      <c r="B13" s="438">
        <v>15000</v>
      </c>
      <c r="C13">
        <v>15000</v>
      </c>
      <c r="D13" s="503">
        <v>10220</v>
      </c>
      <c r="E13">
        <v>10</v>
      </c>
      <c r="F13">
        <v>600</v>
      </c>
      <c r="G13">
        <v>1</v>
      </c>
      <c r="H13">
        <f t="shared" si="0"/>
        <v>6000</v>
      </c>
    </row>
    <row r="14" spans="1:8" ht="30" customHeight="1" x14ac:dyDescent="0.2">
      <c r="A14" s="428" t="s">
        <v>261</v>
      </c>
      <c r="B14" s="438">
        <v>5910</v>
      </c>
      <c r="C14">
        <v>9000</v>
      </c>
      <c r="D14" s="503">
        <v>6000</v>
      </c>
      <c r="E14">
        <v>10</v>
      </c>
      <c r="F14">
        <v>180</v>
      </c>
      <c r="G14">
        <v>2</v>
      </c>
      <c r="H14">
        <f t="shared" si="0"/>
        <v>3600</v>
      </c>
    </row>
    <row r="15" spans="1:8" x14ac:dyDescent="0.2">
      <c r="B15" s="503">
        <f>SUM(B5:B14)</f>
        <v>73010</v>
      </c>
      <c r="C15" s="503">
        <f t="shared" ref="C15" si="1">SUM(C5:C14)</f>
        <v>81100</v>
      </c>
      <c r="D15" s="503">
        <f>SUM(D5:D14)</f>
        <v>29270</v>
      </c>
      <c r="E15" s="503">
        <f t="shared" ref="E15" si="2">SUM(E5:E14)</f>
        <v>50</v>
      </c>
      <c r="F15" s="503">
        <f t="shared" ref="F15" si="3">SUM(F5:F14)</f>
        <v>1761</v>
      </c>
      <c r="G15" s="503">
        <f t="shared" ref="G15" si="4">SUM(G5:G14)</f>
        <v>7</v>
      </c>
      <c r="H15" s="503">
        <f t="shared" ref="H15" si="5">SUM(H5:H14)</f>
        <v>22210</v>
      </c>
    </row>
    <row r="16" spans="1:8" x14ac:dyDescent="0.2">
      <c r="D16" s="506">
        <v>22210</v>
      </c>
      <c r="E16" s="503">
        <f>SUM(D15-D16)</f>
        <v>7060</v>
      </c>
    </row>
    <row r="17" spans="1:10" ht="51" x14ac:dyDescent="0.2">
      <c r="A17" s="425" t="s">
        <v>115</v>
      </c>
      <c r="B17">
        <v>4800</v>
      </c>
      <c r="C17">
        <v>4800</v>
      </c>
      <c r="D17" s="503">
        <v>0</v>
      </c>
      <c r="H17" s="506"/>
      <c r="J17">
        <v>1168848.74</v>
      </c>
    </row>
    <row r="18" spans="1:10" ht="38.25" x14ac:dyDescent="0.2">
      <c r="A18" s="425" t="s">
        <v>163</v>
      </c>
      <c r="B18" s="504">
        <v>8720</v>
      </c>
      <c r="C18" s="504">
        <v>5000</v>
      </c>
      <c r="D18" s="505">
        <v>0</v>
      </c>
      <c r="E18" s="504">
        <v>9443</v>
      </c>
      <c r="F18" s="504">
        <f>SUM(E18-B18)</f>
        <v>723</v>
      </c>
      <c r="J18">
        <v>1157314.1399999999</v>
      </c>
    </row>
    <row r="19" spans="1:10" ht="63.75" x14ac:dyDescent="0.2">
      <c r="A19" s="423" t="s">
        <v>276</v>
      </c>
      <c r="B19">
        <v>30000</v>
      </c>
      <c r="C19">
        <v>30000</v>
      </c>
      <c r="D19" s="503">
        <v>0</v>
      </c>
      <c r="G19">
        <v>73010</v>
      </c>
      <c r="J19">
        <f>SUM(J17-J18)</f>
        <v>11534.600000000093</v>
      </c>
    </row>
    <row r="20" spans="1:10" ht="38.25" x14ac:dyDescent="0.2">
      <c r="A20" s="423" t="s">
        <v>277</v>
      </c>
      <c r="B20" s="504">
        <v>8000</v>
      </c>
      <c r="C20" s="504">
        <v>5000</v>
      </c>
      <c r="D20" s="505">
        <v>3720</v>
      </c>
      <c r="E20" s="504">
        <v>8000</v>
      </c>
      <c r="F20" s="504">
        <f>SUM(E20-B20)</f>
        <v>0</v>
      </c>
      <c r="G20" s="504">
        <v>135320</v>
      </c>
    </row>
    <row r="21" spans="1:10" ht="38.25" x14ac:dyDescent="0.2">
      <c r="A21" s="423" t="s">
        <v>278</v>
      </c>
      <c r="B21">
        <v>10000</v>
      </c>
      <c r="C21">
        <v>10000</v>
      </c>
      <c r="D21" s="503">
        <v>0</v>
      </c>
      <c r="G21">
        <f>SUM(G19:G20)</f>
        <v>208330</v>
      </c>
    </row>
    <row r="22" spans="1:10" ht="25.5" x14ac:dyDescent="0.2">
      <c r="A22" s="423" t="s">
        <v>194</v>
      </c>
      <c r="B22">
        <v>39600</v>
      </c>
      <c r="C22">
        <v>39600</v>
      </c>
      <c r="D22" s="503">
        <v>39600</v>
      </c>
    </row>
    <row r="23" spans="1:10" ht="25.5" x14ac:dyDescent="0.2">
      <c r="A23" s="423" t="s">
        <v>279</v>
      </c>
      <c r="B23">
        <v>34200</v>
      </c>
      <c r="C23">
        <v>34200</v>
      </c>
      <c r="D23" s="503">
        <v>34200</v>
      </c>
    </row>
    <row r="24" spans="1:10" x14ac:dyDescent="0.2">
      <c r="B24">
        <f>SUM(B17:B23)</f>
        <v>135320</v>
      </c>
      <c r="C24">
        <f t="shared" ref="C24" si="6">SUM(C17:C23)</f>
        <v>128600</v>
      </c>
      <c r="D24" s="503">
        <f>SUM(D17:D23)</f>
        <v>77520</v>
      </c>
    </row>
    <row r="25" spans="1:10" x14ac:dyDescent="0.2">
      <c r="B25" s="503">
        <f>SUM(B15+B24)</f>
        <v>208330</v>
      </c>
      <c r="C25">
        <f>SUM(B24-C24)</f>
        <v>6720</v>
      </c>
      <c r="D25" s="506">
        <v>73800</v>
      </c>
      <c r="E25" s="503">
        <f>SUM(D24-D25)</f>
        <v>3720</v>
      </c>
    </row>
    <row r="26" spans="1:10" x14ac:dyDescent="0.2">
      <c r="D26" s="503">
        <v>1500</v>
      </c>
    </row>
    <row r="27" spans="1:10" x14ac:dyDescent="0.2">
      <c r="D27" s="503">
        <v>2040</v>
      </c>
      <c r="E27" s="503">
        <f>SUM(C25-D26-D27)</f>
        <v>3180</v>
      </c>
    </row>
    <row r="28" spans="1:10" x14ac:dyDescent="0.2">
      <c r="E28">
        <v>1270</v>
      </c>
    </row>
    <row r="29" spans="1:10" x14ac:dyDescent="0.2">
      <c r="E29" s="503">
        <f>SUM(E27-E28)</f>
        <v>1910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c84d314c-f889-4600-9e76-733296250474">5QZMTPQZXPS2-1055420056-11391</_dlc_DocId>
    <_dlc_DocIdUrl xmlns="c84d314c-f889-4600-9e76-733296250474">
      <Url>http://shareportal.monusco.dpko.un.org/Substantive/ODSRSG-RCHC/_layouts/15/DocIdRedir.aspx?ID=5QZMTPQZXPS2-1055420056-11391</Url>
      <Description>5QZMTPQZXPS2-1055420056-11391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6F9D68401FD774DB6C635F5EB3EF4BD" ma:contentTypeVersion="1" ma:contentTypeDescription="Create a new document." ma:contentTypeScope="" ma:versionID="2aa66e46aa02eb37dc3b91bb3ab3d578">
  <xsd:schema xmlns:xsd="http://www.w3.org/2001/XMLSchema" xmlns:xs="http://www.w3.org/2001/XMLSchema" xmlns:p="http://schemas.microsoft.com/office/2006/metadata/properties" xmlns:ns2="c84d314c-f889-4600-9e76-733296250474" targetNamespace="http://schemas.microsoft.com/office/2006/metadata/properties" ma:root="true" ma:fieldsID="daa5a78e012bf774a417281ea26e3db7" ns2:_="">
    <xsd:import namespace="c84d314c-f889-4600-9e76-733296250474"/>
    <xsd:element name="properties">
      <xsd:complexType>
        <xsd:sequence>
          <xsd:element name="documentManagement">
            <xsd:complexType>
              <xsd:all>
                <xsd:element ref="ns2: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4d314c-f889-4600-9e76-73329625047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9C44B9-2C5E-4353-A4BA-8F08D6F29B34}">
  <ds:schemaRefs>
    <ds:schemaRef ds:uri="http://schemas.microsoft.com/sharepoint/v3/contenttype/forms"/>
  </ds:schemaRefs>
</ds:datastoreItem>
</file>

<file path=customXml/itemProps2.xml><?xml version="1.0" encoding="utf-8"?>
<ds:datastoreItem xmlns:ds="http://schemas.openxmlformats.org/officeDocument/2006/customXml" ds:itemID="{2617899E-8FA5-402E-8526-EC0F70DBAD92}">
  <ds:schemaRefs>
    <ds:schemaRef ds:uri="http://schemas.microsoft.com/sharepoint/events"/>
  </ds:schemaRefs>
</ds:datastoreItem>
</file>

<file path=customXml/itemProps3.xml><?xml version="1.0" encoding="utf-8"?>
<ds:datastoreItem xmlns:ds="http://schemas.openxmlformats.org/officeDocument/2006/customXml" ds:itemID="{43044C30-5676-4E26-9782-40B6F2E2B605}">
  <ds:schemaRefs>
    <ds:schemaRef ds:uri="c84d314c-f889-4600-9e76-733296250474"/>
    <ds:schemaRef ds:uri="http://schemas.microsoft.com/office/2006/metadata/properties"/>
    <ds:schemaRef ds:uri="http://schemas.openxmlformats.org/package/2006/metadata/core-properties"/>
    <ds:schemaRef ds:uri="http://purl.org/dc/terms/"/>
    <ds:schemaRef ds:uri="http://purl.org/dc/elements/1.1/"/>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CB0E4646-5316-488B-9F08-F960AC609B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4d314c-f889-4600-9e76-7332962504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Budget détaillé </vt:lpstr>
      <vt:lpstr>Budget_Recapitulatif</vt:lpstr>
      <vt:lpstr>Budget détaillé  (2)</vt:lpstr>
      <vt:lpstr>Sheet1</vt:lpstr>
      <vt:lpstr>'Budget détaillé '!categories</vt:lpstr>
      <vt:lpstr>'Budget détaillé  (2)'!categories</vt:lpstr>
      <vt:lpstr>Budget_Recapitulatif!Print_Area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Claudia</dc:creator>
  <cp:lastModifiedBy>Badesire Erasme Zagabe</cp:lastModifiedBy>
  <cp:lastPrinted>2019-02-05T12:53:51Z</cp:lastPrinted>
  <dcterms:created xsi:type="dcterms:W3CDTF">2010-10-28T04:03:10Z</dcterms:created>
  <dcterms:modified xsi:type="dcterms:W3CDTF">2019-09-09T14:24:15Z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0x01010076F9D68401FD774DB6C635F5EB3EF4BD</vt:lpwstr>
  </property>
  <property fmtid="{D5CDD505-2E9C-101B-9397-08002B2CF9AE}" pid="3" name="_dlc_DocIdItemGuid">
    <vt:lpwstr>0d247d91-f63d-433b-83e4-c3090911d052</vt:lpwstr>
  </property>
</Properties>
</file>