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ibrahima.barry\Desktop\"/>
    </mc:Choice>
  </mc:AlternateContent>
  <xr:revisionPtr revIDLastSave="0" documentId="8_{D12839FE-7367-4727-838D-CFE10E5C2729}" xr6:coauthVersionLast="41" xr6:coauthVersionMax="41" xr10:uidLastSave="{00000000-0000-0000-0000-000000000000}"/>
  <bookViews>
    <workbookView xWindow="-108" yWindow="-108" windowWidth="23256" windowHeight="12600" xr2:uid="{01829F97-03B5-41BD-99E9-0B37CB3E352F}"/>
  </bookViews>
  <sheets>
    <sheet name="Budget Secretariat PBF" sheetId="1" r:id="rId1"/>
    <sheet name="Rapport Financier 25,11,19"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5" i="2" l="1"/>
  <c r="C68" i="2"/>
  <c r="C62" i="2"/>
  <c r="C56" i="2"/>
  <c r="C75" i="2" s="1"/>
  <c r="C51" i="2"/>
  <c r="F47" i="2"/>
  <c r="F74" i="2" s="1"/>
  <c r="C39" i="2"/>
  <c r="C26" i="2"/>
  <c r="C47" i="2" s="1"/>
  <c r="E24" i="2"/>
  <c r="C20" i="2"/>
  <c r="C18" i="2"/>
  <c r="C17" i="2"/>
  <c r="C16" i="2"/>
  <c r="C15" i="2"/>
  <c r="C13" i="2"/>
  <c r="C12" i="2" s="1"/>
  <c r="C24" i="2" s="1"/>
  <c r="C76" i="2" s="1"/>
  <c r="F12" i="2"/>
  <c r="F24" i="2" s="1"/>
  <c r="F76" i="2" s="1"/>
  <c r="F9" i="2"/>
  <c r="D9" i="2"/>
  <c r="D24" i="2" s="1"/>
  <c r="C9" i="2"/>
  <c r="F13" i="1"/>
  <c r="C17" i="1" s="1"/>
  <c r="K12" i="1"/>
  <c r="M12" i="1" s="1"/>
  <c r="H12" i="1"/>
  <c r="G12" i="1"/>
  <c r="B12" i="1"/>
  <c r="D12" i="1" s="1"/>
  <c r="J11" i="1"/>
  <c r="J12" i="1" s="1"/>
  <c r="L12" i="1" s="1"/>
  <c r="I11" i="1"/>
  <c r="I13" i="1" s="1"/>
  <c r="F11" i="1"/>
  <c r="E11" i="1"/>
  <c r="E13" i="1" s="1"/>
  <c r="C11" i="1"/>
  <c r="C13" i="1" s="1"/>
  <c r="C16" i="1" s="1"/>
  <c r="L10" i="1"/>
  <c r="H10" i="1"/>
  <c r="B10" i="1"/>
  <c r="K10" i="1" s="1"/>
  <c r="M10" i="1" s="1"/>
  <c r="M9" i="1"/>
  <c r="L9" i="1"/>
  <c r="K9" i="1"/>
  <c r="H9" i="1"/>
  <c r="G9" i="1"/>
  <c r="D9" i="1"/>
  <c r="L8" i="1"/>
  <c r="K8" i="1"/>
  <c r="M8" i="1" s="1"/>
  <c r="H8" i="1"/>
  <c r="G8" i="1"/>
  <c r="B8" i="1"/>
  <c r="D8" i="1" s="1"/>
  <c r="L7" i="1"/>
  <c r="K7" i="1"/>
  <c r="M7" i="1" s="1"/>
  <c r="H7" i="1"/>
  <c r="G7" i="1"/>
  <c r="D7" i="1"/>
  <c r="B7" i="1"/>
  <c r="L6" i="1"/>
  <c r="K6" i="1"/>
  <c r="M6" i="1" s="1"/>
  <c r="H6" i="1"/>
  <c r="G6" i="1"/>
  <c r="D6" i="1"/>
  <c r="M5" i="1"/>
  <c r="L5" i="1"/>
  <c r="K5" i="1"/>
  <c r="H5" i="1"/>
  <c r="H11" i="1" s="1"/>
  <c r="H13" i="1" s="1"/>
  <c r="G5" i="1"/>
  <c r="D5" i="1"/>
  <c r="L4" i="1"/>
  <c r="L11" i="1" s="1"/>
  <c r="L13" i="1" s="1"/>
  <c r="H4" i="1"/>
  <c r="B4" i="1"/>
  <c r="B11" i="1" s="1"/>
  <c r="F78" i="2" l="1"/>
  <c r="C74" i="2"/>
  <c r="C78" i="2" s="1"/>
  <c r="C18" i="1"/>
  <c r="B13" i="1"/>
  <c r="D11" i="1"/>
  <c r="F17" i="1"/>
  <c r="E17" i="1"/>
  <c r="D10" i="1"/>
  <c r="D4" i="1"/>
  <c r="G10" i="1"/>
  <c r="G4" i="1"/>
  <c r="G11" i="1" s="1"/>
  <c r="G13" i="1" s="1"/>
  <c r="J13" i="1"/>
  <c r="C19" i="1" s="1"/>
  <c r="K4" i="1"/>
  <c r="F19" i="1" l="1"/>
  <c r="E19" i="1"/>
  <c r="M4" i="1"/>
  <c r="K11" i="1"/>
  <c r="B16" i="1"/>
  <c r="D13" i="1"/>
  <c r="C20" i="1"/>
  <c r="K13" i="1" l="1"/>
  <c r="M13" i="1" s="1"/>
  <c r="M11" i="1"/>
  <c r="B18" i="1"/>
  <c r="E16" i="1"/>
  <c r="F16" i="1"/>
  <c r="E18" i="1" l="1"/>
  <c r="E20" i="1" s="1"/>
  <c r="B20" i="1"/>
  <c r="F20" i="1" s="1"/>
  <c r="F18" i="1"/>
</calcChain>
</file>

<file path=xl/sharedStrings.xml><?xml version="1.0" encoding="utf-8"?>
<sst xmlns="http://schemas.openxmlformats.org/spreadsheetml/2006/main" count="182" uniqueCount="142">
  <si>
    <t>TABLEAU  AVEC DELIVERY au 25 Novembre 2019</t>
  </si>
  <si>
    <t>CATEGORIES</t>
  </si>
  <si>
    <t>PNUD volet secrétariat</t>
  </si>
  <si>
    <t>PNUD volet cohésion</t>
  </si>
  <si>
    <t>total PNUD</t>
  </si>
  <si>
    <t>HCDH</t>
  </si>
  <si>
    <t>Total</t>
  </si>
  <si>
    <t xml:space="preserve">Budget </t>
  </si>
  <si>
    <t xml:space="preserve">Décaissement </t>
  </si>
  <si>
    <t>Reliquat</t>
  </si>
  <si>
    <t xml:space="preserve">Solde </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</si>
  <si>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</si>
  <si>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</si>
  <si>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</si>
  <si>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</si>
  <si>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</si>
  <si>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</si>
  <si>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</si>
  <si>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</si>
  <si>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</si>
  <si>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</si>
  <si>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BUDGET</t>
  </si>
  <si>
    <t>DEPENSES</t>
  </si>
  <si>
    <t>RELIQUAT</t>
  </si>
  <si>
    <t>%</t>
  </si>
  <si>
    <t xml:space="preserve"> SECRETARIAT</t>
  </si>
  <si>
    <t xml:space="preserve"> PNUD</t>
  </si>
  <si>
    <t>Global Scrét+ cohe</t>
  </si>
  <si>
    <t>Total Général</t>
  </si>
  <si>
    <t>Annexe D - Budget de l’activité du Projet de transition : Secrétariat Permanent, Réconciliation et Cohésion Sociale 2019</t>
  </si>
  <si>
    <t>Tableau 1 - Budget du projet PBF par resultat, produit et activite</t>
  </si>
  <si>
    <t>Nombre de resultat/ produit</t>
  </si>
  <si>
    <t>Formulation du resultat/ produit/ activite</t>
  </si>
  <si>
    <t xml:space="preserve">PNUD </t>
  </si>
  <si>
    <t>HCDH/ Cohésion</t>
  </si>
  <si>
    <t xml:space="preserve">Pourcentage du budget pour chaque produit ou activite reserve pour action directe sur le genre (cas echeant) </t>
  </si>
  <si>
    <t>Niveau de depense/ engagement actuel en USD (a remplir au moment des rapports de projet)</t>
  </si>
  <si>
    <t>Notes quelconque le cas echeant (.e.g sur types des entrants ou justification du budget)</t>
  </si>
  <si>
    <t>Résultat 1. Le Secrétariat Permanent accompagne la clôture du Second Plan Prioritaire de Consolidation de la Paix, met en place les mécanismes nécessaires à l’élaboration participative de projets pour la prochaine phase d’appui du PBF et accompagne la mise en œuvre de ces projets.</t>
  </si>
  <si>
    <t>Produit 1.1.</t>
  </si>
  <si>
    <t>Activité: 1.1.1.</t>
  </si>
  <si>
    <t xml:space="preserve">Missions conjointes (départements ministériels, agences SNU, primature, secrétariat) de terrain </t>
  </si>
  <si>
    <t>5.Frais de déplacement</t>
  </si>
  <si>
    <t>Activité: 1.1.2</t>
  </si>
  <si>
    <t>Ateliers d’élaboration et de validation des projets</t>
  </si>
  <si>
    <t>7.Frais Généraux</t>
  </si>
  <si>
    <t>Produit 1.2.</t>
  </si>
  <si>
    <t>Le Secrétariat Permanent du Comité de Pilotage est doté de suffisamment de ressources techniques pour accompagner efficacement le gouvernement dans l’élaboration et la mise en œuvre de la nouvelle phase d’appui du Fonds de Consolidation de la Paix.</t>
  </si>
  <si>
    <t>Activité 1.2.1</t>
  </si>
  <si>
    <t>Les équipes sont fonctionnellesn pacifique des conflits</t>
  </si>
  <si>
    <t>1. Personnels et autre employés + Salaire PDA et MORSS</t>
  </si>
  <si>
    <t>4. services contracruels</t>
  </si>
  <si>
    <t>Activité 1.2.2</t>
  </si>
  <si>
    <t>Dépenses de fonctionnement</t>
  </si>
  <si>
    <t>3. Équipement, véhicules et mobilier</t>
  </si>
  <si>
    <t>Learning</t>
  </si>
  <si>
    <t>Activité 1.2.3</t>
  </si>
  <si>
    <t>Suivi conjoint des projets</t>
  </si>
  <si>
    <t>5. frais de déplacement</t>
  </si>
  <si>
    <t>Missions de suivi de PBSO et missions de présentation des gaps stratégiques aux bailleurs du PBF</t>
  </si>
  <si>
    <t xml:space="preserve">Évaluation finale du projet </t>
  </si>
  <si>
    <t>Rencontres du Comité de pilotage, Comité technique, et des comités de projet</t>
  </si>
  <si>
    <t xml:space="preserve">Resultat 1. </t>
  </si>
  <si>
    <t xml:space="preserve">Résultat 2. La primature opérationnalise les recommandations urgentes et prioritaires de la Commission Provisoire de Réflexion sur la Réconciliation Nationale en posant les bases institutionnelles du processus de réconciliation qui intègre la justice transitionnelle avec l’appui du HCDH. </t>
  </si>
  <si>
    <t>Produit :2.1Le Cabinet du PM cerne davantage son rôle sur opérationnalisation des recommandations de la CPRN et réalise d’actions préparatoires du processus de mise en place du mécanisme national de justice transitionnelle en Guinée</t>
  </si>
  <si>
    <t>Dans les locaux de la Primature ou au HCDH</t>
  </si>
  <si>
    <t>Activité 2.1.1</t>
  </si>
  <si>
    <t>Organisation de séances de travail et de briefing avec le Cabinet du PM</t>
  </si>
  <si>
    <t>Activité 2.1.2</t>
  </si>
  <si>
    <t>Appui à l’élaboration de documents stratégiques en lien avec les recommandations de la CPRN</t>
  </si>
  <si>
    <t>5. Frais de déplacement des participants</t>
  </si>
  <si>
    <t>Activité 2.1.3</t>
  </si>
  <si>
    <t>Appui à l’organisation d’un séminaire national sur les commissions vérité</t>
  </si>
  <si>
    <t>Produit 2.2 :</t>
  </si>
  <si>
    <r>
      <t xml:space="preserve">Le Bureau du Haut-Commissariat des Nations Unies aux Droits de l’Homme en Guinée (HCDH) </t>
    </r>
    <r>
      <rPr>
        <sz val="11"/>
        <color theme="1"/>
        <rFont val="Times New Roman"/>
        <family val="1"/>
      </rPr>
      <t>est doté de suffisamment de ressources pour accompagner efficacement</t>
    </r>
    <r>
      <rPr>
        <sz val="12"/>
        <color theme="1"/>
        <rFont val="Times New Roman"/>
        <family val="1"/>
      </rPr>
      <t xml:space="preserve"> le Cabinet du Premier ministre dans la mise en œuvre des recommandations des consultations nationales pour la réconciliation nationale</t>
    </r>
  </si>
  <si>
    <t>Activité 2.2.1 :</t>
  </si>
  <si>
    <t>Appui à la mise en place d’un cadre d’échanges avec les OSC, les acteurs politiques et les PTF</t>
  </si>
  <si>
    <t>1. Elaboration et validation des TdRs avec la Primature</t>
  </si>
  <si>
    <t>2. Identification des acteurs concernés/impliqués</t>
  </si>
  <si>
    <t>3. Organisation de rencontres mensuelles de concertation au niveau de la Primature</t>
  </si>
  <si>
    <t>Activité 2.2.2 :</t>
  </si>
  <si>
    <t>Appui à l’organisation d’émissions (Radio/TV) autour des activités clefs du projet</t>
  </si>
  <si>
    <t>2. Identification des participants aux émissions-débats (Personnes ressources/Experts internationaux, acteurs politiques/gouvernementaux, acteurs de la société civile, PTF, etc.)</t>
  </si>
  <si>
    <t>3. Enregistrement et diffusion des émissions sur les médias publics et ou privés</t>
  </si>
  <si>
    <t>S/total Resulta 3</t>
  </si>
  <si>
    <r>
      <t xml:space="preserve">Résultat 3 : </t>
    </r>
    <r>
      <rPr>
        <b/>
        <sz val="12"/>
        <color rgb="FF222222"/>
        <rFont val="Times New Roman"/>
        <family val="1"/>
      </rPr>
      <t>Les autorités nationales disposent outils et des mécanismes pour assurer la prévention des conflits, promouvoir la paix et la cohésion sociale.</t>
    </r>
  </si>
  <si>
    <t>Produit 3.1</t>
  </si>
  <si>
    <t>Les causes et les facteurs de conflits récurrents, ainsi que les forces motrices existantes sont connus</t>
  </si>
  <si>
    <t>Produit: 3.1</t>
  </si>
  <si>
    <t>Activité 3.1.1</t>
  </si>
  <si>
    <t>Elaborer une note synthèse sur les causes et les facteurs de conflits récurrents à partir des différentes études et littératures pertinentes</t>
  </si>
  <si>
    <t>PM</t>
  </si>
  <si>
    <t>Ces activités seront financées par le programme conjoint DPA/PNUD à hauteur de 50 000 USD</t>
  </si>
  <si>
    <t>Activité 3.1.2</t>
  </si>
  <si>
    <t>Faire un état des lieux des infrastructures sociales de paix et mécanismes existant</t>
  </si>
  <si>
    <t>Activité 3.1.3</t>
  </si>
  <si>
    <t>Organiser un atelier national pour réaliser une analyse collaborative et participative des conflits, orienter la stratégie de réponse</t>
  </si>
  <si>
    <t>Produit 3.2</t>
  </si>
  <si>
    <t>La stratégie nationale de prévention, de gestion des conflits et de renforcement de la cohésion sociale, assorti d’un plan d’action est élaborée et validée</t>
  </si>
  <si>
    <t>Produit:3.2</t>
  </si>
  <si>
    <t>Activité 3.2.1</t>
  </si>
  <si>
    <t>Formuler la stratégie nationale de prévention et de résolution pacifique des conflits.</t>
  </si>
  <si>
    <t>Consultant appui à l’élaboration de la stratégie</t>
  </si>
  <si>
    <t>Activité 3.2.2</t>
  </si>
  <si>
    <t>Organiser un atelier de validation de la stratégie nationale de prévention des conflits</t>
  </si>
  <si>
    <t>Atelier national de validation de la stratégie</t>
  </si>
  <si>
    <t>Activité 3.2.3</t>
  </si>
  <si>
    <t>Plaidoyer pour l'adoption de la stratégie par le Gouvernement</t>
  </si>
  <si>
    <t>Frais divers : mobilisation des acteurs</t>
  </si>
  <si>
    <t>Activité 3.2.4</t>
  </si>
  <si>
    <t>Editer le document de stratégie nationale de prévention des conflits</t>
  </si>
  <si>
    <t>Prestations imprimerie</t>
  </si>
  <si>
    <t>Produit 3.3:</t>
  </si>
  <si>
    <t>Une structure nationale des Infrastructures sociales de paix (ISP) est définie, mise en place et les acteurs renforcés</t>
  </si>
  <si>
    <t>Produit:3.3</t>
  </si>
  <si>
    <t>Activité 3.3.1</t>
  </si>
  <si>
    <t>Elaborer et faire signer un arrêté conjoint sur les ISP</t>
  </si>
  <si>
    <t xml:space="preserve">Mobilisation des acteurs des différents ministères </t>
  </si>
  <si>
    <t>Activité 3.3.2</t>
  </si>
  <si>
    <t>Mettre en place une structure nationale inclusive des ISP et l'équiper</t>
  </si>
  <si>
    <t>Kits informatiques et mobiliers de bureau</t>
  </si>
  <si>
    <t>Activité 3.3.3</t>
  </si>
  <si>
    <t>Elaborer les outils d'orientation des ISP et les éditer</t>
  </si>
  <si>
    <t>Prestations consultant</t>
  </si>
  <si>
    <t>Activité 3.3.4</t>
  </si>
  <si>
    <t>Former et outiller les membres des ISP sur leurs missions suivant la Politique nationale</t>
  </si>
  <si>
    <t>Missions de formation</t>
  </si>
  <si>
    <t>Produit 3.4</t>
  </si>
  <si>
    <t>Administration et gestion du projet</t>
  </si>
  <si>
    <t>Produit :3.4</t>
  </si>
  <si>
    <t>Personnel, logistique et gestion du projet.</t>
  </si>
  <si>
    <t>Chef de projet / consultant + chauffeur x 6 mois + DPC</t>
  </si>
  <si>
    <t>Participation aux missions de terrain du CP</t>
  </si>
  <si>
    <t>Carburant et entretien</t>
  </si>
  <si>
    <t>Fournitures</t>
  </si>
  <si>
    <t>Communication</t>
  </si>
  <si>
    <t>S/total Resultat HCDH</t>
  </si>
  <si>
    <t>S/total Resultat PNUD</t>
  </si>
  <si>
    <t>S/total resultat Secrétariat</t>
  </si>
  <si>
    <t>GMS</t>
  </si>
  <si>
    <t>GRAND TOTAL</t>
  </si>
  <si>
    <t>Rapport annuel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</si>
</sst>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 _€_-;\-* #,##0\ _€_-;_-* &quot;-&quot;??\ _€_-;_-@_-"/>
    <numFmt numFmtId="165" formatCode="00000"/>
    <numFmt numFmtId="166" formatCode="_-* #,##0.0\ _€_-;\-* #,##0.0\ _€_-;_-* &quot;-&quot;??\ _€_-;_-@_-"/>
  </numFmts>
  <fonts count="23">
    <font>
      <sz val="11"/>
      <color theme="1"/>
      <name val="Calibri"/>
      <family val="2"/>
      <scheme val="minor"/>
    </font>
    <font>
      <sz val="11"/>
      <color theme="1"/>
      <name val="Calibri"/>
      <family val="2"/>
      <scheme val="minor"/>
    </font>
    <font>
      <b/>
      <sz val="11"/>
      <color theme="1"/>
      <name val="Calibri"/>
      <family val="2"/>
      <scheme val="minor"/>
    </font>
    <font>
      <b/>
      <sz val="10"/>
      <name val="Calibri"/>
      <family val="2"/>
    </font>
    <font>
      <sz val="11"/>
      <name val="Calibri"/>
      <family val="2"/>
      <scheme val="minor"/>
    </font>
    <font>
      <sz val="10"/>
      <name val="Times New Roman"/>
      <family val="1"/>
    </font>
    <font>
      <sz val="10"/>
      <name val="Calibri"/>
      <family val="2"/>
    </font>
    <font>
      <b/>
      <sz val="10"/>
      <name val="Times New Roman"/>
      <family val="1"/>
    </font>
    <font>
      <b/>
      <sz val="16"/>
      <color theme="1"/>
      <name val="Calibri"/>
      <family val="2"/>
      <scheme val="minor"/>
    </font>
    <font>
      <b/>
      <sz val="12"/>
      <color theme="1"/>
      <name val="Calibri"/>
      <family val="2"/>
      <scheme val="minor"/>
    </font>
    <font>
      <sz val="12"/>
      <color theme="1"/>
      <name val="Calibri"/>
      <family val="2"/>
      <scheme val="minor"/>
    </font>
    <font>
      <sz val="10"/>
      <color theme="1"/>
      <name val="Times New Roman"/>
      <family val="1"/>
    </font>
    <font>
      <sz val="9"/>
      <color theme="1"/>
      <name val="Times New Roman"/>
      <family val="1"/>
    </font>
    <font>
      <b/>
      <sz val="10"/>
      <color theme="1"/>
      <name val="Myriad pro"/>
    </font>
    <font>
      <sz val="11"/>
      <color theme="1"/>
      <name val="Times New Roman"/>
      <family val="1"/>
    </font>
    <font>
      <sz val="12"/>
      <color theme="1"/>
      <name val="Times New Roman"/>
      <family val="1"/>
    </font>
    <font>
      <b/>
      <sz val="8"/>
      <color theme="1"/>
      <name val="Times New Roman"/>
      <family val="1"/>
    </font>
    <font>
      <b/>
      <sz val="11"/>
      <color theme="1"/>
      <name val="Times New Roman"/>
      <family val="1"/>
    </font>
    <font>
      <b/>
      <sz val="12"/>
      <color theme="1"/>
      <name val="Times New Roman"/>
      <family val="1"/>
    </font>
    <font>
      <sz val="12"/>
      <color rgb="FF222222"/>
      <name val="Times New Roman"/>
      <family val="1"/>
    </font>
    <font>
      <b/>
      <sz val="12"/>
      <color rgb="FF222222"/>
      <name val="Times New Roman"/>
      <family val="1"/>
    </font>
    <font>
      <sz val="11"/>
      <color rgb="FF000000"/>
      <name val="Times New Roman"/>
      <family val="1"/>
    </font>
    <font>
      <b/>
      <sz val="10"/>
      <color theme="1"/>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B050"/>
        <bgColor indexed="64"/>
      </patternFill>
    </fill>
    <fill>
      <patternFill patternType="solid">
        <fgColor theme="8" tint="0.79998168889431442"/>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2">
    <xf numFmtId="0" fontId="0" fillId="0" borderId="0" xfId="0"/>
    <xf numFmtId="0" fontId="3" fillId="3" borderId="3" xfId="0" applyFont="1" applyFill="1" applyBorder="1" applyAlignment="1">
      <alignment horizontal="center" vertical="center" wrapText="1"/>
    </xf>
    <xf numFmtId="0" fontId="4" fillId="3" borderId="3" xfId="0" applyFont="1" applyFill="1" applyBorder="1" applyAlignment="1">
      <alignment vertical="center"/>
    </xf>
    <xf numFmtId="0" fontId="5" fillId="3" borderId="3" xfId="0" applyFont="1" applyFill="1" applyBorder="1" applyAlignment="1">
      <alignment vertical="center" wrapText="1"/>
    </xf>
    <xf numFmtId="43" fontId="5" fillId="3" borderId="3" xfId="1" applyFont="1" applyFill="1" applyBorder="1" applyAlignment="1">
      <alignment horizontal="right" vertical="center" wrapText="1"/>
    </xf>
    <xf numFmtId="43" fontId="4" fillId="3" borderId="3" xfId="1" applyFont="1" applyFill="1" applyBorder="1" applyAlignment="1">
      <alignment horizontal="center" vertical="center" wrapText="1"/>
    </xf>
    <xf numFmtId="0" fontId="5" fillId="3" borderId="3" xfId="0" applyFont="1" applyFill="1" applyBorder="1" applyAlignment="1">
      <alignment horizontal="right" vertical="center" wrapText="1"/>
    </xf>
    <xf numFmtId="43" fontId="6" fillId="3" borderId="3" xfId="0" applyNumberFormat="1" applyFont="1" applyFill="1" applyBorder="1" applyAlignment="1">
      <alignment horizontal="right" vertical="center" wrapText="1"/>
    </xf>
    <xf numFmtId="43" fontId="4" fillId="3" borderId="3" xfId="0" applyNumberFormat="1" applyFont="1" applyFill="1" applyBorder="1" applyAlignment="1">
      <alignment vertical="center"/>
    </xf>
    <xf numFmtId="43" fontId="6" fillId="3" borderId="3" xfId="1" applyFont="1" applyFill="1" applyBorder="1" applyAlignment="1">
      <alignment horizontal="right" vertical="center" wrapText="1"/>
    </xf>
    <xf numFmtId="43" fontId="4" fillId="3" borderId="3" xfId="1" applyFont="1" applyFill="1" applyBorder="1" applyAlignment="1">
      <alignment vertical="center" wrapText="1"/>
    </xf>
    <xf numFmtId="0" fontId="4" fillId="3" borderId="3" xfId="0" applyFont="1" applyFill="1" applyBorder="1"/>
    <xf numFmtId="0" fontId="6" fillId="3" borderId="3" xfId="0" applyFont="1" applyFill="1" applyBorder="1" applyAlignment="1">
      <alignment horizontal="right" vertical="center" wrapText="1"/>
    </xf>
    <xf numFmtId="0" fontId="7" fillId="3" borderId="3" xfId="0" applyFont="1" applyFill="1" applyBorder="1" applyAlignment="1">
      <alignment vertical="center" wrapText="1"/>
    </xf>
    <xf numFmtId="43" fontId="7" fillId="3" borderId="3" xfId="1" applyFont="1" applyFill="1" applyBorder="1" applyAlignment="1">
      <alignment horizontal="right" vertical="center" wrapText="1"/>
    </xf>
    <xf numFmtId="43" fontId="7" fillId="3" borderId="3" xfId="1" applyNumberFormat="1" applyFont="1" applyFill="1" applyBorder="1" applyAlignment="1">
      <alignment horizontal="right" vertical="center" wrapText="1"/>
    </xf>
    <xf numFmtId="164" fontId="7" fillId="3" borderId="3" xfId="1" applyNumberFormat="1" applyFont="1" applyFill="1" applyBorder="1" applyAlignment="1">
      <alignment horizontal="right" vertical="center"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8" xfId="0" applyFont="1" applyBorder="1"/>
    <xf numFmtId="43" fontId="0" fillId="0" borderId="9" xfId="1" applyFont="1" applyBorder="1"/>
    <xf numFmtId="43" fontId="0" fillId="0" borderId="8" xfId="1" applyFont="1" applyBorder="1"/>
    <xf numFmtId="43" fontId="0" fillId="0" borderId="10" xfId="1" applyFont="1" applyBorder="1"/>
    <xf numFmtId="2" fontId="0" fillId="0" borderId="8" xfId="0" applyNumberFormat="1" applyBorder="1" applyAlignment="1">
      <alignment horizontal="center"/>
    </xf>
    <xf numFmtId="0" fontId="2" fillId="0" borderId="11" xfId="0" applyFont="1" applyBorder="1"/>
    <xf numFmtId="43" fontId="0" fillId="0" borderId="12" xfId="1" applyFont="1" applyBorder="1"/>
    <xf numFmtId="2" fontId="0" fillId="0" borderId="11" xfId="0" applyNumberFormat="1" applyBorder="1" applyAlignment="1">
      <alignment horizontal="center"/>
    </xf>
    <xf numFmtId="0" fontId="2" fillId="0" borderId="7" xfId="0" applyFont="1" applyBorder="1"/>
    <xf numFmtId="43" fontId="0" fillId="0" borderId="8" xfId="0" applyNumberFormat="1" applyBorder="1"/>
    <xf numFmtId="0" fontId="2" fillId="4" borderId="7" xfId="0" applyFont="1" applyFill="1" applyBorder="1"/>
    <xf numFmtId="43" fontId="0" fillId="4" borderId="8" xfId="0" applyNumberFormat="1" applyFill="1" applyBorder="1"/>
    <xf numFmtId="2" fontId="0" fillId="4" borderId="11" xfId="0" applyNumberFormat="1" applyFill="1" applyBorder="1" applyAlignment="1">
      <alignment horizontal="center"/>
    </xf>
    <xf numFmtId="0" fontId="9" fillId="0" borderId="0" xfId="0" applyFont="1"/>
    <xf numFmtId="43" fontId="10" fillId="0" borderId="0" xfId="1" applyFont="1" applyAlignment="1">
      <alignment horizontal="center"/>
    </xf>
    <xf numFmtId="43" fontId="0" fillId="0" borderId="0" xfId="1" applyFont="1" applyAlignment="1">
      <alignment horizontal="center"/>
    </xf>
    <xf numFmtId="43" fontId="0" fillId="0" borderId="0" xfId="1" applyFont="1" applyFill="1" applyAlignment="1">
      <alignment horizontal="center"/>
    </xf>
    <xf numFmtId="43" fontId="0" fillId="0" borderId="0" xfId="1" applyFont="1" applyFill="1" applyBorder="1" applyAlignment="1">
      <alignment horizontal="center"/>
    </xf>
    <xf numFmtId="0" fontId="11" fillId="0" borderId="3" xfId="0" applyFont="1" applyBorder="1" applyAlignment="1">
      <alignment vertical="center" wrapText="1"/>
    </xf>
    <xf numFmtId="0" fontId="12" fillId="0" borderId="3" xfId="0" applyFont="1" applyBorder="1" applyAlignment="1">
      <alignment vertical="center" wrapText="1"/>
    </xf>
    <xf numFmtId="0" fontId="13" fillId="5" borderId="3" xfId="0" applyFont="1" applyFill="1" applyBorder="1" applyAlignment="1">
      <alignment wrapText="1"/>
    </xf>
    <xf numFmtId="43" fontId="13" fillId="5" borderId="3" xfId="0" applyNumberFormat="1" applyFont="1" applyFill="1" applyBorder="1" applyAlignment="1">
      <alignment wrapText="1"/>
    </xf>
    <xf numFmtId="165" fontId="11" fillId="3" borderId="3" xfId="0" applyNumberFormat="1" applyFont="1" applyFill="1" applyBorder="1" applyAlignment="1">
      <alignment horizontal="center" vertical="top" wrapText="1"/>
    </xf>
    <xf numFmtId="165" fontId="11" fillId="0" borderId="3" xfId="0" applyNumberFormat="1" applyFont="1" applyBorder="1" applyAlignment="1">
      <alignment horizontal="left" vertical="top" wrapText="1"/>
    </xf>
    <xf numFmtId="43" fontId="14" fillId="0" borderId="3" xfId="1" applyFont="1" applyFill="1" applyBorder="1" applyAlignment="1">
      <alignment horizontal="center" vertical="center" wrapText="1"/>
    </xf>
    <xf numFmtId="43" fontId="15" fillId="0" borderId="3" xfId="1" applyFont="1" applyFill="1" applyBorder="1" applyAlignment="1">
      <alignment horizontal="center" vertical="center" wrapText="1"/>
    </xf>
    <xf numFmtId="9" fontId="14" fillId="0" borderId="3" xfId="2" applyFont="1" applyFill="1" applyBorder="1" applyAlignment="1">
      <alignment horizontal="center" vertical="center" wrapText="1"/>
    </xf>
    <xf numFmtId="43" fontId="14" fillId="3" borderId="3" xfId="1" applyFont="1" applyFill="1" applyBorder="1" applyAlignment="1">
      <alignment vertical="center" wrapText="1"/>
    </xf>
    <xf numFmtId="0" fontId="11" fillId="2" borderId="3" xfId="0" applyFont="1" applyFill="1" applyBorder="1" applyAlignment="1">
      <alignment vertical="center" wrapText="1"/>
    </xf>
    <xf numFmtId="0" fontId="14" fillId="0" borderId="3" xfId="0" applyFont="1" applyBorder="1" applyAlignment="1">
      <alignment horizontal="center" vertical="center" wrapText="1"/>
    </xf>
    <xf numFmtId="43" fontId="14" fillId="3" borderId="3" xfId="1" applyFont="1" applyFill="1" applyBorder="1" applyAlignment="1">
      <alignment horizontal="center" vertical="center" wrapText="1"/>
    </xf>
    <xf numFmtId="43" fontId="14" fillId="3" borderId="3" xfId="1" applyFont="1" applyFill="1" applyBorder="1" applyAlignment="1">
      <alignment horizontal="right" vertical="center" wrapText="1"/>
    </xf>
    <xf numFmtId="0" fontId="14" fillId="0" borderId="3" xfId="0" applyFont="1" applyBorder="1" applyAlignment="1">
      <alignment vertical="center" wrapText="1"/>
    </xf>
    <xf numFmtId="0" fontId="0" fillId="0" borderId="3" xfId="0" applyBorder="1" applyAlignment="1">
      <alignment vertical="center" wrapText="1"/>
    </xf>
    <xf numFmtId="43" fontId="14" fillId="0" borderId="3" xfId="1" applyFont="1" applyBorder="1" applyAlignment="1">
      <alignment horizontal="right" vertical="center" wrapText="1"/>
    </xf>
    <xf numFmtId="43" fontId="14" fillId="0" borderId="3" xfId="1" applyFont="1" applyFill="1" applyBorder="1" applyAlignment="1">
      <alignment vertical="center" wrapText="1"/>
    </xf>
    <xf numFmtId="43" fontId="17" fillId="0" borderId="3" xfId="1" applyFont="1" applyBorder="1" applyAlignment="1">
      <alignment horizontal="right" vertical="center" wrapText="1"/>
    </xf>
    <xf numFmtId="43" fontId="17" fillId="0" borderId="3" xfId="0" applyNumberFormat="1" applyFont="1" applyBorder="1" applyAlignment="1">
      <alignment vertical="center" wrapText="1"/>
    </xf>
    <xf numFmtId="3" fontId="14" fillId="0" borderId="3" xfId="0" applyNumberFormat="1" applyFont="1" applyBorder="1" applyAlignment="1">
      <alignment horizontal="right" vertical="center" wrapText="1"/>
    </xf>
    <xf numFmtId="0" fontId="14" fillId="0" borderId="3" xfId="0" applyFont="1" applyBorder="1" applyAlignment="1">
      <alignment horizontal="right" vertical="center" wrapText="1"/>
    </xf>
    <xf numFmtId="43" fontId="18" fillId="0" borderId="3" xfId="0" applyNumberFormat="1" applyFont="1" applyBorder="1" applyAlignment="1">
      <alignment vertical="center" wrapText="1"/>
    </xf>
    <xf numFmtId="0" fontId="15" fillId="0" borderId="3" xfId="0" applyFont="1" applyBorder="1" applyAlignment="1">
      <alignment vertical="center" wrapText="1"/>
    </xf>
    <xf numFmtId="43" fontId="14" fillId="0" borderId="3" xfId="1" applyFont="1" applyBorder="1" applyAlignment="1">
      <alignment vertical="center" wrapText="1"/>
    </xf>
    <xf numFmtId="3" fontId="14" fillId="0" borderId="3" xfId="0" applyNumberFormat="1" applyFont="1" applyBorder="1" applyAlignment="1">
      <alignment vertical="center" wrapText="1"/>
    </xf>
    <xf numFmtId="0" fontId="0" fillId="0" borderId="3" xfId="0" applyBorder="1"/>
    <xf numFmtId="43" fontId="17" fillId="0" borderId="3" xfId="0" applyNumberFormat="1" applyFont="1" applyBorder="1" applyAlignment="1">
      <alignment horizontal="center" vertical="center" wrapText="1"/>
    </xf>
    <xf numFmtId="43" fontId="14" fillId="0" borderId="3" xfId="1" applyFont="1" applyBorder="1" applyAlignment="1">
      <alignment horizontal="center" vertical="center" wrapText="1"/>
    </xf>
    <xf numFmtId="43" fontId="0" fillId="0" borderId="3" xfId="1" applyFont="1" applyBorder="1" applyAlignment="1">
      <alignment horizontal="center" vertical="center"/>
    </xf>
    <xf numFmtId="0" fontId="17" fillId="0" borderId="3" xfId="0" applyFont="1" applyBorder="1" applyAlignment="1">
      <alignment vertical="center" wrapText="1"/>
    </xf>
    <xf numFmtId="0" fontId="17" fillId="0" borderId="3" xfId="0" applyFont="1" applyBorder="1" applyAlignment="1">
      <alignment horizontal="center" vertical="center" wrapText="1"/>
    </xf>
    <xf numFmtId="0" fontId="21" fillId="0" borderId="3" xfId="0" applyFont="1" applyBorder="1" applyAlignment="1">
      <alignment vertical="center" wrapText="1"/>
    </xf>
    <xf numFmtId="43" fontId="0" fillId="3" borderId="3" xfId="1" applyFont="1" applyFill="1" applyBorder="1" applyAlignment="1">
      <alignment horizontal="center" vertical="center"/>
    </xf>
    <xf numFmtId="43" fontId="2" fillId="0" borderId="3" xfId="1" applyFont="1" applyBorder="1" applyAlignment="1">
      <alignment horizontal="center" vertical="center"/>
    </xf>
    <xf numFmtId="43" fontId="2" fillId="0" borderId="3" xfId="0" applyNumberFormat="1" applyFont="1" applyBorder="1"/>
    <xf numFmtId="43" fontId="18" fillId="0" borderId="3" xfId="0" applyNumberFormat="1" applyFont="1" applyBorder="1" applyAlignment="1">
      <alignment horizontal="right" vertical="center" wrapText="1"/>
    </xf>
    <xf numFmtId="43" fontId="2" fillId="3" borderId="3" xfId="1" applyFont="1" applyFill="1" applyBorder="1" applyAlignment="1">
      <alignment horizontal="center" vertical="center"/>
    </xf>
    <xf numFmtId="166" fontId="2" fillId="0" borderId="3" xfId="0" applyNumberFormat="1" applyFont="1" applyBorder="1"/>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4" xfId="0" applyBorder="1" applyAlignment="1">
      <alignment horizontal="center"/>
    </xf>
    <xf numFmtId="0" fontId="0" fillId="0" borderId="6" xfId="0" applyBorder="1" applyAlignment="1">
      <alignment horizontal="center"/>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9" fontId="0" fillId="0" borderId="14" xfId="2" applyFont="1" applyBorder="1" applyAlignment="1">
      <alignment horizontal="center"/>
    </xf>
    <xf numFmtId="9" fontId="0" fillId="0" borderId="15" xfId="2" applyFont="1" applyBorder="1" applyAlignment="1">
      <alignment horizontal="center"/>
    </xf>
    <xf numFmtId="9" fontId="0" fillId="0" borderId="19" xfId="2" applyFont="1" applyBorder="1" applyAlignment="1">
      <alignment horizontal="center"/>
    </xf>
    <xf numFmtId="9" fontId="0" fillId="0" borderId="20" xfId="2" applyFont="1" applyBorder="1" applyAlignment="1">
      <alignment horizontal="center"/>
    </xf>
    <xf numFmtId="9" fontId="0" fillId="0" borderId="1" xfId="2" applyFont="1" applyBorder="1" applyAlignment="1">
      <alignment horizontal="center"/>
    </xf>
    <xf numFmtId="9" fontId="0" fillId="0" borderId="18" xfId="2" applyFont="1" applyBorder="1" applyAlignment="1">
      <alignment horizont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3" xfId="0" applyFont="1" applyBorder="1" applyAlignment="1">
      <alignmen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8" xfId="0" applyFont="1" applyBorder="1" applyAlignment="1">
      <alignment horizontal="center" vertical="center" wrapText="1"/>
    </xf>
    <xf numFmtId="0" fontId="0" fillId="0" borderId="4" xfId="0" applyFill="1" applyBorder="1" applyAlignment="1">
      <alignment horizontal="center"/>
    </xf>
    <xf numFmtId="0" fontId="0" fillId="0" borderId="6" xfId="0" applyFill="1" applyBorder="1" applyAlignment="1">
      <alignment horizontal="center"/>
    </xf>
    <xf numFmtId="0" fontId="14" fillId="0" borderId="21"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 xfId="0" applyBorder="1" applyAlignment="1">
      <alignment horizontal="center"/>
    </xf>
    <xf numFmtId="0" fontId="0" fillId="0" borderId="18" xfId="0" applyBorder="1" applyAlignment="1">
      <alignment horizontal="center"/>
    </xf>
    <xf numFmtId="43" fontId="14" fillId="0" borderId="13" xfId="1" applyFont="1" applyBorder="1" applyAlignment="1">
      <alignment horizontal="center" vertical="center" wrapText="1"/>
    </xf>
    <xf numFmtId="43" fontId="14" fillId="0" borderId="16" xfId="1" applyFont="1" applyBorder="1" applyAlignment="1">
      <alignment horizontal="center" vertical="center" wrapText="1"/>
    </xf>
    <xf numFmtId="43" fontId="14" fillId="0" borderId="17" xfId="1" applyFont="1" applyBorder="1" applyAlignment="1">
      <alignment horizontal="center" vertical="center" wrapText="1"/>
    </xf>
    <xf numFmtId="0" fontId="14" fillId="0" borderId="1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43" fontId="14" fillId="0" borderId="13" xfId="1" applyFont="1" applyBorder="1" applyAlignment="1">
      <alignment horizontal="right" vertical="center" wrapText="1"/>
    </xf>
    <xf numFmtId="43" fontId="14" fillId="0" borderId="16" xfId="1" applyFont="1" applyBorder="1" applyAlignment="1">
      <alignment horizontal="right" vertical="center" wrapText="1"/>
    </xf>
    <xf numFmtId="43" fontId="14" fillId="0" borderId="17" xfId="1" applyFont="1" applyBorder="1" applyAlignment="1">
      <alignment horizontal="right" vertical="center" wrapText="1"/>
    </xf>
    <xf numFmtId="0" fontId="15" fillId="0" borderId="13"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5" fillId="0" borderId="4" xfId="0" applyFont="1" applyBorder="1" applyAlignment="1">
      <alignment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3" fillId="5" borderId="4" xfId="0" applyFont="1" applyFill="1" applyBorder="1" applyAlignment="1">
      <alignment horizontal="center" wrapText="1"/>
    </xf>
    <xf numFmtId="0" fontId="13" fillId="5" borderId="5" xfId="0" applyFont="1" applyFill="1" applyBorder="1" applyAlignment="1">
      <alignment horizontal="center" wrapText="1"/>
    </xf>
    <xf numFmtId="0" fontId="13" fillId="5" borderId="6" xfId="0" applyFont="1" applyFill="1" applyBorder="1" applyAlignment="1">
      <alignment horizontal="center" wrapText="1"/>
    </xf>
    <xf numFmtId="0" fontId="14" fillId="0" borderId="4" xfId="0" applyFont="1" applyBorder="1" applyAlignment="1">
      <alignment horizontal="left" wrapText="1"/>
    </xf>
    <xf numFmtId="0" fontId="14" fillId="0" borderId="6" xfId="0" applyFont="1" applyBorder="1" applyAlignment="1">
      <alignment horizontal="left" wrapText="1"/>
    </xf>
    <xf numFmtId="3" fontId="14" fillId="0" borderId="13" xfId="0" applyNumberFormat="1" applyFont="1" applyBorder="1" applyAlignment="1">
      <alignment horizontal="right" vertical="center" wrapText="1"/>
    </xf>
    <xf numFmtId="3" fontId="14" fillId="0" borderId="16" xfId="0" applyNumberFormat="1" applyFont="1" applyBorder="1" applyAlignment="1">
      <alignment horizontal="right" vertical="center" wrapText="1"/>
    </xf>
    <xf numFmtId="3" fontId="14" fillId="0" borderId="17" xfId="0" applyNumberFormat="1" applyFont="1" applyBorder="1" applyAlignment="1">
      <alignment horizontal="right" vertical="center" wrapText="1"/>
    </xf>
    <xf numFmtId="0" fontId="16" fillId="0" borderId="13"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43" fontId="14" fillId="3" borderId="13" xfId="1" applyFont="1" applyFill="1" applyBorder="1" applyAlignment="1">
      <alignment horizontal="center" vertical="center" wrapText="1"/>
    </xf>
    <xf numFmtId="43" fontId="14" fillId="3" borderId="17" xfId="1" applyFont="1" applyFill="1"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9" fillId="0" borderId="0" xfId="0" applyFont="1" applyAlignment="1">
      <alignment horizontal="center"/>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8" fillId="0" borderId="4" xfId="0" applyFont="1" applyBorder="1" applyAlignment="1">
      <alignment horizontal="center" wrapText="1"/>
    </xf>
    <xf numFmtId="0" fontId="8" fillId="0" borderId="5" xfId="0" applyFont="1" applyBorder="1" applyAlignment="1">
      <alignment horizont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3A8B2-B49D-4CC8-BC9A-0849478D6D46}">
  <dimension ref="A1:M20"/>
  <sheetViews>
    <sheetView tabSelected="1" workbookViewId="0">
      <selection activeCell="F9" sqref="F9"/>
    </sheetView>
  </sheetViews>
  <sheetFormatPr baseColWidth="10" defaultRowHeight="14.4"/>
  <cols>
    <col min="1" max="1" width="14.88671875" customWidth="1"/>
    <col min="2" max="3" width="14.33203125" bestFit="1" customWidth="1"/>
    <col min="5" max="5" width="12.88671875" bestFit="1" customWidth="1"/>
    <col min="7" max="7" width="13.109375" bestFit="1" customWidth="1"/>
    <col min="8" max="8" width="14.33203125" bestFit="1" customWidth="1"/>
    <col min="9" max="9" width="12.88671875" customWidth="1"/>
    <col min="11" max="11" width="13" bestFit="1" customWidth="1"/>
    <col min="12" max="12" width="13.6640625" customWidth="1"/>
    <col min="13" max="13" width="13.5546875" customWidth="1"/>
  </cols>
  <sheetData>
    <row r="1" spans="1:13">
      <c r="A1" s="77" t="s">
        <v>0</v>
      </c>
      <c r="B1" s="78"/>
      <c r="C1" s="78"/>
      <c r="D1" s="78"/>
      <c r="E1" s="78"/>
      <c r="F1" s="78"/>
      <c r="G1" s="78"/>
      <c r="H1" s="78"/>
      <c r="I1" s="78"/>
      <c r="J1" s="78"/>
      <c r="K1" s="78"/>
      <c r="L1" s="78"/>
      <c r="M1" s="78"/>
    </row>
    <row r="2" spans="1:13" ht="14.4" customHeight="1">
      <c r="A2" s="79" t="s">
        <v>1</v>
      </c>
      <c r="B2" s="80" t="s">
        <v>2</v>
      </c>
      <c r="C2" s="81"/>
      <c r="D2" s="82"/>
      <c r="E2" s="79" t="s">
        <v>3</v>
      </c>
      <c r="F2" s="79"/>
      <c r="G2" s="79" t="s">
        <v>4</v>
      </c>
      <c r="H2" s="79"/>
      <c r="I2" s="79" t="s">
        <v>5</v>
      </c>
      <c r="J2" s="79"/>
      <c r="K2" s="79" t="s">
        <v>6</v>
      </c>
      <c r="L2" s="79"/>
      <c r="M2" s="79"/>
    </row>
    <row r="3" spans="1:13" ht="27.6">
      <c r="A3" s="79"/>
      <c r="B3" s="1" t="s">
        <v>7</v>
      </c>
      <c r="C3" s="1" t="s">
        <v>8</v>
      </c>
      <c r="D3" s="1" t="s">
        <v>9</v>
      </c>
      <c r="E3" s="1" t="s">
        <v>7</v>
      </c>
      <c r="F3" s="1" t="s">
        <v>8</v>
      </c>
      <c r="G3" s="1" t="s">
        <v>7</v>
      </c>
      <c r="H3" s="1" t="s">
        <v>8</v>
      </c>
      <c r="I3" s="1" t="s">
        <v>7</v>
      </c>
      <c r="J3" s="1" t="s">
        <v>8</v>
      </c>
      <c r="K3" s="1" t="s">
        <v>7</v>
      </c>
      <c r="L3" s="1" t="s">
        <v>8</v>
      </c>
      <c r="M3" s="2" t="s">
        <v>10</v>
      </c>
    </row>
    <row r="4" spans="1:13" ht="26.4">
      <c r="A4" s="3" t="s">
        <v>11</v>
      </c>
      <c r="B4" s="4">
        <f>828000+317000</f>
        <v>1145000</v>
      </c>
      <c r="C4" s="5">
        <v>781850.51</v>
      </c>
      <c r="D4" s="5">
        <f>B4-C4</f>
        <v>363149.49</v>
      </c>
      <c r="E4" s="6"/>
      <c r="F4" s="5"/>
      <c r="G4" s="5">
        <f t="shared" ref="G4:H10" si="0">B4+E4</f>
        <v>1145000</v>
      </c>
      <c r="H4" s="5">
        <f t="shared" si="0"/>
        <v>781850.51</v>
      </c>
      <c r="I4" s="4"/>
      <c r="J4" s="5"/>
      <c r="K4" s="7">
        <f>B4+E4+I4</f>
        <v>1145000</v>
      </c>
      <c r="L4" s="7">
        <f>C4+J4+F4</f>
        <v>781850.51</v>
      </c>
      <c r="M4" s="8">
        <f>K4-L4</f>
        <v>363149.49</v>
      </c>
    </row>
    <row r="5" spans="1:13" ht="39.6">
      <c r="A5" s="3" t="s">
        <v>12</v>
      </c>
      <c r="B5" s="4">
        <v>15000</v>
      </c>
      <c r="C5" s="5">
        <v>9456.93</v>
      </c>
      <c r="D5" s="5">
        <f t="shared" ref="D5:D13" si="1">B5-C5</f>
        <v>5543.07</v>
      </c>
      <c r="E5" s="9">
        <v>3000</v>
      </c>
      <c r="F5" s="10">
        <v>-15209.53</v>
      </c>
      <c r="G5" s="5">
        <f t="shared" si="0"/>
        <v>18000</v>
      </c>
      <c r="H5" s="5">
        <f t="shared" si="0"/>
        <v>-5752.6</v>
      </c>
      <c r="I5" s="4">
        <v>7500</v>
      </c>
      <c r="J5" s="5">
        <v>953</v>
      </c>
      <c r="K5" s="7">
        <f t="shared" ref="K5:K10" si="2">B5+E5+I5</f>
        <v>25500</v>
      </c>
      <c r="L5" s="7">
        <f t="shared" ref="L5:L9" si="3">C5+J5+F5</f>
        <v>-4799.6000000000004</v>
      </c>
      <c r="M5" s="8">
        <f t="shared" ref="M5:M9" si="4">K5-L5</f>
        <v>30299.599999999999</v>
      </c>
    </row>
    <row r="6" spans="1:13" ht="66">
      <c r="A6" s="3" t="s">
        <v>13</v>
      </c>
      <c r="B6" s="4">
        <v>19000.39</v>
      </c>
      <c r="C6" s="5">
        <v>37291.040000000001</v>
      </c>
      <c r="D6" s="5">
        <f t="shared" si="1"/>
        <v>-18290.650000000001</v>
      </c>
      <c r="E6" s="9">
        <v>15000</v>
      </c>
      <c r="F6" s="10">
        <v>0</v>
      </c>
      <c r="G6" s="5">
        <f t="shared" si="0"/>
        <v>34000.39</v>
      </c>
      <c r="H6" s="5">
        <f t="shared" si="0"/>
        <v>37291.040000000001</v>
      </c>
      <c r="I6" s="4">
        <v>0</v>
      </c>
      <c r="J6" s="5">
        <v>0</v>
      </c>
      <c r="K6" s="7">
        <f t="shared" si="2"/>
        <v>34000.39</v>
      </c>
      <c r="L6" s="7">
        <f t="shared" si="3"/>
        <v>37291.040000000001</v>
      </c>
      <c r="M6" s="8">
        <f t="shared" si="4"/>
        <v>-3290.6500000000015</v>
      </c>
    </row>
    <row r="7" spans="1:13" ht="26.4">
      <c r="A7" s="3" t="s">
        <v>14</v>
      </c>
      <c r="B7" s="4">
        <f>149220+95388</f>
        <v>244608</v>
      </c>
      <c r="C7" s="5">
        <v>202274.03</v>
      </c>
      <c r="D7" s="5">
        <f t="shared" si="1"/>
        <v>42333.97</v>
      </c>
      <c r="E7" s="9">
        <v>70100</v>
      </c>
      <c r="F7" s="10">
        <v>18245.060000000001</v>
      </c>
      <c r="G7" s="5">
        <f t="shared" si="0"/>
        <v>314708</v>
      </c>
      <c r="H7" s="5">
        <f t="shared" si="0"/>
        <v>220519.09</v>
      </c>
      <c r="I7" s="4">
        <v>92690</v>
      </c>
      <c r="J7" s="5">
        <v>23400</v>
      </c>
      <c r="K7" s="7">
        <f t="shared" si="2"/>
        <v>407398</v>
      </c>
      <c r="L7" s="7">
        <f t="shared" si="3"/>
        <v>243919.09</v>
      </c>
      <c r="M7" s="8">
        <f t="shared" si="4"/>
        <v>163478.91</v>
      </c>
    </row>
    <row r="8" spans="1:13" ht="26.4">
      <c r="A8" s="3" t="s">
        <v>15</v>
      </c>
      <c r="B8" s="4">
        <f>55000+15000</f>
        <v>70000</v>
      </c>
      <c r="C8" s="5">
        <v>55203.94</v>
      </c>
      <c r="D8" s="5">
        <f t="shared" si="1"/>
        <v>14796.059999999998</v>
      </c>
      <c r="E8" s="9">
        <v>26986.92</v>
      </c>
      <c r="F8" s="10">
        <v>2087.71</v>
      </c>
      <c r="G8" s="5">
        <f t="shared" si="0"/>
        <v>96986.92</v>
      </c>
      <c r="H8" s="5">
        <f t="shared" si="0"/>
        <v>57291.65</v>
      </c>
      <c r="I8" s="4">
        <v>39996.92</v>
      </c>
      <c r="J8" s="5">
        <v>6371</v>
      </c>
      <c r="K8" s="7">
        <f t="shared" si="2"/>
        <v>136983.84</v>
      </c>
      <c r="L8" s="7">
        <f t="shared" si="3"/>
        <v>63662.65</v>
      </c>
      <c r="M8" s="8">
        <f t="shared" si="4"/>
        <v>73321.19</v>
      </c>
    </row>
    <row r="9" spans="1:13" ht="39.6">
      <c r="A9" s="3" t="s">
        <v>16</v>
      </c>
      <c r="B9" s="4">
        <v>0</v>
      </c>
      <c r="C9" s="5">
        <v>0</v>
      </c>
      <c r="D9" s="5">
        <f t="shared" si="1"/>
        <v>0</v>
      </c>
      <c r="E9" s="9"/>
      <c r="F9" s="11"/>
      <c r="G9" s="5">
        <f t="shared" si="0"/>
        <v>0</v>
      </c>
      <c r="H9" s="5">
        <f t="shared" si="0"/>
        <v>0</v>
      </c>
      <c r="I9" s="4">
        <v>0</v>
      </c>
      <c r="J9" s="5">
        <v>0</v>
      </c>
      <c r="K9" s="7">
        <f t="shared" si="2"/>
        <v>0</v>
      </c>
      <c r="L9" s="7">
        <f t="shared" si="3"/>
        <v>0</v>
      </c>
      <c r="M9" s="8">
        <f t="shared" si="4"/>
        <v>0</v>
      </c>
    </row>
    <row r="10" spans="1:13" ht="66">
      <c r="A10" s="3" t="s">
        <v>17</v>
      </c>
      <c r="B10" s="4">
        <f>94800+30800</f>
        <v>125600</v>
      </c>
      <c r="C10" s="5">
        <v>121678.9</v>
      </c>
      <c r="D10" s="5">
        <f t="shared" si="1"/>
        <v>3921.1000000000058</v>
      </c>
      <c r="E10" s="9">
        <v>25100</v>
      </c>
      <c r="F10" s="12">
        <v>42476.59</v>
      </c>
      <c r="G10" s="5">
        <f t="shared" si="0"/>
        <v>150700</v>
      </c>
      <c r="H10" s="5">
        <f t="shared" si="0"/>
        <v>164155.49</v>
      </c>
      <c r="I10" s="4"/>
      <c r="J10" s="5">
        <v>0</v>
      </c>
      <c r="K10" s="7">
        <f t="shared" si="2"/>
        <v>150700</v>
      </c>
      <c r="L10" s="7">
        <f>C10+J10+F10</f>
        <v>164155.49</v>
      </c>
      <c r="M10" s="8">
        <f>K10-L10</f>
        <v>-13455.489999999991</v>
      </c>
    </row>
    <row r="11" spans="1:13">
      <c r="A11" s="13" t="s">
        <v>18</v>
      </c>
      <c r="B11" s="14">
        <f t="shared" ref="B11:H11" si="5">SUM(B4:B10)</f>
        <v>1619208.39</v>
      </c>
      <c r="C11" s="14">
        <f t="shared" si="5"/>
        <v>1207755.3500000001</v>
      </c>
      <c r="D11" s="5">
        <f t="shared" si="1"/>
        <v>411453.0399999998</v>
      </c>
      <c r="E11" s="14">
        <f t="shared" si="5"/>
        <v>140186.91999999998</v>
      </c>
      <c r="F11" s="14">
        <f t="shared" si="5"/>
        <v>47599.829999999994</v>
      </c>
      <c r="G11" s="14">
        <f t="shared" si="5"/>
        <v>1759395.3099999998</v>
      </c>
      <c r="H11" s="14">
        <f t="shared" si="5"/>
        <v>1255355.18</v>
      </c>
      <c r="I11" s="14">
        <f>SUM(I5:I10)</f>
        <v>140186.91999999998</v>
      </c>
      <c r="J11" s="14">
        <f>SUM(J5:J10)</f>
        <v>30724</v>
      </c>
      <c r="K11" s="14">
        <f>SUM(K4:K10)</f>
        <v>1899582.23</v>
      </c>
      <c r="L11" s="14">
        <f>SUM(L4:L10)</f>
        <v>1286079.18</v>
      </c>
      <c r="M11" s="8">
        <f>K11-L11</f>
        <v>613503.05000000005</v>
      </c>
    </row>
    <row r="12" spans="1:13" ht="26.4">
      <c r="A12" s="3" t="s">
        <v>19</v>
      </c>
      <c r="B12" s="4">
        <f>80641.44+32703.16</f>
        <v>113344.6</v>
      </c>
      <c r="C12" s="4">
        <v>86576.88</v>
      </c>
      <c r="D12" s="5">
        <f t="shared" si="1"/>
        <v>26767.72</v>
      </c>
      <c r="E12" s="4">
        <v>9813.08</v>
      </c>
      <c r="F12" s="4">
        <v>3340.28</v>
      </c>
      <c r="G12" s="4">
        <f>B12+E12</f>
        <v>123157.68000000001</v>
      </c>
      <c r="H12" s="4">
        <f>C12+F12</f>
        <v>89917.16</v>
      </c>
      <c r="I12" s="4">
        <v>9813.08</v>
      </c>
      <c r="J12" s="4">
        <f>J11*0.07</f>
        <v>2150.6800000000003</v>
      </c>
      <c r="K12" s="4">
        <f>B12+E12+I12</f>
        <v>132970.76</v>
      </c>
      <c r="L12" s="4">
        <f>C12+F12+J12</f>
        <v>92067.839999999997</v>
      </c>
      <c r="M12" s="8">
        <f>K12-L12</f>
        <v>40902.920000000013</v>
      </c>
    </row>
    <row r="13" spans="1:13">
      <c r="A13" s="13" t="s">
        <v>20</v>
      </c>
      <c r="B13" s="15">
        <f>SUM(B11:B12)</f>
        <v>1732552.99</v>
      </c>
      <c r="C13" s="15">
        <f>SUM(C11:C12)</f>
        <v>1294332.23</v>
      </c>
      <c r="D13" s="5">
        <f t="shared" si="1"/>
        <v>438220.76</v>
      </c>
      <c r="E13" s="16">
        <f>E11+E12</f>
        <v>149999.99999999997</v>
      </c>
      <c r="F13" s="14">
        <f>F11+F12</f>
        <v>50940.109999999993</v>
      </c>
      <c r="G13" s="14">
        <f>SUM(G11:G12)</f>
        <v>1882552.9899999998</v>
      </c>
      <c r="H13" s="14">
        <f>SUM(H11:H12)</f>
        <v>1345272.3399999999</v>
      </c>
      <c r="I13" s="16">
        <f>I11+I12</f>
        <v>149999.99999999997</v>
      </c>
      <c r="J13" s="15">
        <f>SUM(J11:J12)</f>
        <v>32874.68</v>
      </c>
      <c r="K13" s="14">
        <f>SUM(K11:K12)</f>
        <v>2032552.99</v>
      </c>
      <c r="L13" s="15">
        <f>SUM(L11:L12)</f>
        <v>1378147.02</v>
      </c>
      <c r="M13" s="8">
        <f>K13-L13</f>
        <v>654405.97</v>
      </c>
    </row>
    <row r="14" spans="1:13" ht="15" thickBot="1"/>
    <row r="15" spans="1:13" ht="15" thickBot="1">
      <c r="B15" s="17" t="s">
        <v>21</v>
      </c>
      <c r="C15" s="18" t="s">
        <v>22</v>
      </c>
      <c r="D15" s="19"/>
      <c r="E15" s="19" t="s">
        <v>23</v>
      </c>
      <c r="F15" s="18" t="s">
        <v>24</v>
      </c>
    </row>
    <row r="16" spans="1:13" ht="15" thickBot="1">
      <c r="A16" s="20" t="s">
        <v>25</v>
      </c>
      <c r="B16" s="21">
        <f>B13</f>
        <v>1732552.99</v>
      </c>
      <c r="C16" s="22">
        <f>C13</f>
        <v>1294332.23</v>
      </c>
      <c r="D16" s="23"/>
      <c r="E16" s="23">
        <f>B16-C16</f>
        <v>438220.76</v>
      </c>
      <c r="F16" s="24">
        <f>C16/B16</f>
        <v>0.74706646057619286</v>
      </c>
    </row>
    <row r="17" spans="1:6" ht="15" thickBot="1">
      <c r="A17" s="25" t="s">
        <v>26</v>
      </c>
      <c r="B17" s="26">
        <v>150000</v>
      </c>
      <c r="C17" s="22">
        <f>F13</f>
        <v>50940.109999999993</v>
      </c>
      <c r="D17" s="22"/>
      <c r="E17" s="22">
        <f>B17-C17</f>
        <v>99059.890000000014</v>
      </c>
      <c r="F17" s="27">
        <f>C17/B17</f>
        <v>0.33960073333333329</v>
      </c>
    </row>
    <row r="18" spans="1:6" ht="15" thickBot="1">
      <c r="A18" s="28" t="s">
        <v>27</v>
      </c>
      <c r="B18" s="29">
        <f>B16+B17</f>
        <v>1882552.99</v>
      </c>
      <c r="C18" s="29">
        <f>C16+C17</f>
        <v>1345272.34</v>
      </c>
      <c r="D18" s="29"/>
      <c r="E18" s="22">
        <f>B18-C18</f>
        <v>537280.64999999991</v>
      </c>
      <c r="F18" s="27">
        <f>C18/B18</f>
        <v>0.71459998584156725</v>
      </c>
    </row>
    <row r="19" spans="1:6" ht="15" thickBot="1">
      <c r="A19" s="28" t="s">
        <v>5</v>
      </c>
      <c r="B19" s="29">
        <v>150000</v>
      </c>
      <c r="C19" s="29">
        <f>J13</f>
        <v>32874.68</v>
      </c>
      <c r="D19" s="29"/>
      <c r="E19" s="22">
        <f>B19-C19</f>
        <v>117125.32</v>
      </c>
      <c r="F19" s="27">
        <f>C19/B19</f>
        <v>0.21916453333333333</v>
      </c>
    </row>
    <row r="20" spans="1:6" ht="15" thickBot="1">
      <c r="A20" s="30" t="s">
        <v>28</v>
      </c>
      <c r="B20" s="31">
        <f>B18+B19</f>
        <v>2032552.99</v>
      </c>
      <c r="C20" s="31">
        <f t="shared" ref="C20:E20" si="6">C18+C19</f>
        <v>1378147.02</v>
      </c>
      <c r="D20" s="31"/>
      <c r="E20" s="31">
        <f t="shared" si="6"/>
        <v>654405.97</v>
      </c>
      <c r="F20" s="32">
        <f>C20/B20</f>
        <v>0.6780374370461062</v>
      </c>
    </row>
  </sheetData>
  <mergeCells count="7">
    <mergeCell ref="A1:M1"/>
    <mergeCell ref="A2:A3"/>
    <mergeCell ref="B2:D2"/>
    <mergeCell ref="E2:F2"/>
    <mergeCell ref="G2:H2"/>
    <mergeCell ref="I2:J2"/>
    <mergeCell ref="K2: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A074C-9C7F-4629-8721-68DEE5190398}">
  <dimension ref="A1:H78"/>
  <sheetViews>
    <sheetView topLeftCell="A73" workbookViewId="0">
      <selection activeCell="D21" sqref="D21"/>
    </sheetView>
  </sheetViews>
  <sheetFormatPr baseColWidth="10" defaultRowHeight="14.4"/>
  <cols>
    <col min="3" max="3" width="15.33203125" bestFit="1" customWidth="1"/>
    <col min="6" max="6" width="15.33203125" bestFit="1" customWidth="1"/>
  </cols>
  <sheetData>
    <row r="1" spans="1:8" ht="21">
      <c r="A1" s="170" t="s">
        <v>29</v>
      </c>
      <c r="B1" s="171"/>
      <c r="C1" s="171"/>
      <c r="D1" s="171"/>
      <c r="E1" s="171"/>
      <c r="F1" s="171"/>
      <c r="G1" s="171"/>
      <c r="H1" s="171"/>
    </row>
    <row r="2" spans="1:8" ht="15.6">
      <c r="A2" s="33"/>
      <c r="B2" s="33"/>
    </row>
    <row r="3" spans="1:8" ht="15.6">
      <c r="A3" s="165" t="s">
        <v>141</v>
      </c>
      <c r="B3" s="165"/>
      <c r="C3" s="165"/>
      <c r="D3" s="165"/>
      <c r="E3" s="165"/>
      <c r="F3" s="165"/>
      <c r="G3" s="165"/>
      <c r="H3" s="165"/>
    </row>
    <row r="5" spans="1:8" ht="15.6">
      <c r="A5" s="165" t="s">
        <v>30</v>
      </c>
      <c r="B5" s="165"/>
      <c r="C5" s="165"/>
      <c r="D5" s="165"/>
      <c r="E5" s="165"/>
      <c r="F5" s="165"/>
      <c r="G5" s="165"/>
      <c r="H5" s="165"/>
    </row>
    <row r="6" spans="1:8" ht="15.6">
      <c r="C6" s="34"/>
      <c r="D6" s="34"/>
      <c r="E6" s="35"/>
      <c r="F6" s="35"/>
      <c r="G6" s="36"/>
      <c r="H6" s="37"/>
    </row>
    <row r="7" spans="1:8" ht="96">
      <c r="A7" s="38" t="s">
        <v>31</v>
      </c>
      <c r="B7" s="38" t="s">
        <v>32</v>
      </c>
      <c r="C7" s="39" t="s">
        <v>33</v>
      </c>
      <c r="D7" s="39" t="s">
        <v>34</v>
      </c>
      <c r="E7" s="39" t="s">
        <v>35</v>
      </c>
      <c r="F7" s="39" t="s">
        <v>36</v>
      </c>
      <c r="G7" s="166" t="s">
        <v>37</v>
      </c>
      <c r="H7" s="167"/>
    </row>
    <row r="8" spans="1:8">
      <c r="A8" s="140" t="s">
        <v>38</v>
      </c>
      <c r="B8" s="141"/>
      <c r="C8" s="141"/>
      <c r="D8" s="141"/>
      <c r="E8" s="141"/>
      <c r="F8" s="141"/>
      <c r="G8" s="141"/>
      <c r="H8" s="142"/>
    </row>
    <row r="9" spans="1:8">
      <c r="A9" s="40" t="s">
        <v>39</v>
      </c>
      <c r="B9" s="40"/>
      <c r="C9" s="41">
        <f>SUM(C10:C11)</f>
        <v>20000</v>
      </c>
      <c r="D9" s="41">
        <f>SUM(D10:D11)</f>
        <v>0</v>
      </c>
      <c r="E9" s="40"/>
      <c r="F9" s="41">
        <f>SUM(F10:F11)</f>
        <v>27271.78</v>
      </c>
      <c r="G9" s="140"/>
      <c r="H9" s="142"/>
    </row>
    <row r="10" spans="1:8" ht="118.8">
      <c r="A10" s="42" t="s">
        <v>40</v>
      </c>
      <c r="B10" s="43" t="s">
        <v>41</v>
      </c>
      <c r="C10" s="44">
        <v>10000</v>
      </c>
      <c r="D10" s="45"/>
      <c r="E10" s="46">
        <v>0</v>
      </c>
      <c r="F10" s="47">
        <v>17771.78</v>
      </c>
      <c r="G10" s="168" t="s">
        <v>42</v>
      </c>
      <c r="H10" s="169"/>
    </row>
    <row r="11" spans="1:8" ht="69">
      <c r="A11" s="48" t="s">
        <v>43</v>
      </c>
      <c r="B11" s="49" t="s">
        <v>44</v>
      </c>
      <c r="C11" s="44">
        <v>10000</v>
      </c>
      <c r="D11" s="44"/>
      <c r="E11" s="44">
        <v>0</v>
      </c>
      <c r="F11" s="50">
        <v>9500</v>
      </c>
      <c r="G11" s="168" t="s">
        <v>45</v>
      </c>
      <c r="H11" s="169"/>
    </row>
    <row r="12" spans="1:8" ht="370.2">
      <c r="A12" s="40" t="s">
        <v>46</v>
      </c>
      <c r="B12" s="40" t="s">
        <v>47</v>
      </c>
      <c r="C12" s="41">
        <f>SUM(C13:C23)</f>
        <v>1599208.56</v>
      </c>
      <c r="D12" s="40"/>
      <c r="E12" s="40"/>
      <c r="F12" s="41">
        <f>SUM(F13:F23)</f>
        <v>1180483.5699999998</v>
      </c>
      <c r="G12" s="140"/>
      <c r="H12" s="142"/>
    </row>
    <row r="13" spans="1:8">
      <c r="A13" s="118" t="s">
        <v>48</v>
      </c>
      <c r="B13" s="118" t="s">
        <v>49</v>
      </c>
      <c r="C13" s="155">
        <f>828000+317000</f>
        <v>1145000</v>
      </c>
      <c r="D13" s="118"/>
      <c r="E13" s="157"/>
      <c r="F13" s="155">
        <v>781850.51</v>
      </c>
      <c r="G13" s="159" t="s">
        <v>50</v>
      </c>
      <c r="H13" s="160"/>
    </row>
    <row r="14" spans="1:8">
      <c r="A14" s="119"/>
      <c r="B14" s="119"/>
      <c r="C14" s="156"/>
      <c r="D14" s="120"/>
      <c r="E14" s="158"/>
      <c r="F14" s="156"/>
      <c r="G14" s="161"/>
      <c r="H14" s="162"/>
    </row>
    <row r="15" spans="1:8">
      <c r="A15" s="120"/>
      <c r="B15" s="120"/>
      <c r="C15" s="51">
        <f>119220+95388</f>
        <v>214608</v>
      </c>
      <c r="D15" s="52"/>
      <c r="E15" s="53"/>
      <c r="F15" s="47">
        <v>202274.03</v>
      </c>
      <c r="G15" s="163" t="s">
        <v>51</v>
      </c>
      <c r="H15" s="164"/>
    </row>
    <row r="16" spans="1:8">
      <c r="A16" s="148" t="s">
        <v>52</v>
      </c>
      <c r="B16" s="118" t="s">
        <v>53</v>
      </c>
      <c r="C16" s="51">
        <f>44500+30800</f>
        <v>75300</v>
      </c>
      <c r="D16" s="52"/>
      <c r="E16" s="39"/>
      <c r="F16" s="47">
        <v>112178.9</v>
      </c>
      <c r="G16" s="153" t="s">
        <v>17</v>
      </c>
      <c r="H16" s="154"/>
    </row>
    <row r="17" spans="1:8">
      <c r="A17" s="149"/>
      <c r="B17" s="119"/>
      <c r="C17" s="51">
        <f>14998.98+4000</f>
        <v>18998.98</v>
      </c>
      <c r="D17" s="52"/>
      <c r="E17" s="39"/>
      <c r="F17" s="47">
        <v>37291.040000000001</v>
      </c>
      <c r="G17" s="153" t="s">
        <v>54</v>
      </c>
      <c r="H17" s="154"/>
    </row>
    <row r="18" spans="1:8">
      <c r="A18" s="149"/>
      <c r="B18" s="120"/>
      <c r="C18" s="51">
        <f>10001.58+5000</f>
        <v>15001.58</v>
      </c>
      <c r="D18" s="52"/>
      <c r="E18" s="39"/>
      <c r="F18" s="47">
        <v>9456.93</v>
      </c>
      <c r="G18" s="153" t="s">
        <v>12</v>
      </c>
      <c r="H18" s="154"/>
    </row>
    <row r="19" spans="1:8">
      <c r="A19" s="150"/>
      <c r="B19" s="52" t="s">
        <v>55</v>
      </c>
      <c r="C19" s="54">
        <v>10000</v>
      </c>
      <c r="D19" s="52"/>
      <c r="E19" s="39"/>
      <c r="F19" s="47">
        <v>9000</v>
      </c>
      <c r="G19" s="153" t="s">
        <v>15</v>
      </c>
      <c r="H19" s="154"/>
    </row>
    <row r="20" spans="1:8" ht="41.4">
      <c r="A20" s="148" t="s">
        <v>56</v>
      </c>
      <c r="B20" s="52" t="s">
        <v>57</v>
      </c>
      <c r="C20" s="51">
        <f>25000+15000</f>
        <v>40000</v>
      </c>
      <c r="D20" s="52"/>
      <c r="E20" s="52"/>
      <c r="F20" s="47">
        <v>10267.92</v>
      </c>
      <c r="G20" s="97" t="s">
        <v>58</v>
      </c>
      <c r="H20" s="98"/>
    </row>
    <row r="21" spans="1:8" ht="124.2">
      <c r="A21" s="149"/>
      <c r="B21" s="52" t="s">
        <v>59</v>
      </c>
      <c r="C21" s="54">
        <v>20000</v>
      </c>
      <c r="D21" s="52"/>
      <c r="E21" s="52"/>
      <c r="F21" s="47">
        <v>18164.240000000002</v>
      </c>
      <c r="G21" s="97" t="s">
        <v>58</v>
      </c>
      <c r="H21" s="98"/>
    </row>
    <row r="22" spans="1:8" ht="41.4">
      <c r="A22" s="149"/>
      <c r="B22" s="52" t="s">
        <v>60</v>
      </c>
      <c r="C22" s="54">
        <v>40300</v>
      </c>
      <c r="D22" s="52"/>
      <c r="E22" s="52"/>
      <c r="F22" s="55"/>
      <c r="G22" s="97" t="s">
        <v>14</v>
      </c>
      <c r="H22" s="98"/>
    </row>
    <row r="23" spans="1:8" ht="96.6">
      <c r="A23" s="150"/>
      <c r="B23" s="52" t="s">
        <v>61</v>
      </c>
      <c r="C23" s="54">
        <v>20000</v>
      </c>
      <c r="D23" s="52"/>
      <c r="E23" s="52"/>
      <c r="F23" s="55"/>
      <c r="G23" s="97" t="s">
        <v>17</v>
      </c>
      <c r="H23" s="98"/>
    </row>
    <row r="24" spans="1:8">
      <c r="A24" s="151" t="s">
        <v>62</v>
      </c>
      <c r="B24" s="152"/>
      <c r="C24" s="56">
        <f>C12+C9</f>
        <v>1619208.56</v>
      </c>
      <c r="D24" s="56">
        <f t="shared" ref="D24:F24" si="0">D12+D9</f>
        <v>0</v>
      </c>
      <c r="E24" s="56">
        <f t="shared" si="0"/>
        <v>0</v>
      </c>
      <c r="F24" s="56">
        <f t="shared" si="0"/>
        <v>1207755.3499999999</v>
      </c>
      <c r="G24" s="97"/>
      <c r="H24" s="98"/>
    </row>
    <row r="25" spans="1:8">
      <c r="A25" s="140" t="s">
        <v>63</v>
      </c>
      <c r="B25" s="141"/>
      <c r="C25" s="141"/>
      <c r="D25" s="141"/>
      <c r="E25" s="141"/>
      <c r="F25" s="141"/>
      <c r="G25" s="141"/>
      <c r="H25" s="142"/>
    </row>
    <row r="26" spans="1:8">
      <c r="A26" s="143" t="s">
        <v>64</v>
      </c>
      <c r="B26" s="144"/>
      <c r="C26" s="57">
        <f>SUM(C27:C37)</f>
        <v>94029.92</v>
      </c>
      <c r="D26" s="52"/>
      <c r="E26" s="52"/>
      <c r="F26" s="52"/>
      <c r="G26" s="103" t="s">
        <v>65</v>
      </c>
      <c r="H26" s="104"/>
    </row>
    <row r="27" spans="1:8">
      <c r="A27" s="99" t="s">
        <v>66</v>
      </c>
      <c r="B27" s="118" t="s">
        <v>67</v>
      </c>
      <c r="C27" s="124">
        <v>1800</v>
      </c>
      <c r="D27" s="145"/>
      <c r="E27" s="118" t="s">
        <v>14</v>
      </c>
      <c r="F27" s="118"/>
      <c r="G27" s="133"/>
      <c r="H27" s="134"/>
    </row>
    <row r="28" spans="1:8">
      <c r="A28" s="100"/>
      <c r="B28" s="119"/>
      <c r="C28" s="125"/>
      <c r="D28" s="146"/>
      <c r="E28" s="119"/>
      <c r="F28" s="119"/>
      <c r="G28" s="133"/>
      <c r="H28" s="134"/>
    </row>
    <row r="29" spans="1:8">
      <c r="A29" s="101"/>
      <c r="B29" s="120"/>
      <c r="C29" s="126"/>
      <c r="D29" s="147"/>
      <c r="E29" s="120"/>
      <c r="F29" s="120"/>
      <c r="G29" s="133"/>
      <c r="H29" s="134"/>
    </row>
    <row r="30" spans="1:8">
      <c r="A30" s="99" t="s">
        <v>68</v>
      </c>
      <c r="B30" s="118" t="s">
        <v>69</v>
      </c>
      <c r="C30" s="124">
        <v>470</v>
      </c>
      <c r="D30" s="118"/>
      <c r="E30" s="118" t="s">
        <v>12</v>
      </c>
      <c r="F30" s="118"/>
      <c r="G30" s="133"/>
      <c r="H30" s="134"/>
    </row>
    <row r="31" spans="1:8">
      <c r="A31" s="100"/>
      <c r="B31" s="119"/>
      <c r="C31" s="126"/>
      <c r="D31" s="120"/>
      <c r="E31" s="120"/>
      <c r="F31" s="120"/>
      <c r="G31" s="133"/>
      <c r="H31" s="134"/>
    </row>
    <row r="32" spans="1:8">
      <c r="A32" s="100"/>
      <c r="B32" s="119"/>
      <c r="C32" s="124">
        <v>23360</v>
      </c>
      <c r="D32" s="118"/>
      <c r="E32" s="118" t="s">
        <v>14</v>
      </c>
      <c r="F32" s="118"/>
      <c r="G32" s="133"/>
      <c r="H32" s="134"/>
    </row>
    <row r="33" spans="1:8">
      <c r="A33" s="100"/>
      <c r="B33" s="119"/>
      <c r="C33" s="126"/>
      <c r="D33" s="120"/>
      <c r="E33" s="120"/>
      <c r="F33" s="120"/>
      <c r="G33" s="133"/>
      <c r="H33" s="134"/>
    </row>
    <row r="34" spans="1:8" ht="55.2">
      <c r="A34" s="101"/>
      <c r="B34" s="120"/>
      <c r="C34" s="54">
        <v>12900</v>
      </c>
      <c r="D34" s="58"/>
      <c r="E34" s="52" t="s">
        <v>70</v>
      </c>
      <c r="F34" s="52"/>
      <c r="G34" s="105"/>
      <c r="H34" s="106"/>
    </row>
    <row r="35" spans="1:8" ht="69">
      <c r="A35" s="118" t="s">
        <v>71</v>
      </c>
      <c r="B35" s="130" t="s">
        <v>72</v>
      </c>
      <c r="C35" s="54">
        <v>2800</v>
      </c>
      <c r="D35" s="52"/>
      <c r="E35" s="52" t="s">
        <v>12</v>
      </c>
      <c r="F35" s="52"/>
      <c r="G35" s="103"/>
      <c r="H35" s="104"/>
    </row>
    <row r="36" spans="1:8" ht="27.6">
      <c r="A36" s="119"/>
      <c r="B36" s="131"/>
      <c r="C36" s="54">
        <v>31700</v>
      </c>
      <c r="D36" s="59"/>
      <c r="E36" s="52" t="s">
        <v>14</v>
      </c>
      <c r="F36" s="52"/>
      <c r="G36" s="133"/>
      <c r="H36" s="134"/>
    </row>
    <row r="37" spans="1:8" ht="55.2">
      <c r="A37" s="120"/>
      <c r="B37" s="132"/>
      <c r="C37" s="54">
        <v>20999.919999999998</v>
      </c>
      <c r="D37" s="59"/>
      <c r="E37" s="52" t="s">
        <v>70</v>
      </c>
      <c r="F37" s="52"/>
      <c r="G37" s="105"/>
      <c r="H37" s="106"/>
    </row>
    <row r="38" spans="1:8" ht="15.6">
      <c r="A38" s="52" t="s">
        <v>73</v>
      </c>
      <c r="B38" s="135" t="s">
        <v>74</v>
      </c>
      <c r="C38" s="136"/>
      <c r="D38" s="136"/>
      <c r="E38" s="136"/>
      <c r="F38" s="136"/>
      <c r="G38" s="136"/>
      <c r="H38" s="137"/>
    </row>
    <row r="39" spans="1:8" ht="15.6">
      <c r="A39" s="97" t="s">
        <v>73</v>
      </c>
      <c r="B39" s="98"/>
      <c r="C39" s="60">
        <f>SUM(C40:C46)</f>
        <v>46157</v>
      </c>
      <c r="D39" s="61"/>
      <c r="E39" s="61"/>
      <c r="F39" s="61"/>
      <c r="G39" s="138"/>
      <c r="H39" s="139"/>
    </row>
    <row r="40" spans="1:8">
      <c r="A40" s="99" t="s">
        <v>75</v>
      </c>
      <c r="B40" s="127" t="s">
        <v>76</v>
      </c>
      <c r="C40" s="115">
        <v>4230</v>
      </c>
      <c r="D40" s="118"/>
      <c r="E40" s="118" t="s">
        <v>12</v>
      </c>
      <c r="F40" s="115">
        <v>953</v>
      </c>
      <c r="G40" s="97" t="s">
        <v>77</v>
      </c>
      <c r="H40" s="98"/>
    </row>
    <row r="41" spans="1:8">
      <c r="A41" s="100"/>
      <c r="B41" s="128"/>
      <c r="C41" s="117"/>
      <c r="D41" s="120"/>
      <c r="E41" s="120"/>
      <c r="F41" s="117"/>
      <c r="G41" s="97" t="s">
        <v>78</v>
      </c>
      <c r="H41" s="98"/>
    </row>
    <row r="42" spans="1:8" ht="27.6">
      <c r="A42" s="100"/>
      <c r="B42" s="128"/>
      <c r="C42" s="54">
        <v>30830</v>
      </c>
      <c r="D42" s="52"/>
      <c r="E42" s="52" t="s">
        <v>14</v>
      </c>
      <c r="F42" s="62">
        <v>23400</v>
      </c>
      <c r="G42" s="97" t="s">
        <v>79</v>
      </c>
      <c r="H42" s="98"/>
    </row>
    <row r="43" spans="1:8" ht="55.2">
      <c r="A43" s="101"/>
      <c r="B43" s="129"/>
      <c r="C43" s="54">
        <v>6097</v>
      </c>
      <c r="D43" s="63"/>
      <c r="E43" s="63" t="s">
        <v>70</v>
      </c>
      <c r="F43" s="62">
        <v>6371</v>
      </c>
      <c r="G43" s="97"/>
      <c r="H43" s="98"/>
    </row>
    <row r="44" spans="1:8">
      <c r="A44" s="99" t="s">
        <v>80</v>
      </c>
      <c r="B44" s="99" t="s">
        <v>81</v>
      </c>
      <c r="C44" s="124">
        <v>5000</v>
      </c>
      <c r="D44" s="118"/>
      <c r="E44" s="118" t="s">
        <v>14</v>
      </c>
      <c r="F44" s="115"/>
      <c r="G44" s="97" t="s">
        <v>77</v>
      </c>
      <c r="H44" s="98"/>
    </row>
    <row r="45" spans="1:8">
      <c r="A45" s="100"/>
      <c r="B45" s="100"/>
      <c r="C45" s="125"/>
      <c r="D45" s="119"/>
      <c r="E45" s="119"/>
      <c r="F45" s="116"/>
      <c r="G45" s="97" t="s">
        <v>82</v>
      </c>
      <c r="H45" s="98"/>
    </row>
    <row r="46" spans="1:8">
      <c r="A46" s="101"/>
      <c r="B46" s="101"/>
      <c r="C46" s="126"/>
      <c r="D46" s="120"/>
      <c r="E46" s="120"/>
      <c r="F46" s="117"/>
      <c r="G46" s="97" t="s">
        <v>83</v>
      </c>
      <c r="H46" s="98"/>
    </row>
    <row r="47" spans="1:8">
      <c r="A47" s="85" t="s">
        <v>84</v>
      </c>
      <c r="B47" s="86"/>
      <c r="C47" s="57">
        <f>C26+C39</f>
        <v>140186.91999999998</v>
      </c>
      <c r="D47" s="52"/>
      <c r="E47" s="52"/>
      <c r="F47" s="57">
        <f>SUM(F40:F46)</f>
        <v>30724</v>
      </c>
      <c r="G47" s="97"/>
      <c r="H47" s="98"/>
    </row>
    <row r="48" spans="1:8" ht="15.6">
      <c r="A48" s="121" t="s">
        <v>85</v>
      </c>
      <c r="B48" s="122"/>
      <c r="C48" s="122"/>
      <c r="D48" s="122"/>
      <c r="E48" s="122"/>
      <c r="F48" s="122"/>
      <c r="G48" s="122"/>
      <c r="H48" s="123"/>
    </row>
    <row r="49" spans="1:8">
      <c r="A49" s="99" t="s">
        <v>86</v>
      </c>
      <c r="B49" s="103" t="s">
        <v>87</v>
      </c>
      <c r="C49" s="109"/>
      <c r="D49" s="109"/>
      <c r="E49" s="109"/>
      <c r="F49" s="109"/>
      <c r="G49" s="109"/>
      <c r="H49" s="104"/>
    </row>
    <row r="50" spans="1:8">
      <c r="A50" s="101"/>
      <c r="B50" s="105"/>
      <c r="C50" s="110"/>
      <c r="D50" s="110"/>
      <c r="E50" s="110"/>
      <c r="F50" s="110"/>
      <c r="G50" s="110"/>
      <c r="H50" s="106"/>
    </row>
    <row r="51" spans="1:8">
      <c r="A51" s="85" t="s">
        <v>88</v>
      </c>
      <c r="B51" s="86"/>
      <c r="C51" s="57">
        <f>SUM(C52)</f>
        <v>0</v>
      </c>
      <c r="D51" s="52"/>
      <c r="E51" s="52"/>
      <c r="F51" s="64"/>
      <c r="G51" s="111"/>
      <c r="H51" s="112"/>
    </row>
    <row r="52" spans="1:8" ht="165.6">
      <c r="A52" s="52" t="s">
        <v>89</v>
      </c>
      <c r="B52" s="52" t="s">
        <v>90</v>
      </c>
      <c r="C52" s="115"/>
      <c r="D52" s="118" t="s">
        <v>91</v>
      </c>
      <c r="E52" s="99" t="s">
        <v>92</v>
      </c>
      <c r="F52" s="64"/>
      <c r="G52" s="113"/>
      <c r="H52" s="114"/>
    </row>
    <row r="53" spans="1:8" ht="96.6">
      <c r="A53" s="52" t="s">
        <v>93</v>
      </c>
      <c r="B53" s="52" t="s">
        <v>94</v>
      </c>
      <c r="C53" s="116"/>
      <c r="D53" s="119"/>
      <c r="E53" s="100"/>
      <c r="F53" s="64"/>
      <c r="G53" s="83"/>
      <c r="H53" s="84"/>
    </row>
    <row r="54" spans="1:8" ht="165.6">
      <c r="A54" s="52" t="s">
        <v>95</v>
      </c>
      <c r="B54" s="52" t="s">
        <v>96</v>
      </c>
      <c r="C54" s="117"/>
      <c r="D54" s="120"/>
      <c r="E54" s="101"/>
      <c r="F54" s="64"/>
      <c r="G54" s="83"/>
      <c r="H54" s="84"/>
    </row>
    <row r="55" spans="1:8">
      <c r="A55" s="52" t="s">
        <v>97</v>
      </c>
      <c r="B55" s="97" t="s">
        <v>98</v>
      </c>
      <c r="C55" s="102"/>
      <c r="D55" s="102"/>
      <c r="E55" s="102"/>
      <c r="F55" s="102"/>
      <c r="G55" s="102"/>
      <c r="H55" s="98"/>
    </row>
    <row r="56" spans="1:8">
      <c r="A56" s="85" t="s">
        <v>99</v>
      </c>
      <c r="B56" s="86"/>
      <c r="C56" s="65">
        <f>SUM(C57:C60)</f>
        <v>36000</v>
      </c>
      <c r="D56" s="49"/>
      <c r="E56" s="49"/>
      <c r="F56" s="66"/>
      <c r="G56" s="97"/>
      <c r="H56" s="98"/>
    </row>
    <row r="57" spans="1:8" ht="96.6">
      <c r="A57" s="52" t="s">
        <v>100</v>
      </c>
      <c r="B57" s="52" t="s">
        <v>101</v>
      </c>
      <c r="C57" s="54">
        <v>5000</v>
      </c>
      <c r="D57" s="52" t="s">
        <v>14</v>
      </c>
      <c r="E57" s="52" t="s">
        <v>102</v>
      </c>
      <c r="F57" s="67">
        <v>7064.58</v>
      </c>
      <c r="G57" s="107"/>
      <c r="H57" s="108"/>
    </row>
    <row r="58" spans="1:8" ht="96.6">
      <c r="A58" s="52" t="s">
        <v>103</v>
      </c>
      <c r="B58" s="52" t="s">
        <v>104</v>
      </c>
      <c r="C58" s="54">
        <v>15000</v>
      </c>
      <c r="D58" s="52" t="s">
        <v>17</v>
      </c>
      <c r="E58" s="52" t="s">
        <v>105</v>
      </c>
      <c r="F58" s="67">
        <v>35412.01</v>
      </c>
      <c r="G58" s="83"/>
      <c r="H58" s="84"/>
    </row>
    <row r="59" spans="1:8" ht="96.6">
      <c r="A59" s="52" t="s">
        <v>106</v>
      </c>
      <c r="B59" s="52" t="s">
        <v>107</v>
      </c>
      <c r="C59" s="54">
        <v>1000</v>
      </c>
      <c r="D59" s="52" t="s">
        <v>17</v>
      </c>
      <c r="E59" s="52" t="s">
        <v>108</v>
      </c>
      <c r="F59" s="67"/>
      <c r="G59" s="83"/>
      <c r="H59" s="84"/>
    </row>
    <row r="60" spans="1:8" ht="82.8">
      <c r="A60" s="52" t="s">
        <v>109</v>
      </c>
      <c r="B60" s="52" t="s">
        <v>110</v>
      </c>
      <c r="C60" s="54">
        <v>15000</v>
      </c>
      <c r="D60" s="52" t="s">
        <v>14</v>
      </c>
      <c r="E60" s="52" t="s">
        <v>111</v>
      </c>
      <c r="F60" s="67"/>
      <c r="G60" s="83"/>
      <c r="H60" s="84"/>
    </row>
    <row r="61" spans="1:8">
      <c r="A61" s="52" t="s">
        <v>112</v>
      </c>
      <c r="B61" s="97" t="s">
        <v>113</v>
      </c>
      <c r="C61" s="102"/>
      <c r="D61" s="102"/>
      <c r="E61" s="102"/>
      <c r="F61" s="102"/>
      <c r="G61" s="102"/>
      <c r="H61" s="98"/>
    </row>
    <row r="62" spans="1:8">
      <c r="A62" s="85" t="s">
        <v>114</v>
      </c>
      <c r="B62" s="86"/>
      <c r="C62" s="57">
        <f>SUM(C63:C66)</f>
        <v>53599.92</v>
      </c>
      <c r="D62" s="52"/>
      <c r="E62" s="52"/>
      <c r="F62" s="52"/>
      <c r="G62" s="103"/>
      <c r="H62" s="104"/>
    </row>
    <row r="63" spans="1:8" ht="69">
      <c r="A63" s="52" t="s">
        <v>115</v>
      </c>
      <c r="B63" s="52" t="s">
        <v>116</v>
      </c>
      <c r="C63" s="54">
        <v>3000</v>
      </c>
      <c r="D63" s="52" t="s">
        <v>17</v>
      </c>
      <c r="E63" s="52" t="s">
        <v>117</v>
      </c>
      <c r="F63" s="67"/>
      <c r="G63" s="105"/>
      <c r="H63" s="106"/>
    </row>
    <row r="64" spans="1:8" ht="96.6">
      <c r="A64" s="52" t="s">
        <v>118</v>
      </c>
      <c r="B64" s="52" t="s">
        <v>119</v>
      </c>
      <c r="C64" s="54">
        <v>10000</v>
      </c>
      <c r="D64" s="52" t="s">
        <v>54</v>
      </c>
      <c r="E64" s="52" t="s">
        <v>120</v>
      </c>
      <c r="F64" s="67"/>
      <c r="G64" s="83"/>
      <c r="H64" s="84"/>
    </row>
    <row r="65" spans="1:8" ht="69">
      <c r="A65" s="52" t="s">
        <v>121</v>
      </c>
      <c r="B65" s="52" t="s">
        <v>122</v>
      </c>
      <c r="C65" s="54">
        <v>15000</v>
      </c>
      <c r="D65" s="52" t="s">
        <v>14</v>
      </c>
      <c r="E65" s="52" t="s">
        <v>123</v>
      </c>
      <c r="F65" s="67"/>
      <c r="G65" s="83"/>
      <c r="H65" s="84"/>
    </row>
    <row r="66" spans="1:8" ht="110.4">
      <c r="A66" s="52" t="s">
        <v>124</v>
      </c>
      <c r="B66" s="52" t="s">
        <v>125</v>
      </c>
      <c r="C66" s="54">
        <v>25599.919999999998</v>
      </c>
      <c r="D66" s="52" t="s">
        <v>15</v>
      </c>
      <c r="E66" s="52" t="s">
        <v>126</v>
      </c>
      <c r="F66" s="67"/>
      <c r="G66" s="83"/>
      <c r="H66" s="84"/>
    </row>
    <row r="67" spans="1:8" ht="55.2">
      <c r="A67" s="52" t="s">
        <v>127</v>
      </c>
      <c r="B67" s="68" t="s">
        <v>128</v>
      </c>
      <c r="C67" s="68"/>
      <c r="D67" s="68"/>
      <c r="E67" s="68"/>
      <c r="F67" s="68"/>
      <c r="G67" s="85"/>
      <c r="H67" s="86"/>
    </row>
    <row r="68" spans="1:8">
      <c r="A68" s="97" t="s">
        <v>129</v>
      </c>
      <c r="B68" s="98"/>
      <c r="C68" s="65">
        <f>SUM(C69:C73)</f>
        <v>50587</v>
      </c>
      <c r="D68" s="69"/>
      <c r="E68" s="69"/>
      <c r="F68" s="69"/>
      <c r="G68" s="85"/>
      <c r="H68" s="86"/>
    </row>
    <row r="69" spans="1:8" ht="82.8">
      <c r="A69" s="99"/>
      <c r="B69" s="99" t="s">
        <v>130</v>
      </c>
      <c r="C69" s="54">
        <v>35100</v>
      </c>
      <c r="D69" s="52" t="s">
        <v>14</v>
      </c>
      <c r="E69" s="70" t="s">
        <v>131</v>
      </c>
      <c r="F69" s="71">
        <v>18245.060000000001</v>
      </c>
      <c r="G69" s="83"/>
      <c r="H69" s="84"/>
    </row>
    <row r="70" spans="1:8" ht="55.2">
      <c r="A70" s="100"/>
      <c r="B70" s="100"/>
      <c r="C70" s="54">
        <v>6387</v>
      </c>
      <c r="D70" s="52" t="s">
        <v>15</v>
      </c>
      <c r="E70" s="70" t="s">
        <v>132</v>
      </c>
      <c r="F70" s="71">
        <v>2087.71</v>
      </c>
      <c r="G70" s="83"/>
      <c r="H70" s="84"/>
    </row>
    <row r="71" spans="1:8" ht="69">
      <c r="A71" s="100"/>
      <c r="B71" s="100"/>
      <c r="C71" s="54">
        <v>3600</v>
      </c>
      <c r="D71" s="52" t="s">
        <v>17</v>
      </c>
      <c r="E71" s="70" t="s">
        <v>133</v>
      </c>
      <c r="F71" s="71">
        <v>-15209.53</v>
      </c>
      <c r="G71" s="83"/>
      <c r="H71" s="84"/>
    </row>
    <row r="72" spans="1:8" ht="69">
      <c r="A72" s="100"/>
      <c r="B72" s="100"/>
      <c r="C72" s="54">
        <v>3000</v>
      </c>
      <c r="D72" s="52" t="s">
        <v>12</v>
      </c>
      <c r="E72" s="70" t="s">
        <v>134</v>
      </c>
      <c r="F72" s="67"/>
      <c r="G72" s="83"/>
      <c r="H72" s="84"/>
    </row>
    <row r="73" spans="1:8" ht="69">
      <c r="A73" s="101"/>
      <c r="B73" s="101"/>
      <c r="C73" s="54">
        <v>2500</v>
      </c>
      <c r="D73" s="52" t="s">
        <v>17</v>
      </c>
      <c r="E73" s="70" t="s">
        <v>135</v>
      </c>
      <c r="F73" s="67"/>
      <c r="G73" s="83"/>
      <c r="H73" s="84"/>
    </row>
    <row r="74" spans="1:8">
      <c r="A74" s="85" t="s">
        <v>136</v>
      </c>
      <c r="B74" s="86"/>
      <c r="C74" s="56">
        <f>C26+C39</f>
        <v>140186.91999999998</v>
      </c>
      <c r="D74" s="52"/>
      <c r="E74" s="70"/>
      <c r="F74" s="72">
        <f>F47</f>
        <v>30724</v>
      </c>
      <c r="G74" s="83"/>
      <c r="H74" s="84"/>
    </row>
    <row r="75" spans="1:8">
      <c r="A75" s="85" t="s">
        <v>137</v>
      </c>
      <c r="B75" s="86"/>
      <c r="C75" s="56">
        <f>C56+C62+C68</f>
        <v>140186.91999999998</v>
      </c>
      <c r="D75" s="52"/>
      <c r="E75" s="70"/>
      <c r="F75" s="73">
        <f>F57+F58+F69+F70+F71</f>
        <v>47599.830000000009</v>
      </c>
      <c r="G75" s="87"/>
      <c r="H75" s="88"/>
    </row>
    <row r="76" spans="1:8" ht="15.6">
      <c r="A76" s="85" t="s">
        <v>138</v>
      </c>
      <c r="B76" s="86"/>
      <c r="C76" s="74">
        <f>C24</f>
        <v>1619208.56</v>
      </c>
      <c r="D76" s="61"/>
      <c r="E76" s="61"/>
      <c r="F76" s="72">
        <f>F24</f>
        <v>1207755.3499999999</v>
      </c>
      <c r="G76" s="89"/>
      <c r="H76" s="90"/>
    </row>
    <row r="77" spans="1:8" ht="15.6">
      <c r="A77" s="93" t="s">
        <v>139</v>
      </c>
      <c r="B77" s="94"/>
      <c r="C77" s="73">
        <v>132970.76</v>
      </c>
      <c r="D77" s="64"/>
      <c r="E77" s="64"/>
      <c r="F77" s="75">
        <v>92067.839999999997</v>
      </c>
      <c r="G77" s="89"/>
      <c r="H77" s="90"/>
    </row>
    <row r="78" spans="1:8">
      <c r="A78" s="95" t="s">
        <v>140</v>
      </c>
      <c r="B78" s="96"/>
      <c r="C78" s="76">
        <f>C74+C75+C76+C77</f>
        <v>2032553.16</v>
      </c>
      <c r="D78" s="64"/>
      <c r="E78" s="64"/>
      <c r="F78" s="73">
        <f>SUM(F74:F77)</f>
        <v>1378147.02</v>
      </c>
      <c r="G78" s="91"/>
      <c r="H78" s="92"/>
    </row>
  </sheetData>
  <mergeCells count="116">
    <mergeCell ref="A5:H5"/>
    <mergeCell ref="G7:H7"/>
    <mergeCell ref="A8:H8"/>
    <mergeCell ref="G9:H9"/>
    <mergeCell ref="G10:H10"/>
    <mergeCell ref="G11:H11"/>
    <mergeCell ref="A1:H1"/>
    <mergeCell ref="A3:H3"/>
    <mergeCell ref="G12:H12"/>
    <mergeCell ref="A13:A15"/>
    <mergeCell ref="B13:B15"/>
    <mergeCell ref="C13:C14"/>
    <mergeCell ref="D13:D14"/>
    <mergeCell ref="E13:E14"/>
    <mergeCell ref="F13:F14"/>
    <mergeCell ref="G13:H14"/>
    <mergeCell ref="G15:H15"/>
    <mergeCell ref="A20:A23"/>
    <mergeCell ref="G20:H20"/>
    <mergeCell ref="G21:H21"/>
    <mergeCell ref="G22:H22"/>
    <mergeCell ref="G23:H23"/>
    <mergeCell ref="A24:B24"/>
    <mergeCell ref="G24:H24"/>
    <mergeCell ref="A16:A19"/>
    <mergeCell ref="B16:B18"/>
    <mergeCell ref="G16:H16"/>
    <mergeCell ref="G17:H17"/>
    <mergeCell ref="G18:H18"/>
    <mergeCell ref="G19:H19"/>
    <mergeCell ref="A25:H25"/>
    <mergeCell ref="A26:B26"/>
    <mergeCell ref="G26:H34"/>
    <mergeCell ref="A27:A29"/>
    <mergeCell ref="B27:B29"/>
    <mergeCell ref="C27:C29"/>
    <mergeCell ref="D27:D29"/>
    <mergeCell ref="E27:E29"/>
    <mergeCell ref="F27:F29"/>
    <mergeCell ref="A30:A34"/>
    <mergeCell ref="A35:A37"/>
    <mergeCell ref="B35:B37"/>
    <mergeCell ref="G35:H37"/>
    <mergeCell ref="B38:H38"/>
    <mergeCell ref="A39:B39"/>
    <mergeCell ref="G39:H39"/>
    <mergeCell ref="B30:B34"/>
    <mergeCell ref="C30:C31"/>
    <mergeCell ref="D30:D31"/>
    <mergeCell ref="E30:E31"/>
    <mergeCell ref="F30:F31"/>
    <mergeCell ref="C32:C33"/>
    <mergeCell ref="D32:D33"/>
    <mergeCell ref="E32:E33"/>
    <mergeCell ref="F32:F33"/>
    <mergeCell ref="G44:H44"/>
    <mergeCell ref="G45:H45"/>
    <mergeCell ref="G46:H46"/>
    <mergeCell ref="A47:B47"/>
    <mergeCell ref="G47:H47"/>
    <mergeCell ref="A48:H48"/>
    <mergeCell ref="G40:H40"/>
    <mergeCell ref="G41:H41"/>
    <mergeCell ref="G42:H42"/>
    <mergeCell ref="G43:H43"/>
    <mergeCell ref="A44:A46"/>
    <mergeCell ref="B44:B46"/>
    <mergeCell ref="C44:C46"/>
    <mergeCell ref="D44:D46"/>
    <mergeCell ref="E44:E46"/>
    <mergeCell ref="F44:F46"/>
    <mergeCell ref="A40:A43"/>
    <mergeCell ref="B40:B43"/>
    <mergeCell ref="C40:C41"/>
    <mergeCell ref="D40:D41"/>
    <mergeCell ref="E40:E41"/>
    <mergeCell ref="F40:F41"/>
    <mergeCell ref="A49:A50"/>
    <mergeCell ref="B49:H50"/>
    <mergeCell ref="A51:B51"/>
    <mergeCell ref="G51:H52"/>
    <mergeCell ref="C52:C54"/>
    <mergeCell ref="D52:D54"/>
    <mergeCell ref="E52:E54"/>
    <mergeCell ref="G53:H53"/>
    <mergeCell ref="G54:H54"/>
    <mergeCell ref="G60:H60"/>
    <mergeCell ref="B61:H61"/>
    <mergeCell ref="A62:B62"/>
    <mergeCell ref="G62:H63"/>
    <mergeCell ref="G64:H64"/>
    <mergeCell ref="G65:H65"/>
    <mergeCell ref="B55:H55"/>
    <mergeCell ref="A56:B56"/>
    <mergeCell ref="G56:H56"/>
    <mergeCell ref="G57:H57"/>
    <mergeCell ref="G58:H58"/>
    <mergeCell ref="G59:H59"/>
    <mergeCell ref="G73:H73"/>
    <mergeCell ref="A74:B74"/>
    <mergeCell ref="G74:H74"/>
    <mergeCell ref="A75:B75"/>
    <mergeCell ref="G75:H78"/>
    <mergeCell ref="A76:B76"/>
    <mergeCell ref="A77:B77"/>
    <mergeCell ref="A78:B78"/>
    <mergeCell ref="G66:H66"/>
    <mergeCell ref="G67:H67"/>
    <mergeCell ref="A68:B68"/>
    <mergeCell ref="G68:H68"/>
    <mergeCell ref="A69:A73"/>
    <mergeCell ref="B69:B73"/>
    <mergeCell ref="G69:H69"/>
    <mergeCell ref="G70:H70"/>
    <mergeCell ref="G71:H71"/>
    <mergeCell ref="G72:H7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Secretariat PBF</vt:lpstr>
      <vt:lpstr>Rapport Financier 25,11,19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Mamadou Diouldé BAH</dc:creator>
  <cp:lastModifiedBy>Ibrahima Barry</cp:lastModifiedBy>
  <dcterms:created xsi:type="dcterms:W3CDTF">2019-11-26T08:57:04Z</dcterms:created>
  <dcterms:modified xsi:type="dcterms:W3CDTF">2019-11-26T15:25:29Z</dcterms:modified>
</cp:coreProperties>
</file>