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101"/>
  <workbookPr/>
  <mc:AlternateContent xmlns:mc="http://schemas.openxmlformats.org/markup-compatibility/2006">
    <mc:Choice Requires="x15">
      <x15ac:absPath xmlns:x15ac="http://schemas.microsoft.com/office/spreadsheetml/2010/11/ac" url="/Users/nombreissaka/Documents/Dossier PNUD/Dossier _Burkina/Dossier _PBSO/Dossier _conjoint/Rapport annuel_PBF/"/>
    </mc:Choice>
  </mc:AlternateContent>
  <bookViews>
    <workbookView xWindow="0" yWindow="460" windowWidth="25600" windowHeight="14580"/>
  </bookViews>
  <sheets>
    <sheet name="Budget global détaillé" sheetId="1" r:id="rId1"/>
    <sheet name="Budget global synthèse" sheetId="3" r:id="rId2"/>
    <sheet name="Sheet2" sheetId="2" r:id="rId3"/>
  </sheets>
  <externalReferences>
    <externalReference r:id="rId4"/>
  </externalReferenc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8" i="1" l="1"/>
  <c r="I16" i="1"/>
  <c r="I15" i="1"/>
  <c r="I14" i="1"/>
  <c r="I21" i="1"/>
  <c r="I59" i="1"/>
  <c r="I23" i="1"/>
  <c r="I27" i="1"/>
  <c r="I36" i="1"/>
  <c r="I38" i="1"/>
  <c r="I42" i="1"/>
  <c r="I50" i="1"/>
  <c r="I54" i="1"/>
  <c r="I60" i="1"/>
  <c r="I62" i="1"/>
  <c r="J59" i="1"/>
  <c r="J9" i="1"/>
  <c r="J13" i="1"/>
  <c r="J17" i="1"/>
  <c r="J21" i="1"/>
  <c r="J23" i="1"/>
  <c r="J27" i="1"/>
  <c r="J32" i="1"/>
  <c r="J36" i="1"/>
  <c r="J60" i="1"/>
  <c r="J62" i="1"/>
  <c r="L72" i="1"/>
  <c r="H9" i="1"/>
  <c r="H13" i="1"/>
  <c r="H17" i="1"/>
  <c r="H21" i="1"/>
  <c r="H25" i="1"/>
  <c r="H23" i="1"/>
  <c r="H30" i="1"/>
  <c r="H27" i="1"/>
  <c r="H36" i="1"/>
  <c r="H57" i="1"/>
  <c r="H59" i="1"/>
  <c r="H60" i="1"/>
  <c r="H62" i="1"/>
  <c r="K62" i="1"/>
  <c r="E62" i="3"/>
  <c r="E63" i="3"/>
  <c r="K57" i="1"/>
  <c r="E57" i="3"/>
  <c r="K58" i="1"/>
  <c r="E58" i="3"/>
  <c r="K59" i="1"/>
  <c r="E59" i="3"/>
  <c r="K60" i="1"/>
  <c r="E60" i="3"/>
  <c r="K61" i="1"/>
  <c r="E61" i="3"/>
  <c r="K56" i="1"/>
  <c r="E56" i="3"/>
  <c r="K39" i="1"/>
  <c r="E39" i="3"/>
  <c r="K40" i="1"/>
  <c r="E40" i="3"/>
  <c r="K41" i="1"/>
  <c r="E41" i="3"/>
  <c r="K42" i="1"/>
  <c r="E42" i="3"/>
  <c r="K43" i="1"/>
  <c r="E43" i="3"/>
  <c r="K44" i="1"/>
  <c r="E44" i="3"/>
  <c r="K45" i="1"/>
  <c r="E45" i="3"/>
  <c r="K46" i="1"/>
  <c r="E46" i="3"/>
  <c r="K47" i="1"/>
  <c r="E47" i="3"/>
  <c r="K48" i="1"/>
  <c r="E48" i="3"/>
  <c r="K49" i="1"/>
  <c r="E49" i="3"/>
  <c r="K50" i="1"/>
  <c r="E50" i="3"/>
  <c r="K51" i="1"/>
  <c r="E51" i="3"/>
  <c r="K52" i="1"/>
  <c r="E52" i="3"/>
  <c r="K53" i="1"/>
  <c r="E53" i="3"/>
  <c r="H54" i="1"/>
  <c r="J54" i="1"/>
  <c r="K54" i="1"/>
  <c r="E54" i="3"/>
  <c r="K38" i="1"/>
  <c r="E38" i="3"/>
  <c r="K24" i="1"/>
  <c r="E24" i="3"/>
  <c r="K25" i="1"/>
  <c r="E25" i="3"/>
  <c r="K26" i="1"/>
  <c r="E26" i="3"/>
  <c r="K27" i="1"/>
  <c r="E27" i="3"/>
  <c r="K28" i="1"/>
  <c r="E28" i="3"/>
  <c r="K29" i="1"/>
  <c r="E29" i="3"/>
  <c r="K30" i="1"/>
  <c r="E30" i="3"/>
  <c r="K31" i="1"/>
  <c r="E31" i="3"/>
  <c r="K32" i="1"/>
  <c r="E32" i="3"/>
  <c r="K33" i="1"/>
  <c r="E33" i="3"/>
  <c r="K34" i="1"/>
  <c r="E34" i="3"/>
  <c r="K35" i="1"/>
  <c r="E35" i="3"/>
  <c r="K36" i="1"/>
  <c r="E36" i="3"/>
  <c r="K23" i="1"/>
  <c r="E23" i="3"/>
  <c r="I13" i="1"/>
  <c r="K13" i="1"/>
  <c r="E13" i="3"/>
  <c r="K14" i="1"/>
  <c r="E14" i="3"/>
  <c r="K15" i="1"/>
  <c r="E15" i="3"/>
  <c r="K16" i="1"/>
  <c r="E16" i="3"/>
  <c r="I17" i="1"/>
  <c r="K17" i="1"/>
  <c r="E17" i="3"/>
  <c r="K18" i="1"/>
  <c r="E18" i="3"/>
  <c r="K19" i="1"/>
  <c r="E19" i="3"/>
  <c r="K20" i="1"/>
  <c r="E20" i="3"/>
  <c r="K21" i="1"/>
  <c r="E21" i="3"/>
  <c r="K10" i="1"/>
  <c r="E10" i="3"/>
  <c r="K11" i="1"/>
  <c r="E11" i="3"/>
  <c r="K12" i="1"/>
  <c r="E12" i="3"/>
  <c r="I9" i="1"/>
  <c r="K9" i="1"/>
  <c r="E9" i="3"/>
  <c r="C9" i="1"/>
  <c r="C14" i="1"/>
  <c r="C13" i="1"/>
  <c r="C18" i="1"/>
  <c r="C19" i="1"/>
  <c r="C17" i="1"/>
  <c r="C21" i="1"/>
  <c r="C23" i="1"/>
  <c r="C29" i="1"/>
  <c r="C31" i="1"/>
  <c r="C27" i="1"/>
  <c r="C32" i="1"/>
  <c r="C36" i="1"/>
  <c r="C38" i="1"/>
  <c r="C42" i="1"/>
  <c r="C46" i="1"/>
  <c r="C50" i="1"/>
  <c r="C54" i="1"/>
  <c r="C56" i="1"/>
  <c r="C59" i="1"/>
  <c r="C60" i="1"/>
  <c r="C62" i="1"/>
  <c r="D9" i="1"/>
  <c r="D13" i="1"/>
  <c r="D17" i="1"/>
  <c r="D21" i="1"/>
  <c r="D23" i="1"/>
  <c r="D27" i="1"/>
  <c r="D32" i="1"/>
  <c r="D36" i="1"/>
  <c r="D38" i="1"/>
  <c r="D42" i="1"/>
  <c r="D46" i="1"/>
  <c r="D50" i="1"/>
  <c r="D54" i="1"/>
  <c r="D56" i="1"/>
  <c r="D59" i="1"/>
  <c r="D60" i="1"/>
  <c r="D62" i="1"/>
  <c r="E11" i="1"/>
  <c r="E9" i="1"/>
  <c r="E13" i="1"/>
  <c r="E17" i="1"/>
  <c r="E21" i="1"/>
  <c r="E23" i="1"/>
  <c r="E27" i="1"/>
  <c r="E32" i="1"/>
  <c r="E36" i="1"/>
  <c r="E40" i="1"/>
  <c r="E41" i="1"/>
  <c r="E38" i="1"/>
  <c r="E45" i="1"/>
  <c r="E42" i="1"/>
  <c r="E47" i="1"/>
  <c r="E46" i="1"/>
  <c r="E50" i="1"/>
  <c r="E54" i="1"/>
  <c r="E56" i="1"/>
  <c r="E59" i="1"/>
  <c r="E60" i="1"/>
  <c r="E62" i="1"/>
  <c r="F62" i="1"/>
  <c r="F60" i="1"/>
  <c r="F61" i="1"/>
  <c r="F59" i="1"/>
  <c r="F57" i="1"/>
  <c r="F56" i="1"/>
  <c r="F54" i="1"/>
  <c r="F52" i="1"/>
  <c r="F53" i="1"/>
  <c r="F51" i="1"/>
  <c r="F50" i="1"/>
  <c r="F48" i="1"/>
  <c r="F49" i="1"/>
  <c r="F47" i="1"/>
  <c r="F46" i="1"/>
  <c r="F44" i="1"/>
  <c r="F45" i="1"/>
  <c r="F43" i="1"/>
  <c r="F42" i="1"/>
  <c r="F40" i="1"/>
  <c r="F41" i="1"/>
  <c r="F39" i="1"/>
  <c r="F38" i="1"/>
  <c r="F36" i="1"/>
  <c r="F34" i="1"/>
  <c r="F35" i="1"/>
  <c r="F33" i="1"/>
  <c r="F32" i="1"/>
  <c r="F29" i="1"/>
  <c r="F30" i="1"/>
  <c r="F31" i="1"/>
  <c r="F28" i="1"/>
  <c r="F27" i="1"/>
  <c r="F25" i="1"/>
  <c r="F26" i="1"/>
  <c r="F24" i="1"/>
  <c r="F23" i="1"/>
  <c r="F21" i="1"/>
  <c r="F19" i="1"/>
  <c r="F18" i="1"/>
  <c r="F17" i="1"/>
  <c r="F15" i="1"/>
  <c r="F16" i="1"/>
  <c r="F14" i="1"/>
  <c r="F13" i="1"/>
  <c r="F11" i="1"/>
  <c r="F12" i="1"/>
  <c r="F10" i="1"/>
  <c r="F9" i="1"/>
  <c r="K63" i="1"/>
  <c r="I63" i="1"/>
  <c r="J63" i="1"/>
  <c r="K55" i="1"/>
  <c r="K37" i="1"/>
  <c r="K22" i="1"/>
  <c r="N12" i="1"/>
  <c r="H63" i="1"/>
</calcChain>
</file>

<file path=xl/sharedStrings.xml><?xml version="1.0" encoding="utf-8"?>
<sst xmlns="http://schemas.openxmlformats.org/spreadsheetml/2006/main" count="243" uniqueCount="133">
  <si>
    <t xml:space="preserve"> </t>
  </si>
  <si>
    <t>CATEGORIES</t>
  </si>
  <si>
    <t>TOTAL</t>
  </si>
  <si>
    <t>Tranche 1 (70%)</t>
  </si>
  <si>
    <t>Tranche 2 (30%)</t>
  </si>
  <si>
    <t>Total tranche 1</t>
  </si>
  <si>
    <t>Total tranche 2</t>
  </si>
  <si>
    <t>Annexe D - Budget du projet PBF</t>
  </si>
  <si>
    <t>Note: S'il s'agit de revision de projet, veuillez inclure colonnes additionnelles pour montrer le changement.</t>
  </si>
  <si>
    <t>Tableau 1 - Budget du projet PBF par resultat, produit et activite</t>
  </si>
  <si>
    <t>Nombre de resultat/ produit</t>
  </si>
  <si>
    <t>Formulation du resultat/ produit/ activite</t>
  </si>
  <si>
    <t xml:space="preserve">Pourcentage du budget pour chaque produit ou activite reserve pour action directe sur le genre (cas echeant) </t>
  </si>
  <si>
    <t>Notes quelconque le cas echeant (.e.g sur types des entrants ou justification du budget)</t>
  </si>
  <si>
    <t>Produit 1.1:</t>
  </si>
  <si>
    <t>Produit 1.2:</t>
  </si>
  <si>
    <t>Produit 1.3:</t>
  </si>
  <si>
    <t>Produit 2.1:</t>
  </si>
  <si>
    <t>Produit 2.2:</t>
  </si>
  <si>
    <t>Produit 2.3:</t>
  </si>
  <si>
    <t>Produit 3.1:</t>
  </si>
  <si>
    <t>Produit 3.2:</t>
  </si>
  <si>
    <t>Produit 3.3:</t>
  </si>
  <si>
    <t>Activite 1.1.1:</t>
  </si>
  <si>
    <t>Activite 1.1.2:</t>
  </si>
  <si>
    <t>Activite 1.1.3:</t>
  </si>
  <si>
    <t>Activite 1.2.1:</t>
  </si>
  <si>
    <t>Activite 1.2.2:</t>
  </si>
  <si>
    <t>Activite 1.2.3:</t>
  </si>
  <si>
    <t>Activite 1.3.1:</t>
  </si>
  <si>
    <t>Activite 1.3.2:</t>
  </si>
  <si>
    <t>Activite 1.3.3:</t>
  </si>
  <si>
    <t>Activite 2.1.1:</t>
  </si>
  <si>
    <t>Activite 2.1.2:</t>
  </si>
  <si>
    <t>Activite 2.1.3:</t>
  </si>
  <si>
    <t>Activite 2.2.1:</t>
  </si>
  <si>
    <t>Activite 2.2.2:</t>
  </si>
  <si>
    <t>Activite 2.2.3:</t>
  </si>
  <si>
    <t>Activite 2.3.1:</t>
  </si>
  <si>
    <t>Activite 2.3.2:</t>
  </si>
  <si>
    <t>Activite 2.3.3:</t>
  </si>
  <si>
    <t>Activite 3.1.1:</t>
  </si>
  <si>
    <t>Activite 3.1.2:</t>
  </si>
  <si>
    <t>Activite 3.1.3:</t>
  </si>
  <si>
    <t>Activite 3.2.1:</t>
  </si>
  <si>
    <t>Activite 3.2.2:</t>
  </si>
  <si>
    <t>Activite 3.2.3:</t>
  </si>
  <si>
    <t>Activite 3.3.1:</t>
  </si>
  <si>
    <t>Activite 3.3.2:</t>
  </si>
  <si>
    <t>Activite 3.3.3:</t>
  </si>
  <si>
    <t>Cout de personnel du projet si pas inclus dans les activites si-dessus</t>
  </si>
  <si>
    <t>Couts operationnels si pas inclus dans les activites si-dessus</t>
  </si>
  <si>
    <t>Budget S&amp;E du projet</t>
  </si>
  <si>
    <t>Tableau 2 - Budget de projet PBF par categorie de cout de l'ONU</t>
  </si>
  <si>
    <t>Note: S'il s'agit d'une revision budgetaire, veuillez inclure des colonnes additionnelles pour montrer les changements</t>
  </si>
  <si>
    <t xml:space="preserve">Agence Recipiendiaire </t>
  </si>
  <si>
    <t>Agence Recipiendiaire</t>
  </si>
  <si>
    <t xml:space="preserve"> TOTAL PROJET</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</si>
  <si>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</si>
  <si>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</si>
  <si>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</si>
  <si>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</si>
  <si>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</si>
  <si>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</si>
  <si>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</si>
  <si>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Sous-total</t>
  </si>
  <si>
    <t xml:space="preserve">8. Coûts indirects*  </t>
  </si>
  <si>
    <t xml:space="preserve">Resultat 1:  Les jeunes et les femmes, notamment ceux qui se sentent marginalisés sont de plus en plus impliqués dans les processus de prise
 de décision, adoptent des comportements civiques et entreprennent des activités génératrices de revenus
</t>
  </si>
  <si>
    <t>Les centres multifonctionnels d’activités socio-économiques/ Cellule d’appui conseils pour les jeunes filles et garçons sont créés et/ou renforcés et fonctionnels.</t>
  </si>
  <si>
    <t>Réaliser un diagnostic des infrastructures existantes, des opportunités en formation et cartographie des acteurs associatifs sur la zone cible</t>
  </si>
  <si>
    <t xml:space="preserve">Renforcer les capacités (en personnel, matériel, réhabilitation d’infrastructures, gestion de centre de jeunes, activités sociales…) de 3 centres multifonctionnels. </t>
  </si>
  <si>
    <t>Renforcer l'employabilité et l'entrepreunariat de 150 jeunes hommes et femmes dans chacun des trois pays à travers la consolidation des initiaitives de 50 jeunes (20 femmes et 30 hommes) déjà installés (équipement, perfectionnement, mise en relation avec les institutions financières),  l'appui à l'installation de 50 jeunes (20 femmes, 30 hommes) déjà formés au métier (équipement, recyclage, encadrement, mise en relation avec les institutions financières), la formation et l'équipement de 50 jeunes (25 femmes, 25 hommes) à divers métiers</t>
  </si>
  <si>
    <t xml:space="preserve">Les mécanismes transfrontaliers de sensibilisation à l’engagement civique et social sont renforcés    </t>
  </si>
  <si>
    <t>Développer et mettre en œuvre un plan de communication et de sensibilisation à la résolution des conflits et à la consolidation de la paix</t>
  </si>
  <si>
    <t>Identifier et renforcer les capacités de 6 associations et structures de jeunes (2 par pays) et de femmes existantes et actives dans le domaine de la résolution des conflits et/ou de la consolidation de la paix</t>
  </si>
  <si>
    <t>Conduire 03 campagnes de sensibilisation par pays dans les radios communautaires et zones de rencontres transfrontalières sur l’engagement civique, la paix et la sécurité.</t>
  </si>
  <si>
    <t>Les jeunes filles et garçons sont impliqués dans les processus de prise des décisions dans leurs communautés</t>
  </si>
  <si>
    <t>Organiser 02 ateliers  de dialogue par pays entre jeunes et autorités locales et coutumières sur les défis liés à la marginalisation socio-politique et la sécurité et mettre en œuvre des recommandation</t>
  </si>
  <si>
    <t>Appuyer la mise en place d’une cellule de veille et d’alerte précoce par les jeunes (une cellule par pays)</t>
  </si>
  <si>
    <t>Resultat 2: La sécurité communautaire dans les zones frontalières des trois pays est renforcée à travers la collaboration entre les FDS et les autorités administratives et locales, entre les FDS et les populations et entre les populations frontalières</t>
  </si>
  <si>
    <t>Des réunions de coopération et de coordination entre les FDS et les autorités administratives et locales des trois pays sont organisées</t>
  </si>
  <si>
    <t>Organiser trois réunions tripartites (01 par pays) de concertation et de coordination durant les 18 mois entre les autorités administratives et les FDS sur l’échange de bonnes pratiques sur la gestion des risques liés aux menaces sécuritaires émergentes</t>
  </si>
  <si>
    <t>Organiser trois réunions des municipalités frontalières des trois pays (01 réunion par pays).</t>
  </si>
  <si>
    <t>Organiser une session de formation conjointe sur des thématiques en lien avec la gestion des frontières au profit des FDS.</t>
  </si>
  <si>
    <t>La collaboration est instaurée entre les FDS et les populations civiles à travers des activités de masse et des campagnes de sensibilisation</t>
  </si>
  <si>
    <t>Organiser trois travaux d’intérêt communautaire (assainissement et réhabilitations) impliquant les FDS et les populations dans chaque pays.</t>
  </si>
  <si>
    <t>Organiser trois activités bilatérales (transfrontalières) socio-sportives entre FDS et populations</t>
  </si>
  <si>
    <t>Former des acteurs des radios communautaire à la production de message favorable à la paix, la sécurité et la cohésion sociale</t>
  </si>
  <si>
    <t>Les capacités des communautés sont renforcées à travers des formations sur la paix et la sécurité, des comités locaux d’alerte précoces et de consolidation de la paix sont mis en place et fonctionnels</t>
  </si>
  <si>
    <t>Organiser à l’intention des leaders communautaires et OSC  trois ateliers sur la vulgarisation des textes régissant la coopération transfrontalière entre les trois Etats</t>
  </si>
  <si>
    <t>Organiser deux tribunes citoyennes des acteurs dans chaque pays (maires leaders communautaires et religieux, les OSC, services techniques déconcentrés,)</t>
  </si>
  <si>
    <t>Mettre en place et renforcement les capacités de comités locaux d’alerte précoce et de la consolidation de la paix</t>
  </si>
  <si>
    <t>Resultat 3:Les conflits entre communautés transfrontalières liés à la transhumance sont réduits par une meilleure gestion des ressources naturelles</t>
  </si>
  <si>
    <t>Les couloirs de transhumance sont créés et viabilisés.</t>
  </si>
  <si>
    <t>Réaliser une étude de faisabilité, d’identification et de traçage des couloirs de transhumance (par pays)</t>
  </si>
  <si>
    <t xml:space="preserve">Réaliser le balisage des couloirs de transhumance et des infrastructures de viabilisation dans les trois pays (6 points d’eau ; 6 parcs de vaccination ; 3 aires de repos ; 3 zones pastorales de 10 ha scarifiées) </t>
  </si>
  <si>
    <t>Créer douze comités locaux mixtes de gestion des infrastructures réalisées/réhabilitées (04 par pays)</t>
  </si>
  <si>
    <t>Les acteurs sont formés et informés sur les règlementations et coutumes relatives à la gestion des ressources naturelles</t>
  </si>
  <si>
    <t>Organiser six sessions (100 participants par session) de vulgarisation des textes relatifs à la transhumance en langues locales dans les trois pays</t>
  </si>
  <si>
    <t>Réaliser six sessions  de formation aux acteurs (50 participants par session) identifiés sur les règlementations et coutumes relatives à la transhumance</t>
  </si>
  <si>
    <t>Réaliser six campagnes de sensibilisation relative à la transhumance dans la zone transfrontalière à travers plusieurs méthodologies (focus groupes ; radios communautaires ; sensibilisation de masse ; boites à images)</t>
  </si>
  <si>
    <t>Un mécanisme de gestion des conflits transfrontaliers liés à la transhumance et au vol de bétail est renforcé</t>
  </si>
  <si>
    <t>Créer et renforcer des cadres de concertation existants des acteurs impliqués dans la transhumance</t>
  </si>
  <si>
    <t xml:space="preserve">Elaborer dans chaque pays une stratégie sur la gestion des conflits liés à la transhumance et au vol de bétail </t>
  </si>
  <si>
    <t>Produit 3.4:</t>
  </si>
  <si>
    <t>Activite 3.4.1:</t>
  </si>
  <si>
    <t>Activite 3.4.2:</t>
  </si>
  <si>
    <t>Activite 3.4.3:</t>
  </si>
  <si>
    <t>Les échanges culturels et économiques entre communautés concernées dans la zone transfrontalière sont promus</t>
  </si>
  <si>
    <t>Organiser et  redynamiser les marchés transfrontaliers</t>
  </si>
  <si>
    <t>Organiser une caravane de la paix dans chaque pays</t>
  </si>
  <si>
    <t xml:space="preserve">Accompagner dans chaque pays, l'organisation d'une activité culturelle à caractère transfrontalier (regroupant les communautés des trois pays) </t>
  </si>
  <si>
    <t>Activite 2.2.4:</t>
  </si>
  <si>
    <t>Organiser des ateliers conjoints de formation FDS / populations réfugiées et déplacées dans les principaux sites d’accueil (deux au Burkina, un au Niger) sur le droit international des réfugiés, la facilitation du rapatriement et le respect des lois dans les pays d’accueil.</t>
  </si>
  <si>
    <t xml:space="preserve">Organiser une rencontre d’échange ou un forum entre les éleveurs/transhumants sur les questions liées à la transhumance et au vol de bétail </t>
  </si>
  <si>
    <t>Budget Burkina</t>
  </si>
  <si>
    <t>Budget Mali</t>
  </si>
  <si>
    <t>Budget Niger</t>
  </si>
  <si>
    <t xml:space="preserve">TOTAL $ pour Resultat 1: 752 967   </t>
  </si>
  <si>
    <t xml:space="preserve">TOTAL $ pour Resultat 2: 774 500   </t>
  </si>
  <si>
    <t xml:space="preserve">TOTAL $ pour Resultat 3: 655 743   </t>
  </si>
  <si>
    <t>Gestion du projet</t>
  </si>
  <si>
    <t xml:space="preserve">SOUS TOTAL DU BUDGET DE PROJET: 2 803 737   </t>
  </si>
  <si>
    <t xml:space="preserve">Couts indirects (7%):  196 263   </t>
  </si>
  <si>
    <t>BUDGET TOTAL DU PROJET: 3 000 000</t>
  </si>
  <si>
    <t xml:space="preserve">TOTAL $ pour gestion: </t>
  </si>
  <si>
    <t>Niveau de depense/ engagement actuel en USD (a remplir au moment des rapports de projet) NIGER</t>
  </si>
  <si>
    <t>Niveau de depense/ engagement actuel en USD (a remplir au moment des rapports de projet) MALI</t>
  </si>
  <si>
    <t>Niveau de depense/ engagement actuel en USD (a remplir au moment des rapports de projet) BURKINA</t>
  </si>
  <si>
    <t>Niveau de depense/ engagement actuel en USD (a remplir au moment des rapports de projet) Global</t>
  </si>
  <si>
    <t>Budget global projet</t>
  </si>
  <si>
    <t>Taux de delivery (%)</t>
  </si>
  <si>
    <t>Taux de delivery théorique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</si>
</sst>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3"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sz val="10"/>
      <color theme="1"/>
      <name val="Times New Roman"/>
      <family val="1"/>
    </font>
    <font>
      <b/>
      <sz val="10"/>
      <color theme="1"/>
      <name val="Times New Roman"/>
      <family val="1"/>
    </font>
    <font>
      <sz val="11"/>
      <color theme="1"/>
      <name val="Calibri"/>
      <family val="2"/>
      <scheme val="minor"/>
    </font>
    <font>
      <u/>
      <sz val="11"/>
      <color theme="10"/>
      <name val="Calibri"/>
      <family val="2"/>
      <scheme val="minor"/>
    </font>
    <font>
      <u/>
      <sz val="11"/>
      <color theme="11"/>
      <name val="Calibri"/>
      <family val="2"/>
      <scheme val="minor"/>
    </font>
    <font>
      <sz val="12"/>
      <color rgb="FFFF0000"/>
      <name val="Times New Roman"/>
      <charset val="161"/>
    </font>
  </fonts>
  <fills count="7">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
      <patternFill patternType="solid">
        <fgColor theme="4" tint="0.59999389629810485"/>
        <bgColor indexed="64"/>
      </patternFill>
    </fill>
  </fills>
  <borders count="16">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thin">
        <color auto="1"/>
      </bottom>
      <diagonal/>
    </border>
    <border>
      <left/>
      <right style="medium">
        <color auto="1"/>
      </right>
      <top/>
      <bottom style="medium">
        <color auto="1"/>
      </bottom>
      <diagonal/>
    </border>
    <border>
      <left/>
      <right/>
      <top/>
      <bottom style="medium">
        <color auto="1"/>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0">
    <xf numFmtId="0" fontId="0" fillId="0" borderId="0"/>
    <xf numFmtId="43" fontId="9"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72">
    <xf numFmtId="0" fontId="0" fillId="0" borderId="0" xfId="0"/>
    <xf numFmtId="0" fontId="3" fillId="0" borderId="0" xfId="0" applyFont="1"/>
    <xf numFmtId="0" fontId="4" fillId="3" borderId="4" xfId="0" applyFont="1" applyFill="1" applyBorder="1" applyAlignment="1">
      <alignment horizontal="center" vertical="center" wrapText="1"/>
    </xf>
    <xf numFmtId="0" fontId="5" fillId="0" borderId="4" xfId="0" applyFont="1" applyBorder="1" applyAlignment="1">
      <alignment horizontal="right" vertical="center" wrapText="1"/>
    </xf>
    <xf numFmtId="0" fontId="5" fillId="0" borderId="4" xfId="0" applyFont="1" applyBorder="1" applyAlignment="1">
      <alignment horizontal="center" vertical="center" wrapText="1"/>
    </xf>
    <xf numFmtId="0" fontId="5" fillId="4" borderId="4" xfId="0" applyFont="1" applyFill="1" applyBorder="1" applyAlignment="1">
      <alignment horizontal="right" vertical="center" wrapText="1"/>
    </xf>
    <xf numFmtId="0" fontId="4" fillId="2" borderId="6" xfId="0" applyFont="1" applyFill="1" applyBorder="1" applyAlignment="1">
      <alignment horizontal="center" vertical="center" wrapText="1"/>
    </xf>
    <xf numFmtId="0" fontId="6" fillId="0" borderId="0" xfId="0" applyFont="1"/>
    <xf numFmtId="0" fontId="7" fillId="0" borderId="7" xfId="0" applyFont="1" applyBorder="1" applyAlignment="1">
      <alignment vertical="center" wrapText="1"/>
    </xf>
    <xf numFmtId="0" fontId="7" fillId="0" borderId="2" xfId="0" applyFont="1" applyBorder="1" applyAlignment="1">
      <alignment vertical="center" wrapText="1"/>
    </xf>
    <xf numFmtId="0" fontId="8" fillId="4" borderId="2" xfId="0" applyFont="1" applyFill="1" applyBorder="1" applyAlignment="1">
      <alignment vertical="center" wrapText="1"/>
    </xf>
    <xf numFmtId="164" fontId="2" fillId="0" borderId="8" xfId="0" applyNumberFormat="1" applyFont="1" applyBorder="1" applyAlignment="1">
      <alignment vertical="center" wrapText="1"/>
    </xf>
    <xf numFmtId="164" fontId="2" fillId="0" borderId="8" xfId="1" applyNumberFormat="1" applyFont="1" applyBorder="1" applyAlignment="1">
      <alignment vertical="center" wrapText="1"/>
    </xf>
    <xf numFmtId="164" fontId="1" fillId="0" borderId="8" xfId="1" applyNumberFormat="1" applyFont="1" applyBorder="1" applyAlignment="1">
      <alignment vertical="center" wrapText="1"/>
    </xf>
    <xf numFmtId="3" fontId="1" fillId="0" borderId="8" xfId="0" applyNumberFormat="1" applyFont="1" applyBorder="1" applyAlignment="1">
      <alignment vertical="center" wrapText="1"/>
    </xf>
    <xf numFmtId="164" fontId="2" fillId="0" borderId="8" xfId="1" applyNumberFormat="1" applyFont="1" applyBorder="1"/>
    <xf numFmtId="0" fontId="2" fillId="0" borderId="8" xfId="0" applyFont="1" applyBorder="1" applyAlignment="1">
      <alignment vertical="center" wrapText="1"/>
    </xf>
    <xf numFmtId="0" fontId="1" fillId="0" borderId="8" xfId="0" applyFont="1" applyBorder="1" applyAlignment="1">
      <alignment vertical="center" wrapText="1"/>
    </xf>
    <xf numFmtId="164" fontId="2" fillId="6" borderId="8" xfId="0" applyNumberFormat="1" applyFont="1" applyFill="1" applyBorder="1" applyAlignment="1">
      <alignment vertical="center" wrapText="1"/>
    </xf>
    <xf numFmtId="164" fontId="2" fillId="6" borderId="8" xfId="1" applyNumberFormat="1" applyFont="1" applyFill="1" applyBorder="1" applyAlignment="1">
      <alignment vertical="center" wrapText="1"/>
    </xf>
    <xf numFmtId="0" fontId="1" fillId="6" borderId="8" xfId="0" applyFont="1" applyFill="1" applyBorder="1" applyAlignment="1">
      <alignment vertical="center" wrapText="1"/>
    </xf>
    <xf numFmtId="0" fontId="2" fillId="6" borderId="8" xfId="0" applyFont="1" applyFill="1" applyBorder="1" applyAlignment="1">
      <alignment vertical="center" wrapText="1"/>
    </xf>
    <xf numFmtId="0" fontId="2" fillId="0" borderId="0" xfId="0" applyFont="1"/>
    <xf numFmtId="0" fontId="1" fillId="0" borderId="0" xfId="0" applyFont="1"/>
    <xf numFmtId="0" fontId="1" fillId="6" borderId="0" xfId="0" applyFont="1" applyFill="1"/>
    <xf numFmtId="0" fontId="1" fillId="0" borderId="0" xfId="0" applyFont="1" applyFill="1"/>
    <xf numFmtId="0" fontId="1" fillId="0" borderId="8" xfId="0" applyFont="1" applyBorder="1"/>
    <xf numFmtId="3" fontId="1" fillId="0" borderId="8" xfId="0" applyNumberFormat="1" applyFont="1" applyFill="1" applyBorder="1" applyAlignment="1">
      <alignment horizontal="right" vertical="center" wrapText="1"/>
    </xf>
    <xf numFmtId="164" fontId="1" fillId="0" borderId="8" xfId="0" applyNumberFormat="1" applyFont="1" applyFill="1" applyBorder="1" applyAlignment="1">
      <alignment horizontal="center" vertical="center"/>
    </xf>
    <xf numFmtId="164" fontId="1" fillId="0" borderId="0" xfId="0" applyNumberFormat="1" applyFont="1"/>
    <xf numFmtId="164" fontId="1" fillId="6" borderId="8" xfId="0" applyNumberFormat="1" applyFont="1" applyFill="1" applyBorder="1" applyAlignment="1">
      <alignment horizontal="center" vertical="center"/>
    </xf>
    <xf numFmtId="164" fontId="2" fillId="0" borderId="8" xfId="0" applyNumberFormat="1" applyFont="1" applyBorder="1"/>
    <xf numFmtId="164" fontId="1" fillId="0" borderId="8" xfId="1" applyNumberFormat="1" applyFont="1" applyBorder="1"/>
    <xf numFmtId="164" fontId="1" fillId="0" borderId="8" xfId="0" applyNumberFormat="1" applyFont="1" applyBorder="1"/>
    <xf numFmtId="164" fontId="2" fillId="0" borderId="8" xfId="0" applyNumberFormat="1" applyFont="1" applyFill="1" applyBorder="1" applyAlignment="1">
      <alignment vertical="center" wrapText="1"/>
    </xf>
    <xf numFmtId="0" fontId="1" fillId="0" borderId="8" xfId="0" applyFont="1" applyFill="1" applyBorder="1" applyAlignment="1">
      <alignment vertical="center" wrapText="1"/>
    </xf>
    <xf numFmtId="164" fontId="2" fillId="0" borderId="8" xfId="1" applyNumberFormat="1" applyFont="1" applyFill="1" applyBorder="1" applyAlignment="1">
      <alignment vertical="center" wrapText="1"/>
    </xf>
    <xf numFmtId="0" fontId="2" fillId="0" borderId="8" xfId="0" applyFont="1" applyFill="1" applyBorder="1" applyAlignment="1">
      <alignment vertical="center" wrapText="1"/>
    </xf>
    <xf numFmtId="0" fontId="1" fillId="6" borderId="8" xfId="0" applyFont="1" applyFill="1" applyBorder="1"/>
    <xf numFmtId="43" fontId="2" fillId="6" borderId="8" xfId="1" applyFont="1" applyFill="1" applyBorder="1"/>
    <xf numFmtId="164" fontId="1" fillId="0" borderId="8" xfId="1" applyNumberFormat="1" applyFont="1" applyFill="1" applyBorder="1" applyAlignment="1">
      <alignment horizontal="center" vertical="center"/>
    </xf>
    <xf numFmtId="164" fontId="1" fillId="6" borderId="8" xfId="1" applyNumberFormat="1" applyFont="1" applyFill="1" applyBorder="1" applyAlignment="1">
      <alignment horizontal="center" vertical="center"/>
    </xf>
    <xf numFmtId="164" fontId="1" fillId="5" borderId="8" xfId="0" applyNumberFormat="1" applyFont="1" applyFill="1" applyBorder="1" applyAlignment="1">
      <alignment horizontal="center" vertical="center"/>
    </xf>
    <xf numFmtId="164" fontId="1" fillId="0" borderId="8" xfId="1" applyNumberFormat="1" applyFont="1" applyFill="1" applyBorder="1" applyAlignment="1">
      <alignment vertical="center" wrapText="1"/>
    </xf>
    <xf numFmtId="164" fontId="1" fillId="6" borderId="8" xfId="1" applyNumberFormat="1" applyFont="1" applyFill="1" applyBorder="1" applyAlignment="1">
      <alignment vertical="center" wrapText="1"/>
    </xf>
    <xf numFmtId="164" fontId="1" fillId="0" borderId="8" xfId="1" applyNumberFormat="1" applyFont="1" applyFill="1" applyBorder="1" applyAlignment="1"/>
    <xf numFmtId="164" fontId="1" fillId="0" borderId="8" xfId="1" applyNumberFormat="1" applyFont="1" applyFill="1" applyBorder="1"/>
    <xf numFmtId="164" fontId="1" fillId="6" borderId="8" xfId="1" applyNumberFormat="1" applyFont="1" applyFill="1" applyBorder="1"/>
    <xf numFmtId="164" fontId="2" fillId="0" borderId="8" xfId="1" applyNumberFormat="1" applyFont="1" applyFill="1" applyBorder="1"/>
    <xf numFmtId="164" fontId="2" fillId="6" borderId="8" xfId="1" applyNumberFormat="1" applyFont="1" applyFill="1" applyBorder="1"/>
    <xf numFmtId="0" fontId="1" fillId="0" borderId="8" xfId="0" applyFont="1" applyBorder="1" applyAlignment="1">
      <alignment wrapText="1"/>
    </xf>
    <xf numFmtId="43" fontId="1" fillId="6" borderId="8" xfId="1" applyFont="1" applyFill="1" applyBorder="1"/>
    <xf numFmtId="0" fontId="2" fillId="0" borderId="8" xfId="0" applyFont="1" applyBorder="1" applyAlignment="1">
      <alignment vertical="center" wrapText="1"/>
    </xf>
    <xf numFmtId="164" fontId="1" fillId="0" borderId="9" xfId="1" applyNumberFormat="1" applyFont="1" applyBorder="1" applyAlignment="1">
      <alignment vertical="center" wrapText="1"/>
    </xf>
    <xf numFmtId="164" fontId="1" fillId="0" borderId="10" xfId="1" applyNumberFormat="1" applyFont="1" applyBorder="1" applyAlignment="1">
      <alignment vertical="center" wrapText="1"/>
    </xf>
    <xf numFmtId="164" fontId="1" fillId="0" borderId="11" xfId="1" applyNumberFormat="1" applyFont="1" applyBorder="1" applyAlignment="1">
      <alignment vertical="center" wrapText="1"/>
    </xf>
    <xf numFmtId="164" fontId="1" fillId="0" borderId="12" xfId="1" applyNumberFormat="1" applyFont="1" applyBorder="1" applyAlignment="1">
      <alignment vertical="center" wrapText="1"/>
    </xf>
    <xf numFmtId="164" fontId="12" fillId="0" borderId="9" xfId="1" applyNumberFormat="1" applyFont="1" applyBorder="1" applyAlignment="1">
      <alignment vertical="center" wrapText="1"/>
    </xf>
    <xf numFmtId="164" fontId="2" fillId="6" borderId="13" xfId="1" applyNumberFormat="1" applyFont="1" applyFill="1" applyBorder="1"/>
    <xf numFmtId="0" fontId="1" fillId="0" borderId="14" xfId="0" applyFont="1" applyBorder="1"/>
    <xf numFmtId="164" fontId="12" fillId="0" borderId="8" xfId="1" applyNumberFormat="1" applyFont="1" applyBorder="1" applyAlignment="1">
      <alignment vertical="center" wrapText="1"/>
    </xf>
    <xf numFmtId="164" fontId="2" fillId="0" borderId="15" xfId="1" applyNumberFormat="1" applyFont="1" applyBorder="1"/>
    <xf numFmtId="164" fontId="2" fillId="6" borderId="15" xfId="1" applyNumberFormat="1" applyFont="1" applyFill="1" applyBorder="1"/>
    <xf numFmtId="0" fontId="2" fillId="6" borderId="8" xfId="0" applyFont="1" applyFill="1" applyBorder="1"/>
    <xf numFmtId="0" fontId="2" fillId="0" borderId="8" xfId="0" applyFont="1" applyBorder="1" applyAlignment="1">
      <alignment vertical="center" wrapText="1"/>
    </xf>
    <xf numFmtId="0" fontId="2" fillId="0" borderId="8" xfId="0" applyFont="1" applyBorder="1" applyAlignment="1">
      <alignment horizontal="left" vertical="center" wrapText="1"/>
    </xf>
    <xf numFmtId="0" fontId="1" fillId="0" borderId="8" xfId="0" applyFont="1" applyBorder="1" applyAlignment="1">
      <alignment horizontal="left" vertical="center" wrapText="1"/>
    </xf>
    <xf numFmtId="0" fontId="4"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164" fontId="1" fillId="0" borderId="8" xfId="1" applyNumberFormat="1" applyFont="1" applyBorder="1" applyAlignment="1">
      <alignment horizontal="center" vertical="center"/>
    </xf>
  </cellXfs>
  <cellStyles count="10">
    <cellStyle name="Lien hypertexte" xfId="2" builtinId="8" hidden="1"/>
    <cellStyle name="Lien hypertexte" xfId="4" builtinId="8" hidden="1"/>
    <cellStyle name="Lien hypertexte" xfId="6" builtinId="8" hidden="1"/>
    <cellStyle name="Lien hypertexte" xfId="8" builtinId="8" hidden="1"/>
    <cellStyle name="Lien hypertexte visité" xfId="3" builtinId="9" hidden="1"/>
    <cellStyle name="Lien hypertexte visité" xfId="5" builtinId="9" hidden="1"/>
    <cellStyle name="Lien hypertexte visité" xfId="7" builtinId="9" hidden="1"/>
    <cellStyle name="Lien hypertexte visité" xfId="9" builtinId="9" hidden="1"/>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externalLink" Target="externalLinks/externalLink1.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ombreissaka/Documents/Dossier%20PNUD/Dossier%20_Burkina/Dossier%20_PBSO/Dossier%20Pays/Dossier%20_Burkina/Dossier%20_rapport%20annuel_PBF/De&#769;pense%20et%20lis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épenses"/>
      <sheetName val="Feuil3"/>
    </sheetNames>
    <sheetDataSet>
      <sheetData sheetId="0">
        <row r="5">
          <cell r="E5">
            <v>16265</v>
          </cell>
        </row>
      </sheetData>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topLeftCell="C55" zoomScale="117" zoomScaleNormal="110" zoomScaleSheetLayoutView="51" zoomScalePageLayoutView="110" workbookViewId="0">
      <selection activeCell="A55" sqref="A55:G55"/>
    </sheetView>
  </sheetViews>
  <sheetFormatPr baseColWidth="10" defaultColWidth="8.83203125" defaultRowHeight="16" x14ac:dyDescent="0.2"/>
  <cols>
    <col min="1" max="1" width="19.83203125" style="23" customWidth="1"/>
    <col min="2" max="2" width="45.6640625" style="23" customWidth="1"/>
    <col min="3" max="3" width="14" style="23" bestFit="1" customWidth="1"/>
    <col min="4" max="5" width="13.33203125" style="23" bestFit="1" customWidth="1"/>
    <col min="6" max="6" width="13.33203125" style="24" customWidth="1"/>
    <col min="7" max="7" width="20.83203125" style="23" customWidth="1"/>
    <col min="8" max="10" width="22.6640625" style="23" customWidth="1"/>
    <col min="11" max="11" width="22.6640625" style="24" customWidth="1"/>
    <col min="12" max="12" width="23.6640625" style="23" customWidth="1"/>
    <col min="13" max="13" width="28.6640625" style="23" customWidth="1"/>
    <col min="14" max="14" width="34.1640625" style="23" customWidth="1"/>
    <col min="15" max="16384" width="8.83203125" style="23"/>
  </cols>
  <sheetData>
    <row r="1" spans="1:14" x14ac:dyDescent="0.2">
      <c r="A1" s="22" t="s">
        <v>7</v>
      </c>
      <c r="B1" s="22"/>
      <c r="F1" s="25"/>
    </row>
    <row r="2" spans="1:14" x14ac:dyDescent="0.2">
      <c r="A2" s="22"/>
      <c r="B2" s="22"/>
      <c r="F2" s="25"/>
      <c r="K2" s="25"/>
    </row>
    <row r="3" spans="1:14" x14ac:dyDescent="0.2">
      <c r="A3" s="22" t="s">
        <v>8</v>
      </c>
      <c r="B3" s="22"/>
      <c r="F3" s="25"/>
      <c r="K3" s="25"/>
    </row>
    <row r="4" spans="1:14" x14ac:dyDescent="0.2">
      <c r="F4" s="25"/>
      <c r="K4" s="25"/>
    </row>
    <row r="5" spans="1:14" x14ac:dyDescent="0.2">
      <c r="A5" s="22" t="s">
        <v>9</v>
      </c>
      <c r="F5" s="25"/>
      <c r="K5" s="25"/>
    </row>
    <row r="6" spans="1:14" x14ac:dyDescent="0.2">
      <c r="F6" s="25"/>
      <c r="K6" s="25"/>
    </row>
    <row r="7" spans="1:14" ht="91" customHeight="1" x14ac:dyDescent="0.2">
      <c r="A7" s="17" t="s">
        <v>10</v>
      </c>
      <c r="B7" s="17" t="s">
        <v>11</v>
      </c>
      <c r="C7" s="17" t="s">
        <v>115</v>
      </c>
      <c r="D7" s="17" t="s">
        <v>116</v>
      </c>
      <c r="E7" s="17" t="s">
        <v>117</v>
      </c>
      <c r="F7" s="20" t="s">
        <v>130</v>
      </c>
      <c r="G7" s="17" t="s">
        <v>12</v>
      </c>
      <c r="H7" s="17" t="s">
        <v>128</v>
      </c>
      <c r="I7" s="17" t="s">
        <v>126</v>
      </c>
      <c r="J7" s="17" t="s">
        <v>127</v>
      </c>
      <c r="K7" s="20" t="s">
        <v>129</v>
      </c>
      <c r="L7" s="17" t="s">
        <v>13</v>
      </c>
    </row>
    <row r="8" spans="1:14" x14ac:dyDescent="0.2">
      <c r="A8" s="64" t="s">
        <v>67</v>
      </c>
      <c r="B8" s="64"/>
      <c r="C8" s="64"/>
      <c r="D8" s="64"/>
      <c r="E8" s="64"/>
      <c r="F8" s="64"/>
      <c r="G8" s="64"/>
      <c r="H8" s="26"/>
      <c r="I8" s="26"/>
      <c r="J8" s="26"/>
      <c r="K8" s="38"/>
      <c r="L8" s="26"/>
    </row>
    <row r="9" spans="1:14" ht="64" x14ac:dyDescent="0.2">
      <c r="A9" s="16" t="s">
        <v>14</v>
      </c>
      <c r="B9" s="17" t="s">
        <v>68</v>
      </c>
      <c r="C9" s="11">
        <f>+C10+C11+C12</f>
        <v>170000</v>
      </c>
      <c r="D9" s="11">
        <f>+D10+D11+D12</f>
        <v>170000</v>
      </c>
      <c r="E9" s="11">
        <f>+E10+E11+E12</f>
        <v>160000</v>
      </c>
      <c r="F9" s="18">
        <f>C9+D9+E9</f>
        <v>500000</v>
      </c>
      <c r="G9" s="17"/>
      <c r="H9" s="15">
        <f>+SUM(H10:H12)</f>
        <v>22530</v>
      </c>
      <c r="I9" s="15">
        <f>+SUM(I10:I12)</f>
        <v>172384.39</v>
      </c>
      <c r="J9" s="15">
        <f>+SUM(J10:J12)</f>
        <v>170000</v>
      </c>
      <c r="K9" s="49">
        <f>H9+I9+J9</f>
        <v>364914.39</v>
      </c>
      <c r="L9" s="26"/>
    </row>
    <row r="10" spans="1:14" ht="48" x14ac:dyDescent="0.2">
      <c r="A10" s="17" t="s">
        <v>23</v>
      </c>
      <c r="B10" s="17" t="s">
        <v>69</v>
      </c>
      <c r="C10" s="40">
        <v>10000</v>
      </c>
      <c r="D10" s="17">
        <v>10000</v>
      </c>
      <c r="E10" s="40">
        <v>10000</v>
      </c>
      <c r="F10" s="41">
        <f>C10+D10+E10</f>
        <v>30000</v>
      </c>
      <c r="G10" s="17"/>
      <c r="H10" s="26"/>
      <c r="I10" s="32">
        <v>10000</v>
      </c>
      <c r="J10" s="13">
        <v>10000</v>
      </c>
      <c r="K10" s="47">
        <f>H10+I10+J10</f>
        <v>20000</v>
      </c>
      <c r="L10" s="26"/>
    </row>
    <row r="11" spans="1:14" ht="64" x14ac:dyDescent="0.2">
      <c r="A11" s="17" t="s">
        <v>24</v>
      </c>
      <c r="B11" s="17" t="s">
        <v>70</v>
      </c>
      <c r="C11" s="40">
        <v>60000</v>
      </c>
      <c r="D11" s="17">
        <v>60000</v>
      </c>
      <c r="E11" s="27">
        <f>10000+40000</f>
        <v>50000</v>
      </c>
      <c r="F11" s="41">
        <f t="shared" ref="F11:F12" si="0">C11+D11+E11</f>
        <v>170000</v>
      </c>
      <c r="G11" s="17"/>
      <c r="H11" s="26"/>
      <c r="I11" s="13">
        <v>62384.39</v>
      </c>
      <c r="J11" s="13">
        <v>60000</v>
      </c>
      <c r="K11" s="47">
        <f>H11+I11+J11</f>
        <v>122384.39</v>
      </c>
      <c r="L11" s="26"/>
    </row>
    <row r="12" spans="1:14" ht="176" x14ac:dyDescent="0.2">
      <c r="A12" s="17" t="s">
        <v>25</v>
      </c>
      <c r="B12" s="17" t="s">
        <v>71</v>
      </c>
      <c r="C12" s="28">
        <v>100000</v>
      </c>
      <c r="D12" s="17">
        <v>100000</v>
      </c>
      <c r="E12" s="28">
        <v>100000</v>
      </c>
      <c r="F12" s="41">
        <f t="shared" si="0"/>
        <v>300000</v>
      </c>
      <c r="G12" s="17"/>
      <c r="H12" s="32">
        <v>22530</v>
      </c>
      <c r="I12" s="13">
        <v>100000</v>
      </c>
      <c r="J12" s="32">
        <v>100000</v>
      </c>
      <c r="K12" s="47">
        <f>H12+I12+J12</f>
        <v>222530</v>
      </c>
      <c r="L12" s="26"/>
      <c r="N12" s="29">
        <f>H9+H13+H32+H42+H46+H59</f>
        <v>142150</v>
      </c>
    </row>
    <row r="13" spans="1:14" ht="32" x14ac:dyDescent="0.2">
      <c r="A13" s="16" t="s">
        <v>15</v>
      </c>
      <c r="B13" s="17" t="s">
        <v>72</v>
      </c>
      <c r="C13" s="12">
        <f>C14+C15+C16</f>
        <v>43333.333333333328</v>
      </c>
      <c r="D13" s="12">
        <f>D14+D15+D16</f>
        <v>60000</v>
      </c>
      <c r="E13" s="12">
        <f>E14+E15+E16</f>
        <v>55000</v>
      </c>
      <c r="F13" s="19">
        <f>+C13+D13+E13</f>
        <v>158333.33333333331</v>
      </c>
      <c r="G13" s="17"/>
      <c r="H13" s="61">
        <f>SUM(H14:H16)</f>
        <v>0</v>
      </c>
      <c r="I13" s="61">
        <f>SUM(I14:I16)</f>
        <v>18279.739999999998</v>
      </c>
      <c r="J13" s="61">
        <f>SUM(J14:J16)</f>
        <v>41802</v>
      </c>
      <c r="K13" s="62">
        <f t="shared" ref="K13:K17" si="1">H13+I13+J13</f>
        <v>60081.74</v>
      </c>
      <c r="L13" s="26"/>
    </row>
    <row r="14" spans="1:14" ht="49" thickBot="1" x14ac:dyDescent="0.25">
      <c r="A14" s="17" t="s">
        <v>26</v>
      </c>
      <c r="B14" s="17" t="s">
        <v>73</v>
      </c>
      <c r="C14" s="28">
        <f>10000/3</f>
        <v>3333.3333333333335</v>
      </c>
      <c r="D14" s="17">
        <v>20000</v>
      </c>
      <c r="E14" s="28">
        <v>15000</v>
      </c>
      <c r="F14" s="30">
        <f>+C14+D14+E14</f>
        <v>38333.333333333328</v>
      </c>
      <c r="G14" s="17"/>
      <c r="H14" s="26"/>
      <c r="I14" s="53">
        <f>6849+659+659+659+89</f>
        <v>8915</v>
      </c>
      <c r="J14" s="32">
        <v>12400</v>
      </c>
      <c r="K14" s="47">
        <f t="shared" si="1"/>
        <v>21315</v>
      </c>
      <c r="L14" s="26"/>
    </row>
    <row r="15" spans="1:14" ht="65" thickBot="1" x14ac:dyDescent="0.25">
      <c r="A15" s="17" t="s">
        <v>27</v>
      </c>
      <c r="B15" s="17" t="s">
        <v>74</v>
      </c>
      <c r="C15" s="42">
        <v>20000</v>
      </c>
      <c r="D15" s="17">
        <v>20000</v>
      </c>
      <c r="E15" s="28">
        <v>20000</v>
      </c>
      <c r="F15" s="30">
        <f t="shared" ref="F15:F16" si="2">+C15+D15+E15</f>
        <v>60000</v>
      </c>
      <c r="G15" s="17"/>
      <c r="H15" s="26"/>
      <c r="I15" s="53">
        <f>2599+646</f>
        <v>3245</v>
      </c>
      <c r="J15" s="32">
        <v>19129</v>
      </c>
      <c r="K15" s="47">
        <f t="shared" si="1"/>
        <v>22374</v>
      </c>
      <c r="L15" s="26"/>
    </row>
    <row r="16" spans="1:14" ht="65" thickBot="1" x14ac:dyDescent="0.25">
      <c r="A16" s="17" t="s">
        <v>28</v>
      </c>
      <c r="B16" s="17" t="s">
        <v>75</v>
      </c>
      <c r="C16" s="28">
        <v>20000</v>
      </c>
      <c r="D16" s="17">
        <v>20000</v>
      </c>
      <c r="E16" s="28">
        <v>20000</v>
      </c>
      <c r="F16" s="30">
        <f t="shared" si="2"/>
        <v>60000</v>
      </c>
      <c r="G16" s="17"/>
      <c r="H16" s="26"/>
      <c r="I16" s="53">
        <f>6119.74</f>
        <v>6119.74</v>
      </c>
      <c r="J16" s="32">
        <v>10273</v>
      </c>
      <c r="K16" s="49">
        <f t="shared" si="1"/>
        <v>16392.739999999998</v>
      </c>
      <c r="L16" s="26"/>
    </row>
    <row r="17" spans="1:12" ht="48" x14ac:dyDescent="0.2">
      <c r="A17" s="16" t="s">
        <v>16</v>
      </c>
      <c r="B17" s="17" t="s">
        <v>76</v>
      </c>
      <c r="C17" s="12">
        <f>C18+C19+C20</f>
        <v>33333.333333333336</v>
      </c>
      <c r="D17" s="12">
        <f>D18+D19+D20</f>
        <v>33000</v>
      </c>
      <c r="E17" s="12">
        <f>E18+E19+E20</f>
        <v>28300</v>
      </c>
      <c r="F17" s="19">
        <f>+C17+D17+E17</f>
        <v>94633.333333333343</v>
      </c>
      <c r="G17" s="17"/>
      <c r="H17" s="31">
        <f>+SUM(H18:H20)</f>
        <v>0</v>
      </c>
      <c r="I17" s="31">
        <f>+SUM(I18:I20)</f>
        <v>35341.06</v>
      </c>
      <c r="J17" s="31">
        <f>+SUM(J18:J20)</f>
        <v>32398.07</v>
      </c>
      <c r="K17" s="49">
        <f t="shared" si="1"/>
        <v>67739.13</v>
      </c>
      <c r="L17" s="26"/>
    </row>
    <row r="18" spans="1:12" ht="65" thickBot="1" x14ac:dyDescent="0.25">
      <c r="A18" s="17" t="s">
        <v>29</v>
      </c>
      <c r="B18" s="17" t="s">
        <v>77</v>
      </c>
      <c r="C18" s="28">
        <f>40000/3</f>
        <v>13333.333333333334</v>
      </c>
      <c r="D18" s="17">
        <v>13000</v>
      </c>
      <c r="E18" s="28">
        <v>13300</v>
      </c>
      <c r="F18" s="30">
        <f>+C18+D18+E18</f>
        <v>39633.333333333336</v>
      </c>
      <c r="G18" s="17"/>
      <c r="H18" s="26"/>
      <c r="I18" s="53">
        <f>718+17164+((817.96*4))+187.22</f>
        <v>21341.06</v>
      </c>
      <c r="J18" s="53">
        <v>12398.07</v>
      </c>
      <c r="K18" s="47">
        <f t="shared" ref="K18:K29" si="3">H18+I18+J18</f>
        <v>33739.130000000005</v>
      </c>
      <c r="L18" s="26"/>
    </row>
    <row r="19" spans="1:12" ht="33" thickBot="1" x14ac:dyDescent="0.25">
      <c r="A19" s="17" t="s">
        <v>30</v>
      </c>
      <c r="B19" s="17" t="s">
        <v>78</v>
      </c>
      <c r="C19" s="28">
        <f>60000/3</f>
        <v>20000</v>
      </c>
      <c r="D19" s="17">
        <v>20000</v>
      </c>
      <c r="E19" s="28">
        <v>15000</v>
      </c>
      <c r="F19" s="30">
        <f>+C19+D19+E19</f>
        <v>55000</v>
      </c>
      <c r="G19" s="17"/>
      <c r="H19" s="26"/>
      <c r="I19" s="53">
        <v>14000</v>
      </c>
      <c r="J19" s="53">
        <v>20000</v>
      </c>
      <c r="K19" s="49">
        <f t="shared" si="3"/>
        <v>34000</v>
      </c>
      <c r="L19" s="26"/>
    </row>
    <row r="20" spans="1:12" x14ac:dyDescent="0.2">
      <c r="A20" s="17" t="s">
        <v>31</v>
      </c>
      <c r="B20" s="17"/>
      <c r="C20" s="17"/>
      <c r="D20" s="17"/>
      <c r="E20" s="17"/>
      <c r="F20" s="20"/>
      <c r="G20" s="17"/>
      <c r="H20" s="26"/>
      <c r="I20" s="26"/>
      <c r="J20" s="26"/>
      <c r="K20" s="49">
        <f t="shared" si="3"/>
        <v>0</v>
      </c>
      <c r="L20" s="26"/>
    </row>
    <row r="21" spans="1:12" ht="17" customHeight="1" x14ac:dyDescent="0.2">
      <c r="A21" s="65" t="s">
        <v>118</v>
      </c>
      <c r="B21" s="65"/>
      <c r="C21" s="11">
        <f>C9+C13+C17</f>
        <v>246666.66666666666</v>
      </c>
      <c r="D21" s="11">
        <f t="shared" ref="D21:E21" si="4">D9+D13+D17</f>
        <v>263000</v>
      </c>
      <c r="E21" s="11">
        <f t="shared" si="4"/>
        <v>243300</v>
      </c>
      <c r="F21" s="18">
        <f>+C21+D21+E21</f>
        <v>752966.66666666663</v>
      </c>
      <c r="G21" s="16"/>
      <c r="H21" s="31">
        <f>H9+H13+H17</f>
        <v>22530</v>
      </c>
      <c r="I21" s="11">
        <f>+I19+I18+I16+I15+I14+I12+I11+I10</f>
        <v>226005.19</v>
      </c>
      <c r="J21" s="31">
        <f>J9+J13+J17</f>
        <v>244200.07</v>
      </c>
      <c r="K21" s="49">
        <f t="shared" si="3"/>
        <v>492735.26</v>
      </c>
      <c r="L21" s="26"/>
    </row>
    <row r="22" spans="1:12" x14ac:dyDescent="0.2">
      <c r="A22" s="64" t="s">
        <v>79</v>
      </c>
      <c r="B22" s="64"/>
      <c r="C22" s="64"/>
      <c r="D22" s="64"/>
      <c r="E22" s="64"/>
      <c r="F22" s="64"/>
      <c r="G22" s="64"/>
      <c r="H22" s="26"/>
      <c r="I22" s="26"/>
      <c r="J22" s="26"/>
      <c r="K22" s="49">
        <f t="shared" si="3"/>
        <v>0</v>
      </c>
      <c r="L22" s="26"/>
    </row>
    <row r="23" spans="1:12" ht="48" x14ac:dyDescent="0.2">
      <c r="A23" s="16" t="s">
        <v>17</v>
      </c>
      <c r="B23" s="17" t="s">
        <v>80</v>
      </c>
      <c r="C23" s="11">
        <f>C24+C25+C26</f>
        <v>95000</v>
      </c>
      <c r="D23" s="11">
        <f>D24+D25+D26</f>
        <v>95000</v>
      </c>
      <c r="E23" s="11">
        <f>E24+E25+E26</f>
        <v>95000</v>
      </c>
      <c r="F23" s="18">
        <f>+C23+D23+E23</f>
        <v>285000</v>
      </c>
      <c r="G23" s="17"/>
      <c r="H23" s="15">
        <f>SUM(H24:H26)</f>
        <v>42746</v>
      </c>
      <c r="I23" s="15">
        <f>SUM(I24:I26)</f>
        <v>14354</v>
      </c>
      <c r="J23" s="15">
        <f>SUM(J24:J26)</f>
        <v>30234.5</v>
      </c>
      <c r="K23" s="49">
        <f t="shared" si="3"/>
        <v>87334.5</v>
      </c>
      <c r="L23" s="26"/>
    </row>
    <row r="24" spans="1:12" ht="80" x14ac:dyDescent="0.2">
      <c r="A24" s="17" t="s">
        <v>32</v>
      </c>
      <c r="B24" s="17" t="s">
        <v>81</v>
      </c>
      <c r="C24" s="43">
        <v>50000</v>
      </c>
      <c r="D24" s="13">
        <v>50000</v>
      </c>
      <c r="E24" s="43">
        <v>50000</v>
      </c>
      <c r="F24" s="44">
        <f>+C24+D24+E24</f>
        <v>150000</v>
      </c>
      <c r="G24" s="17"/>
      <c r="H24" s="26"/>
      <c r="I24" s="26"/>
      <c r="J24" s="26"/>
      <c r="K24" s="49">
        <f t="shared" si="3"/>
        <v>0</v>
      </c>
      <c r="L24" s="26"/>
    </row>
    <row r="25" spans="1:12" ht="33" thickBot="1" x14ac:dyDescent="0.25">
      <c r="A25" s="17" t="s">
        <v>33</v>
      </c>
      <c r="B25" s="17" t="s">
        <v>82</v>
      </c>
      <c r="C25" s="43">
        <v>15000</v>
      </c>
      <c r="D25" s="13">
        <v>15000</v>
      </c>
      <c r="E25" s="43">
        <v>15000</v>
      </c>
      <c r="F25" s="44">
        <f t="shared" ref="F25:F26" si="5">+C25+D25+E25</f>
        <v>45000</v>
      </c>
      <c r="G25" s="17"/>
      <c r="H25" s="32">
        <f>26481+[1]Dépenses!$E$5</f>
        <v>42746</v>
      </c>
      <c r="I25" s="32">
        <v>14354</v>
      </c>
      <c r="J25" s="53">
        <v>10234.5</v>
      </c>
      <c r="K25" s="49">
        <f t="shared" si="3"/>
        <v>67334.5</v>
      </c>
      <c r="L25" s="26"/>
    </row>
    <row r="26" spans="1:12" ht="49" thickBot="1" x14ac:dyDescent="0.25">
      <c r="A26" s="17" t="s">
        <v>34</v>
      </c>
      <c r="B26" s="17" t="s">
        <v>83</v>
      </c>
      <c r="C26" s="40">
        <v>30000</v>
      </c>
      <c r="D26" s="13">
        <v>30000</v>
      </c>
      <c r="E26" s="40">
        <v>30000</v>
      </c>
      <c r="F26" s="44">
        <f t="shared" si="5"/>
        <v>90000</v>
      </c>
      <c r="G26" s="17"/>
      <c r="H26" s="26"/>
      <c r="I26" s="26"/>
      <c r="J26" s="53">
        <v>20000</v>
      </c>
      <c r="K26" s="49">
        <f t="shared" si="3"/>
        <v>20000</v>
      </c>
      <c r="L26" s="26"/>
    </row>
    <row r="27" spans="1:12" ht="48" x14ac:dyDescent="0.2">
      <c r="A27" s="16" t="s">
        <v>18</v>
      </c>
      <c r="B27" s="17" t="s">
        <v>84</v>
      </c>
      <c r="C27" s="11">
        <f>C28+C29+C30+C31</f>
        <v>100000</v>
      </c>
      <c r="D27" s="11">
        <f>D28+D29+D30+D31</f>
        <v>79500</v>
      </c>
      <c r="E27" s="11">
        <f>E28+E29+E30+E31</f>
        <v>90000</v>
      </c>
      <c r="F27" s="18">
        <f>+C27+D27+E27</f>
        <v>269500</v>
      </c>
      <c r="G27" s="17"/>
      <c r="H27" s="15">
        <f>SUM(H28:H31)</f>
        <v>68837</v>
      </c>
      <c r="I27" s="15">
        <f>SUM(I28:I31)</f>
        <v>14164.970000000001</v>
      </c>
      <c r="J27" s="15">
        <f>SUM(J28:J31)</f>
        <v>77245</v>
      </c>
      <c r="K27" s="49">
        <f t="shared" si="3"/>
        <v>160246.97</v>
      </c>
      <c r="L27" s="26"/>
    </row>
    <row r="28" spans="1:12" ht="49" thickBot="1" x14ac:dyDescent="0.25">
      <c r="A28" s="17" t="s">
        <v>35</v>
      </c>
      <c r="B28" s="17" t="s">
        <v>85</v>
      </c>
      <c r="C28" s="28">
        <v>40000</v>
      </c>
      <c r="D28" s="13">
        <v>40000</v>
      </c>
      <c r="E28" s="28">
        <v>40000</v>
      </c>
      <c r="F28" s="30">
        <f>+C28+D28+E28</f>
        <v>120000</v>
      </c>
      <c r="G28" s="17"/>
      <c r="H28" s="32">
        <v>36097</v>
      </c>
      <c r="I28" s="53">
        <v>6129.71</v>
      </c>
      <c r="J28" s="53">
        <v>40000</v>
      </c>
      <c r="K28" s="49">
        <f t="shared" si="3"/>
        <v>82226.709999999992</v>
      </c>
      <c r="L28" s="26"/>
    </row>
    <row r="29" spans="1:12" ht="32" x14ac:dyDescent="0.2">
      <c r="A29" s="17" t="s">
        <v>36</v>
      </c>
      <c r="B29" s="17" t="s">
        <v>86</v>
      </c>
      <c r="C29" s="28">
        <f>70000/3</f>
        <v>23333.333333333332</v>
      </c>
      <c r="D29" s="13">
        <v>23200</v>
      </c>
      <c r="E29" s="28">
        <v>23333</v>
      </c>
      <c r="F29" s="30">
        <f t="shared" ref="F29:F31" si="6">+C29+D29+E29</f>
        <v>69866.333333333328</v>
      </c>
      <c r="G29" s="17"/>
      <c r="H29" s="26"/>
      <c r="I29" s="59"/>
      <c r="J29" s="55">
        <v>23200</v>
      </c>
      <c r="K29" s="49">
        <f t="shared" si="3"/>
        <v>23200</v>
      </c>
      <c r="L29" s="26"/>
    </row>
    <row r="30" spans="1:12" ht="96" x14ac:dyDescent="0.2">
      <c r="A30" s="17" t="s">
        <v>37</v>
      </c>
      <c r="B30" s="17" t="s">
        <v>113</v>
      </c>
      <c r="C30" s="28">
        <v>20000</v>
      </c>
      <c r="D30" s="13">
        <v>0</v>
      </c>
      <c r="E30" s="28">
        <v>10000</v>
      </c>
      <c r="F30" s="30">
        <f t="shared" si="6"/>
        <v>30000</v>
      </c>
      <c r="G30" s="17"/>
      <c r="H30" s="71">
        <f>31897+843</f>
        <v>32740</v>
      </c>
      <c r="I30" s="26"/>
      <c r="J30" s="32"/>
      <c r="K30" s="58">
        <f>H30+I30+J30</f>
        <v>32740</v>
      </c>
      <c r="L30" s="26"/>
    </row>
    <row r="31" spans="1:12" ht="48" x14ac:dyDescent="0.2">
      <c r="A31" s="17" t="s">
        <v>112</v>
      </c>
      <c r="B31" s="17" t="s">
        <v>87</v>
      </c>
      <c r="C31" s="28">
        <f>50000/3</f>
        <v>16666.666666666668</v>
      </c>
      <c r="D31" s="13">
        <v>16300</v>
      </c>
      <c r="E31" s="28">
        <v>16667</v>
      </c>
      <c r="F31" s="30">
        <f t="shared" si="6"/>
        <v>49633.666666666672</v>
      </c>
      <c r="G31" s="17"/>
      <c r="H31" s="26"/>
      <c r="I31" s="13">
        <v>8035.26</v>
      </c>
      <c r="J31" s="60">
        <v>14045</v>
      </c>
      <c r="K31" s="58">
        <f>H31+I31+J31</f>
        <v>22080.260000000002</v>
      </c>
      <c r="L31" s="26"/>
    </row>
    <row r="32" spans="1:12" ht="64" x14ac:dyDescent="0.2">
      <c r="A32" s="16" t="s">
        <v>19</v>
      </c>
      <c r="B32" s="17" t="s">
        <v>88</v>
      </c>
      <c r="C32" s="11">
        <f>C33+C34+C35</f>
        <v>70000</v>
      </c>
      <c r="D32" s="11">
        <f>D33+D34+D35</f>
        <v>70000</v>
      </c>
      <c r="E32" s="11">
        <f>E33+E34+E35</f>
        <v>80000</v>
      </c>
      <c r="F32" s="18">
        <f>+C32+D32+E32</f>
        <v>220000</v>
      </c>
      <c r="G32" s="17"/>
      <c r="H32" s="12"/>
      <c r="I32" s="12"/>
      <c r="J32" s="12">
        <f>SUM(J33:J35)</f>
        <v>20775</v>
      </c>
      <c r="K32" s="58">
        <f t="shared" ref="K32:K37" si="7">H32+I32+J32</f>
        <v>20775</v>
      </c>
      <c r="L32" s="26"/>
    </row>
    <row r="33" spans="1:12" ht="64" x14ac:dyDescent="0.2">
      <c r="A33" s="17" t="s">
        <v>38</v>
      </c>
      <c r="B33" s="17" t="s">
        <v>89</v>
      </c>
      <c r="C33" s="28">
        <v>20000</v>
      </c>
      <c r="D33" s="17">
        <v>20000</v>
      </c>
      <c r="E33" s="28">
        <v>30000</v>
      </c>
      <c r="F33" s="30">
        <f>+C33+D33+E33</f>
        <v>70000</v>
      </c>
      <c r="G33" s="17"/>
      <c r="H33" s="26"/>
      <c r="I33" s="26"/>
      <c r="J33" s="32">
        <v>12000</v>
      </c>
      <c r="K33" s="49">
        <f t="shared" si="7"/>
        <v>12000</v>
      </c>
      <c r="L33" s="26"/>
    </row>
    <row r="34" spans="1:12" ht="48" x14ac:dyDescent="0.2">
      <c r="A34" s="17" t="s">
        <v>39</v>
      </c>
      <c r="B34" s="17" t="s">
        <v>90</v>
      </c>
      <c r="C34" s="28">
        <v>20000</v>
      </c>
      <c r="D34" s="17">
        <v>20000</v>
      </c>
      <c r="E34" s="28">
        <v>20000</v>
      </c>
      <c r="F34" s="30">
        <f t="shared" ref="F34:F35" si="8">+C34+D34+E34</f>
        <v>60000</v>
      </c>
      <c r="G34" s="17"/>
      <c r="H34" s="26"/>
      <c r="I34" s="26"/>
      <c r="J34" s="32"/>
      <c r="K34" s="49">
        <f t="shared" si="7"/>
        <v>0</v>
      </c>
      <c r="L34" s="26"/>
    </row>
    <row r="35" spans="1:12" ht="49" thickBot="1" x14ac:dyDescent="0.25">
      <c r="A35" s="17" t="s">
        <v>40</v>
      </c>
      <c r="B35" s="17" t="s">
        <v>91</v>
      </c>
      <c r="C35" s="45">
        <v>30000</v>
      </c>
      <c r="D35" s="17">
        <v>30000</v>
      </c>
      <c r="E35" s="28">
        <v>30000</v>
      </c>
      <c r="F35" s="30">
        <f t="shared" si="8"/>
        <v>90000</v>
      </c>
      <c r="G35" s="17"/>
      <c r="H35" s="26"/>
      <c r="I35" s="26"/>
      <c r="J35" s="57">
        <v>8775</v>
      </c>
      <c r="K35" s="49">
        <f t="shared" si="7"/>
        <v>8775</v>
      </c>
      <c r="L35" s="26"/>
    </row>
    <row r="36" spans="1:12" ht="16" customHeight="1" x14ac:dyDescent="0.2">
      <c r="A36" s="65" t="s">
        <v>119</v>
      </c>
      <c r="B36" s="65"/>
      <c r="C36" s="11">
        <f>+C23+C27+C32</f>
        <v>265000</v>
      </c>
      <c r="D36" s="11">
        <f t="shared" ref="D36:E36" si="9">+D23+D27+D32</f>
        <v>244500</v>
      </c>
      <c r="E36" s="11">
        <f t="shared" si="9"/>
        <v>265000</v>
      </c>
      <c r="F36" s="18">
        <f>+C36+D36+E36</f>
        <v>774500</v>
      </c>
      <c r="G36" s="16"/>
      <c r="H36" s="31">
        <f>H23+H27+H32</f>
        <v>111583</v>
      </c>
      <c r="I36" s="31">
        <f>I23+I27+I32</f>
        <v>28518.97</v>
      </c>
      <c r="J36" s="31">
        <f>J23+J27+J32</f>
        <v>128254.5</v>
      </c>
      <c r="K36" s="49">
        <f t="shared" si="7"/>
        <v>268356.46999999997</v>
      </c>
      <c r="L36" s="26"/>
    </row>
    <row r="37" spans="1:12" x14ac:dyDescent="0.2">
      <c r="A37" s="64" t="s">
        <v>92</v>
      </c>
      <c r="B37" s="64"/>
      <c r="C37" s="64"/>
      <c r="D37" s="64"/>
      <c r="E37" s="16"/>
      <c r="F37" s="21"/>
      <c r="G37" s="17"/>
      <c r="H37" s="26"/>
      <c r="I37" s="26"/>
      <c r="J37" s="26"/>
      <c r="K37" s="49">
        <f t="shared" si="7"/>
        <v>0</v>
      </c>
      <c r="L37" s="26"/>
    </row>
    <row r="38" spans="1:12" x14ac:dyDescent="0.2">
      <c r="A38" s="16" t="s">
        <v>20</v>
      </c>
      <c r="B38" s="17" t="s">
        <v>93</v>
      </c>
      <c r="C38" s="11">
        <f>+C39+C40+C41</f>
        <v>93998</v>
      </c>
      <c r="D38" s="11">
        <f>+D39+D40+D41</f>
        <v>91300</v>
      </c>
      <c r="E38" s="11">
        <f>+E39+E40+E41</f>
        <v>87333.333333333343</v>
      </c>
      <c r="F38" s="18">
        <f>+C38+D38+E38</f>
        <v>272631.33333333337</v>
      </c>
      <c r="G38" s="17"/>
      <c r="H38" s="26"/>
      <c r="I38" s="15">
        <f>SUM(I39:I41)</f>
        <v>25364.482438400002</v>
      </c>
      <c r="J38" s="26"/>
      <c r="K38" s="49">
        <f t="shared" ref="K38:K42" si="10">H38+I38+J38</f>
        <v>25364.482438400002</v>
      </c>
      <c r="L38" s="26"/>
    </row>
    <row r="39" spans="1:12" ht="32" x14ac:dyDescent="0.2">
      <c r="A39" s="17" t="s">
        <v>41</v>
      </c>
      <c r="B39" s="17" t="s">
        <v>94</v>
      </c>
      <c r="C39" s="28">
        <v>16666</v>
      </c>
      <c r="D39" s="14">
        <v>16300</v>
      </c>
      <c r="E39" s="28">
        <v>16667</v>
      </c>
      <c r="F39" s="30">
        <f>+C39+D39+E39</f>
        <v>49633</v>
      </c>
      <c r="G39" s="17"/>
      <c r="H39" s="26"/>
      <c r="I39" s="26"/>
      <c r="J39" s="26"/>
      <c r="K39" s="49">
        <f t="shared" si="10"/>
        <v>0</v>
      </c>
      <c r="L39" s="26"/>
    </row>
    <row r="40" spans="1:12" ht="64" x14ac:dyDescent="0.2">
      <c r="A40" s="17" t="s">
        <v>42</v>
      </c>
      <c r="B40" s="17" t="s">
        <v>95</v>
      </c>
      <c r="C40" s="28">
        <v>66666</v>
      </c>
      <c r="D40" s="17">
        <v>65000</v>
      </c>
      <c r="E40" s="28">
        <f>200000/3-6667</f>
        <v>59999.666666666672</v>
      </c>
      <c r="F40" s="30">
        <f t="shared" ref="F40:F41" si="11">+C40+D40+E40</f>
        <v>191665.66666666669</v>
      </c>
      <c r="G40" s="17"/>
      <c r="H40" s="26"/>
      <c r="I40" s="32">
        <v>7125.4824384000003</v>
      </c>
      <c r="J40" s="26"/>
      <c r="K40" s="49">
        <f t="shared" si="10"/>
        <v>7125.4824384000003</v>
      </c>
      <c r="L40" s="26"/>
    </row>
    <row r="41" spans="1:12" ht="32" x14ac:dyDescent="0.2">
      <c r="A41" s="17" t="s">
        <v>43</v>
      </c>
      <c r="B41" s="17" t="s">
        <v>96</v>
      </c>
      <c r="C41" s="28">
        <v>10666</v>
      </c>
      <c r="D41" s="17">
        <v>10000</v>
      </c>
      <c r="E41" s="28">
        <f>32000/3</f>
        <v>10666.666666666666</v>
      </c>
      <c r="F41" s="30">
        <f t="shared" si="11"/>
        <v>31332.666666666664</v>
      </c>
      <c r="G41" s="17"/>
      <c r="H41" s="26"/>
      <c r="I41" s="32">
        <v>18239</v>
      </c>
      <c r="J41" s="26"/>
      <c r="K41" s="49">
        <f t="shared" si="10"/>
        <v>18239</v>
      </c>
      <c r="L41" s="26"/>
    </row>
    <row r="42" spans="1:12" ht="48" x14ac:dyDescent="0.2">
      <c r="A42" s="16" t="s">
        <v>21</v>
      </c>
      <c r="B42" s="17" t="s">
        <v>97</v>
      </c>
      <c r="C42" s="11">
        <f>+C43+C44+C45</f>
        <v>55000</v>
      </c>
      <c r="D42" s="11">
        <f>+D43+D44+D45</f>
        <v>55000</v>
      </c>
      <c r="E42" s="11">
        <f>+E43+E44+E45</f>
        <v>45000</v>
      </c>
      <c r="F42" s="18">
        <f>+C42+D42+E42</f>
        <v>155000</v>
      </c>
      <c r="G42" s="17"/>
      <c r="H42" s="12"/>
      <c r="I42" s="15">
        <f>SUM(I43:I45)</f>
        <v>1452.64</v>
      </c>
      <c r="J42" s="12"/>
      <c r="K42" s="49">
        <f t="shared" si="10"/>
        <v>1452.64</v>
      </c>
      <c r="L42" s="26"/>
    </row>
    <row r="43" spans="1:12" ht="48" x14ac:dyDescent="0.2">
      <c r="A43" s="17" t="s">
        <v>44</v>
      </c>
      <c r="B43" s="17" t="s">
        <v>98</v>
      </c>
      <c r="C43" s="28">
        <v>20000</v>
      </c>
      <c r="D43" s="17">
        <v>20000</v>
      </c>
      <c r="E43" s="28">
        <v>20000</v>
      </c>
      <c r="F43" s="30">
        <f>C43+D43+E43</f>
        <v>60000</v>
      </c>
      <c r="G43" s="17"/>
      <c r="H43" s="26"/>
      <c r="I43" s="32">
        <v>1452.64</v>
      </c>
      <c r="J43" s="26"/>
      <c r="K43" s="49">
        <f>H43+I43+J43</f>
        <v>1452.64</v>
      </c>
      <c r="L43" s="26"/>
    </row>
    <row r="44" spans="1:12" ht="64" x14ac:dyDescent="0.2">
      <c r="A44" s="17" t="s">
        <v>45</v>
      </c>
      <c r="B44" s="17" t="s">
        <v>99</v>
      </c>
      <c r="C44" s="28">
        <v>15000</v>
      </c>
      <c r="D44" s="17">
        <v>15000</v>
      </c>
      <c r="E44" s="28">
        <v>15000</v>
      </c>
      <c r="F44" s="30">
        <f t="shared" ref="F44:F45" si="12">C44+D44+E44</f>
        <v>45000</v>
      </c>
      <c r="G44" s="17"/>
      <c r="H44" s="26"/>
      <c r="I44" s="26"/>
      <c r="J44" s="26"/>
      <c r="K44" s="49">
        <f>H44+I44+J44</f>
        <v>0</v>
      </c>
      <c r="L44" s="26"/>
    </row>
    <row r="45" spans="1:12" ht="80" x14ac:dyDescent="0.2">
      <c r="A45" s="17" t="s">
        <v>46</v>
      </c>
      <c r="B45" s="17" t="s">
        <v>100</v>
      </c>
      <c r="C45" s="28">
        <v>20000</v>
      </c>
      <c r="D45" s="17">
        <v>20000</v>
      </c>
      <c r="E45" s="28">
        <f>20000-10000</f>
        <v>10000</v>
      </c>
      <c r="F45" s="30">
        <f t="shared" si="12"/>
        <v>50000</v>
      </c>
      <c r="G45" s="17"/>
      <c r="H45" s="26"/>
      <c r="I45" s="26"/>
      <c r="J45" s="26"/>
      <c r="K45" s="49">
        <f>H45+I45+J45</f>
        <v>0</v>
      </c>
      <c r="L45" s="26"/>
    </row>
    <row r="46" spans="1:12" ht="32" x14ac:dyDescent="0.2">
      <c r="A46" s="16" t="s">
        <v>22</v>
      </c>
      <c r="B46" s="17" t="s">
        <v>101</v>
      </c>
      <c r="C46" s="11">
        <f>+C47+C48+C49</f>
        <v>36666</v>
      </c>
      <c r="D46" s="11">
        <f>+D47+D48+D49</f>
        <v>36446</v>
      </c>
      <c r="E46" s="11">
        <f>+E47+E48+E49</f>
        <v>49999.666666666672</v>
      </c>
      <c r="F46" s="18">
        <f>+C46+D46+E46</f>
        <v>123111.66666666667</v>
      </c>
      <c r="G46" s="17"/>
      <c r="H46" s="12"/>
      <c r="I46" s="12"/>
      <c r="J46" s="12"/>
      <c r="K46" s="49">
        <f>H46+I46+J46</f>
        <v>0</v>
      </c>
      <c r="L46" s="26"/>
    </row>
    <row r="47" spans="1:12" ht="32" x14ac:dyDescent="0.2">
      <c r="A47" s="17" t="s">
        <v>47</v>
      </c>
      <c r="B47" s="17" t="s">
        <v>102</v>
      </c>
      <c r="C47" s="28">
        <v>16666</v>
      </c>
      <c r="D47" s="13">
        <v>16446</v>
      </c>
      <c r="E47" s="28">
        <f>50000/3-6667</f>
        <v>9999.6666666666679</v>
      </c>
      <c r="F47" s="30">
        <f>+C47+D47+E47</f>
        <v>43111.666666666672</v>
      </c>
      <c r="G47" s="17"/>
      <c r="H47" s="26"/>
      <c r="I47" s="26"/>
      <c r="J47" s="26"/>
      <c r="K47" s="49">
        <f t="shared" ref="K47" si="13">H47+I47+J47</f>
        <v>0</v>
      </c>
      <c r="L47" s="26"/>
    </row>
    <row r="48" spans="1:12" ht="32" x14ac:dyDescent="0.2">
      <c r="A48" s="17" t="s">
        <v>48</v>
      </c>
      <c r="B48" s="17" t="s">
        <v>103</v>
      </c>
      <c r="C48" s="43">
        <v>10000</v>
      </c>
      <c r="D48" s="13">
        <v>10000</v>
      </c>
      <c r="E48" s="43">
        <v>30000</v>
      </c>
      <c r="F48" s="30">
        <f t="shared" ref="F48:F49" si="14">+C48+D48+E48</f>
        <v>50000</v>
      </c>
      <c r="G48" s="17"/>
      <c r="H48" s="26"/>
      <c r="I48" s="26"/>
      <c r="J48" s="26"/>
      <c r="K48" s="49">
        <f>H48+I48+J48</f>
        <v>0</v>
      </c>
      <c r="L48" s="26"/>
    </row>
    <row r="49" spans="1:12" ht="48" x14ac:dyDescent="0.2">
      <c r="A49" s="17" t="s">
        <v>49</v>
      </c>
      <c r="B49" s="17" t="s">
        <v>114</v>
      </c>
      <c r="C49" s="28">
        <v>10000</v>
      </c>
      <c r="D49" s="13">
        <v>10000</v>
      </c>
      <c r="E49" s="28">
        <v>10000</v>
      </c>
      <c r="F49" s="30">
        <f t="shared" si="14"/>
        <v>30000</v>
      </c>
      <c r="G49" s="17"/>
      <c r="H49" s="26"/>
      <c r="I49" s="26"/>
      <c r="J49" s="26"/>
      <c r="K49" s="49">
        <f>H49+I49+J49</f>
        <v>0</v>
      </c>
      <c r="L49" s="26"/>
    </row>
    <row r="50" spans="1:12" ht="48" x14ac:dyDescent="0.2">
      <c r="A50" s="16" t="s">
        <v>104</v>
      </c>
      <c r="B50" s="17" t="s">
        <v>108</v>
      </c>
      <c r="C50" s="11">
        <f>C51+C52+C53</f>
        <v>35000</v>
      </c>
      <c r="D50" s="11">
        <f>D51+D52+D53</f>
        <v>35000</v>
      </c>
      <c r="E50" s="11">
        <f>E51+E52+E53</f>
        <v>35000</v>
      </c>
      <c r="F50" s="18">
        <f>+C50+D50+E50</f>
        <v>105000</v>
      </c>
      <c r="G50" s="17"/>
      <c r="H50" s="26"/>
      <c r="I50" s="15">
        <f>SUM(I51:I53)</f>
        <v>11009</v>
      </c>
      <c r="J50" s="26"/>
      <c r="K50" s="49">
        <f>H50+I50+J50</f>
        <v>11009</v>
      </c>
      <c r="L50" s="26"/>
    </row>
    <row r="51" spans="1:12" x14ac:dyDescent="0.2">
      <c r="A51" s="17" t="s">
        <v>105</v>
      </c>
      <c r="B51" s="17" t="s">
        <v>109</v>
      </c>
      <c r="C51" s="28">
        <v>15000</v>
      </c>
      <c r="D51" s="13">
        <v>15000</v>
      </c>
      <c r="E51" s="40">
        <v>15000</v>
      </c>
      <c r="F51" s="41">
        <f>+C51+D51+E51</f>
        <v>45000</v>
      </c>
      <c r="G51" s="17"/>
      <c r="H51" s="26"/>
      <c r="I51" s="26"/>
      <c r="J51" s="26"/>
      <c r="K51" s="49">
        <f>H51+I51+J51</f>
        <v>0</v>
      </c>
      <c r="L51" s="26"/>
    </row>
    <row r="52" spans="1:12" x14ac:dyDescent="0.2">
      <c r="A52" s="17" t="s">
        <v>106</v>
      </c>
      <c r="B52" s="17" t="s">
        <v>110</v>
      </c>
      <c r="C52" s="28">
        <v>10000</v>
      </c>
      <c r="D52" s="13">
        <v>10000</v>
      </c>
      <c r="E52" s="40">
        <v>10000</v>
      </c>
      <c r="F52" s="41">
        <f t="shared" ref="F52:F53" si="15">+C52+D52+E52</f>
        <v>30000</v>
      </c>
      <c r="G52" s="17"/>
      <c r="H52" s="26"/>
      <c r="I52" s="32">
        <v>11009</v>
      </c>
      <c r="J52" s="26"/>
      <c r="K52" s="49">
        <f t="shared" ref="K52:K54" si="16">H52+I52+J52</f>
        <v>11009</v>
      </c>
      <c r="L52" s="26"/>
    </row>
    <row r="53" spans="1:12" ht="51" customHeight="1" x14ac:dyDescent="0.2">
      <c r="A53" s="17" t="s">
        <v>107</v>
      </c>
      <c r="B53" s="17" t="s">
        <v>111</v>
      </c>
      <c r="C53" s="28">
        <v>10000</v>
      </c>
      <c r="D53" s="13">
        <v>10000</v>
      </c>
      <c r="E53" s="28">
        <v>10000</v>
      </c>
      <c r="F53" s="41">
        <f t="shared" si="15"/>
        <v>30000</v>
      </c>
      <c r="G53" s="17"/>
      <c r="H53" s="26"/>
      <c r="I53" s="26"/>
      <c r="J53" s="26"/>
      <c r="K53" s="49">
        <f t="shared" si="16"/>
        <v>0</v>
      </c>
      <c r="L53" s="26"/>
    </row>
    <row r="54" spans="1:12" ht="27" customHeight="1" x14ac:dyDescent="0.2">
      <c r="A54" s="65" t="s">
        <v>120</v>
      </c>
      <c r="B54" s="65"/>
      <c r="C54" s="11">
        <f>C38+C42+C46+C50</f>
        <v>220664</v>
      </c>
      <c r="D54" s="11">
        <f t="shared" ref="D54:E54" si="17">D38+D42+D46+D50</f>
        <v>217746</v>
      </c>
      <c r="E54" s="11">
        <f t="shared" si="17"/>
        <v>217333</v>
      </c>
      <c r="F54" s="18">
        <f>C54+D54+E54</f>
        <v>655743</v>
      </c>
      <c r="G54" s="16"/>
      <c r="H54" s="31">
        <f>H38+H42+H46+H50</f>
        <v>0</v>
      </c>
      <c r="I54" s="31">
        <f>I38+I42+I46+I50</f>
        <v>37826.122438400002</v>
      </c>
      <c r="J54" s="31">
        <f t="shared" ref="J54" si="18">J38+J42+J46+J50</f>
        <v>0</v>
      </c>
      <c r="K54" s="49">
        <f t="shared" si="16"/>
        <v>37826.122438400002</v>
      </c>
      <c r="L54" s="26"/>
    </row>
    <row r="55" spans="1:12" ht="27" customHeight="1" x14ac:dyDescent="0.2">
      <c r="A55" s="65" t="s">
        <v>121</v>
      </c>
      <c r="B55" s="65"/>
      <c r="C55" s="65"/>
      <c r="D55" s="65"/>
      <c r="E55" s="65"/>
      <c r="F55" s="65"/>
      <c r="G55" s="65"/>
      <c r="H55" s="26"/>
      <c r="I55" s="26"/>
      <c r="J55" s="26"/>
      <c r="K55" s="49">
        <f>H55+I55+J55</f>
        <v>0</v>
      </c>
      <c r="L55" s="26"/>
    </row>
    <row r="56" spans="1:12" ht="70.5" customHeight="1" thickBot="1" x14ac:dyDescent="0.25">
      <c r="A56" s="17" t="s">
        <v>50</v>
      </c>
      <c r="B56" s="16"/>
      <c r="C56" s="46">
        <f>174333</f>
        <v>174333</v>
      </c>
      <c r="D56" s="46">
        <f t="shared" ref="D56:E56" si="19">174333</f>
        <v>174333</v>
      </c>
      <c r="E56" s="46">
        <f t="shared" si="19"/>
        <v>174333</v>
      </c>
      <c r="F56" s="47">
        <f>+C56+D56+E56</f>
        <v>522999</v>
      </c>
      <c r="G56" s="16"/>
      <c r="H56" s="32"/>
      <c r="I56" s="32">
        <v>174261</v>
      </c>
      <c r="J56" s="32">
        <v>174333</v>
      </c>
      <c r="K56" s="47">
        <f>H56+I56+J56</f>
        <v>348594</v>
      </c>
      <c r="L56" s="26"/>
    </row>
    <row r="57" spans="1:12" ht="58" customHeight="1" thickBot="1" x14ac:dyDescent="0.25">
      <c r="A57" s="17" t="s">
        <v>51</v>
      </c>
      <c r="B57" s="16"/>
      <c r="C57" s="46">
        <v>27915</v>
      </c>
      <c r="D57" s="46">
        <v>35000</v>
      </c>
      <c r="E57" s="45">
        <v>34613</v>
      </c>
      <c r="F57" s="47">
        <f>+C57+D57+E57</f>
        <v>97528</v>
      </c>
      <c r="G57" s="16"/>
      <c r="H57" s="71">
        <f>119620</f>
        <v>119620</v>
      </c>
      <c r="I57" s="55">
        <v>41475.75</v>
      </c>
      <c r="J57" s="56">
        <v>21700</v>
      </c>
      <c r="K57" s="47">
        <f>H57+I57+J57</f>
        <v>182795.75</v>
      </c>
      <c r="L57" s="26"/>
    </row>
    <row r="58" spans="1:12" ht="36" customHeight="1" thickBot="1" x14ac:dyDescent="0.25">
      <c r="A58" s="17" t="s">
        <v>52</v>
      </c>
      <c r="B58" s="17" t="s">
        <v>0</v>
      </c>
      <c r="C58" s="17"/>
      <c r="D58" s="17"/>
      <c r="E58" s="17"/>
      <c r="F58" s="20"/>
      <c r="G58" s="17"/>
      <c r="H58" s="26"/>
      <c r="I58" s="26"/>
      <c r="J58" s="53">
        <v>11000</v>
      </c>
      <c r="K58" s="49">
        <f>H58+I58+J58</f>
        <v>11000</v>
      </c>
      <c r="L58" s="26"/>
    </row>
    <row r="59" spans="1:12" ht="21" customHeight="1" x14ac:dyDescent="0.2">
      <c r="A59" s="65" t="s">
        <v>125</v>
      </c>
      <c r="B59" s="65"/>
      <c r="C59" s="11">
        <f>SUM(C56:C58)</f>
        <v>202248</v>
      </c>
      <c r="D59" s="11">
        <f>SUM(D56:D58)</f>
        <v>209333</v>
      </c>
      <c r="E59" s="11">
        <f>SUM(E56:E58)</f>
        <v>208946</v>
      </c>
      <c r="F59" s="18">
        <f>+C59+D59+E59</f>
        <v>620527</v>
      </c>
      <c r="G59" s="16"/>
      <c r="H59" s="48">
        <f>SUM(H56:H58)</f>
        <v>119620</v>
      </c>
      <c r="I59" s="48">
        <f>SUM(I56:I58)</f>
        <v>215736.75</v>
      </c>
      <c r="J59" s="48">
        <f>SUM(J56:J58)</f>
        <v>207033</v>
      </c>
      <c r="K59" s="49">
        <f t="shared" ref="K59:K62" si="20">H59+I59+J59</f>
        <v>542389.75</v>
      </c>
      <c r="L59" s="26"/>
    </row>
    <row r="60" spans="1:12" ht="20" customHeight="1" x14ac:dyDescent="0.2">
      <c r="A60" s="65" t="s">
        <v>122</v>
      </c>
      <c r="B60" s="65"/>
      <c r="C60" s="11">
        <f>C21+C36+C54+C59</f>
        <v>934578.66666666663</v>
      </c>
      <c r="D60" s="11">
        <f t="shared" ref="D60:E60" si="21">D21+D36+D54+D59</f>
        <v>934579</v>
      </c>
      <c r="E60" s="11">
        <f t="shared" si="21"/>
        <v>934579</v>
      </c>
      <c r="F60" s="18">
        <f t="shared" ref="F60:F61" si="22">+C60+D60+E60</f>
        <v>2803736.6666666665</v>
      </c>
      <c r="G60" s="16"/>
      <c r="H60" s="31">
        <f>H21+H36+H59</f>
        <v>253733</v>
      </c>
      <c r="I60" s="31">
        <f>I21+I59+I36+I54</f>
        <v>508087.03243840003</v>
      </c>
      <c r="J60" s="31">
        <f>J59+J21+J36</f>
        <v>579487.57000000007</v>
      </c>
      <c r="K60" s="49">
        <f t="shared" si="20"/>
        <v>1341307.6024384</v>
      </c>
      <c r="L60" s="26"/>
    </row>
    <row r="61" spans="1:12" ht="16" customHeight="1" thickBot="1" x14ac:dyDescent="0.25">
      <c r="A61" s="66" t="s">
        <v>123</v>
      </c>
      <c r="B61" s="66"/>
      <c r="C61" s="33">
        <v>65421</v>
      </c>
      <c r="D61" s="33">
        <v>65421</v>
      </c>
      <c r="E61" s="33">
        <v>65421</v>
      </c>
      <c r="F61" s="18">
        <f t="shared" si="22"/>
        <v>196263</v>
      </c>
      <c r="G61" s="17"/>
      <c r="H61" s="33">
        <v>19602</v>
      </c>
      <c r="I61" s="54">
        <v>17756</v>
      </c>
      <c r="J61" s="33">
        <v>40564.129900000007</v>
      </c>
      <c r="K61" s="47">
        <f t="shared" si="20"/>
        <v>77922.1299</v>
      </c>
      <c r="L61" s="26"/>
    </row>
    <row r="62" spans="1:12" ht="17" customHeight="1" x14ac:dyDescent="0.2">
      <c r="A62" s="65" t="s">
        <v>124</v>
      </c>
      <c r="B62" s="65"/>
      <c r="C62" s="11">
        <f>C60+C61</f>
        <v>999999.66666666663</v>
      </c>
      <c r="D62" s="11">
        <f t="shared" ref="D62:E62" si="23">D60+D61</f>
        <v>1000000</v>
      </c>
      <c r="E62" s="11">
        <f t="shared" si="23"/>
        <v>1000000</v>
      </c>
      <c r="F62" s="18">
        <f>+C62+D62+E62</f>
        <v>2999999.6666666665</v>
      </c>
      <c r="G62" s="16"/>
      <c r="H62" s="15">
        <f>H60+H61</f>
        <v>273335</v>
      </c>
      <c r="I62" s="15">
        <f>I60+I61</f>
        <v>525843.03243839997</v>
      </c>
      <c r="J62" s="15">
        <f>SUM(J60:J61)</f>
        <v>620051.69990000012</v>
      </c>
      <c r="K62" s="49">
        <f t="shared" si="20"/>
        <v>1419229.7323384001</v>
      </c>
      <c r="L62" s="50"/>
    </row>
    <row r="63" spans="1:12" s="24" customFormat="1" x14ac:dyDescent="0.2">
      <c r="A63" s="38" t="s">
        <v>131</v>
      </c>
      <c r="B63" s="38"/>
      <c r="C63" s="38"/>
      <c r="D63" s="38"/>
      <c r="E63" s="38"/>
      <c r="F63" s="38"/>
      <c r="G63" s="38"/>
      <c r="H63" s="51">
        <f>H62/H67*100</f>
        <v>21.180911259238826</v>
      </c>
      <c r="I63" s="51">
        <f t="shared" ref="I63:J63" si="24">I62/1000000*100</f>
        <v>52.58430324383999</v>
      </c>
      <c r="J63" s="51">
        <f t="shared" si="24"/>
        <v>62.005169990000006</v>
      </c>
      <c r="K63" s="51">
        <f>K62/3000000*100</f>
        <v>47.307657744613337</v>
      </c>
      <c r="L63" s="38"/>
    </row>
    <row r="64" spans="1:12" x14ac:dyDescent="0.2">
      <c r="C64" s="29"/>
      <c r="I64" s="29"/>
      <c r="K64" s="23"/>
    </row>
    <row r="67" spans="8:12" ht="25.5" customHeight="1" x14ac:dyDescent="0.2">
      <c r="H67" s="26">
        <v>1290478</v>
      </c>
      <c r="K67" s="23"/>
    </row>
    <row r="72" spans="8:12" x14ac:dyDescent="0.2">
      <c r="L72" s="23">
        <f>8/34*100</f>
        <v>23.52941176470588</v>
      </c>
    </row>
  </sheetData>
  <mergeCells count="11">
    <mergeCell ref="A55:G55"/>
    <mergeCell ref="A59:B59"/>
    <mergeCell ref="A60:B60"/>
    <mergeCell ref="A61:B61"/>
    <mergeCell ref="A62:B62"/>
    <mergeCell ref="A8:G8"/>
    <mergeCell ref="A22:G22"/>
    <mergeCell ref="A37:D37"/>
    <mergeCell ref="A54:B54"/>
    <mergeCell ref="A21:B21"/>
    <mergeCell ref="A36:B36"/>
  </mergeCells>
  <pageMargins left="0.7" right="0.7" top="0.75" bottom="0.75" header="0.3" footer="0.3"/>
  <pageSetup scale="74" orientation="landscape" r:id="rId1"/>
  <rowBreaks count="2" manualBreakCount="2">
    <brk id="36"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topLeftCell="A8" workbookViewId="0">
      <selection activeCell="H14" sqref="H14"/>
    </sheetView>
  </sheetViews>
  <sheetFormatPr baseColWidth="10" defaultColWidth="8.83203125" defaultRowHeight="16" x14ac:dyDescent="0.2"/>
  <cols>
    <col min="1" max="1" width="23.83203125" style="23" customWidth="1"/>
    <col min="2" max="2" width="45.6640625" style="23" customWidth="1"/>
    <col min="3" max="3" width="13.33203125" style="25" customWidth="1"/>
    <col min="4" max="4" width="20.83203125" style="25" customWidth="1"/>
    <col min="5" max="5" width="22.6640625" style="25" customWidth="1"/>
    <col min="6" max="6" width="23.6640625" style="23" customWidth="1"/>
    <col min="7" max="7" width="28.6640625" style="23" customWidth="1"/>
    <col min="8" max="8" width="34.1640625" style="23" customWidth="1"/>
    <col min="9" max="16384" width="8.83203125" style="23"/>
  </cols>
  <sheetData>
    <row r="1" spans="1:8" x14ac:dyDescent="0.2">
      <c r="A1" s="22" t="s">
        <v>7</v>
      </c>
      <c r="B1" s="22"/>
    </row>
    <row r="2" spans="1:8" x14ac:dyDescent="0.2">
      <c r="A2" s="22"/>
      <c r="B2" s="22"/>
    </row>
    <row r="3" spans="1:8" x14ac:dyDescent="0.2">
      <c r="A3" s="22" t="s">
        <v>8</v>
      </c>
      <c r="B3" s="22"/>
    </row>
    <row r="5" spans="1:8" x14ac:dyDescent="0.2">
      <c r="A5" s="22" t="s">
        <v>9</v>
      </c>
    </row>
    <row r="7" spans="1:8" ht="91" customHeight="1" x14ac:dyDescent="0.2">
      <c r="A7" s="17" t="s">
        <v>10</v>
      </c>
      <c r="B7" s="17" t="s">
        <v>11</v>
      </c>
      <c r="C7" s="35" t="s">
        <v>130</v>
      </c>
      <c r="D7" s="35" t="s">
        <v>12</v>
      </c>
      <c r="E7" s="35" t="s">
        <v>129</v>
      </c>
      <c r="F7" s="17" t="s">
        <v>13</v>
      </c>
    </row>
    <row r="8" spans="1:8" ht="16" customHeight="1" x14ac:dyDescent="0.2">
      <c r="A8" s="65" t="s">
        <v>67</v>
      </c>
      <c r="B8" s="65"/>
      <c r="C8" s="65"/>
      <c r="D8" s="65"/>
      <c r="E8" s="65"/>
      <c r="F8" s="65"/>
    </row>
    <row r="9" spans="1:8" ht="64" x14ac:dyDescent="0.2">
      <c r="A9" s="52" t="s">
        <v>14</v>
      </c>
      <c r="B9" s="17" t="s">
        <v>68</v>
      </c>
      <c r="C9" s="34">
        <v>500000</v>
      </c>
      <c r="D9" s="35"/>
      <c r="E9" s="48">
        <f>'Budget global détaillé'!K9</f>
        <v>364914.39</v>
      </c>
      <c r="F9" s="26"/>
    </row>
    <row r="10" spans="1:8" ht="48" x14ac:dyDescent="0.2">
      <c r="A10" s="17" t="s">
        <v>23</v>
      </c>
      <c r="B10" s="17" t="s">
        <v>69</v>
      </c>
      <c r="C10" s="40">
        <v>30000</v>
      </c>
      <c r="D10" s="35"/>
      <c r="E10" s="46">
        <f>'Budget global détaillé'!K10</f>
        <v>20000</v>
      </c>
      <c r="F10" s="26"/>
    </row>
    <row r="11" spans="1:8" ht="64" x14ac:dyDescent="0.2">
      <c r="A11" s="17" t="s">
        <v>24</v>
      </c>
      <c r="B11" s="17" t="s">
        <v>70</v>
      </c>
      <c r="C11" s="40">
        <v>170000</v>
      </c>
      <c r="D11" s="35"/>
      <c r="E11" s="46">
        <f>'Budget global détaillé'!K11</f>
        <v>122384.39</v>
      </c>
      <c r="F11" s="26"/>
    </row>
    <row r="12" spans="1:8" ht="176" x14ac:dyDescent="0.2">
      <c r="A12" s="17" t="s">
        <v>25</v>
      </c>
      <c r="B12" s="17" t="s">
        <v>71</v>
      </c>
      <c r="C12" s="40">
        <v>300000</v>
      </c>
      <c r="D12" s="35"/>
      <c r="E12" s="46">
        <f>'Budget global détaillé'!K12</f>
        <v>222530</v>
      </c>
      <c r="F12" s="26"/>
      <c r="H12" s="29"/>
    </row>
    <row r="13" spans="1:8" ht="32" x14ac:dyDescent="0.2">
      <c r="A13" s="52" t="s">
        <v>15</v>
      </c>
      <c r="B13" s="17" t="s">
        <v>72</v>
      </c>
      <c r="C13" s="36">
        <v>158333.33333333331</v>
      </c>
      <c r="D13" s="35"/>
      <c r="E13" s="48">
        <f>'Budget global détaillé'!K13</f>
        <v>60081.74</v>
      </c>
      <c r="F13" s="26"/>
    </row>
    <row r="14" spans="1:8" ht="48" x14ac:dyDescent="0.2">
      <c r="A14" s="17" t="s">
        <v>26</v>
      </c>
      <c r="B14" s="17" t="s">
        <v>73</v>
      </c>
      <c r="C14" s="28">
        <v>38333.333333333328</v>
      </c>
      <c r="D14" s="35"/>
      <c r="E14" s="46">
        <f>'Budget global détaillé'!K14</f>
        <v>21315</v>
      </c>
      <c r="F14" s="26"/>
    </row>
    <row r="15" spans="1:8" ht="64" x14ac:dyDescent="0.2">
      <c r="A15" s="17" t="s">
        <v>27</v>
      </c>
      <c r="B15" s="17" t="s">
        <v>74</v>
      </c>
      <c r="C15" s="28">
        <v>60000</v>
      </c>
      <c r="D15" s="35"/>
      <c r="E15" s="46">
        <f>'Budget global détaillé'!K15</f>
        <v>22374</v>
      </c>
      <c r="F15" s="26"/>
    </row>
    <row r="16" spans="1:8" ht="64" x14ac:dyDescent="0.2">
      <c r="A16" s="17" t="s">
        <v>28</v>
      </c>
      <c r="B16" s="17" t="s">
        <v>75</v>
      </c>
      <c r="C16" s="28">
        <v>60000</v>
      </c>
      <c r="D16" s="35"/>
      <c r="E16" s="46">
        <f>'Budget global détaillé'!K16</f>
        <v>16392.739999999998</v>
      </c>
      <c r="F16" s="26"/>
    </row>
    <row r="17" spans="1:6" ht="48" x14ac:dyDescent="0.2">
      <c r="A17" s="52" t="s">
        <v>16</v>
      </c>
      <c r="B17" s="17" t="s">
        <v>76</v>
      </c>
      <c r="C17" s="36">
        <v>94633.333333333343</v>
      </c>
      <c r="D17" s="35"/>
      <c r="E17" s="48">
        <f>'Budget global détaillé'!K17</f>
        <v>67739.13</v>
      </c>
      <c r="F17" s="26"/>
    </row>
    <row r="18" spans="1:6" ht="64" x14ac:dyDescent="0.2">
      <c r="A18" s="17" t="s">
        <v>29</v>
      </c>
      <c r="B18" s="17" t="s">
        <v>77</v>
      </c>
      <c r="C18" s="28">
        <v>39633.333333333336</v>
      </c>
      <c r="D18" s="35"/>
      <c r="E18" s="46">
        <f>'Budget global détaillé'!K18</f>
        <v>33739.130000000005</v>
      </c>
      <c r="F18" s="26"/>
    </row>
    <row r="19" spans="1:6" ht="32" x14ac:dyDescent="0.2">
      <c r="A19" s="17" t="s">
        <v>30</v>
      </c>
      <c r="B19" s="17" t="s">
        <v>78</v>
      </c>
      <c r="C19" s="28">
        <v>55000</v>
      </c>
      <c r="D19" s="35"/>
      <c r="E19" s="46">
        <f>'Budget global détaillé'!K19</f>
        <v>34000</v>
      </c>
      <c r="F19" s="26"/>
    </row>
    <row r="20" spans="1:6" x14ac:dyDescent="0.2">
      <c r="A20" s="17" t="s">
        <v>31</v>
      </c>
      <c r="B20" s="17"/>
      <c r="C20" s="35"/>
      <c r="D20" s="35"/>
      <c r="E20" s="48">
        <f>'Budget global détaillé'!K20</f>
        <v>0</v>
      </c>
      <c r="F20" s="26"/>
    </row>
    <row r="21" spans="1:6" x14ac:dyDescent="0.2">
      <c r="A21" s="65" t="s">
        <v>118</v>
      </c>
      <c r="B21" s="65"/>
      <c r="C21" s="34">
        <v>752966.66666666663</v>
      </c>
      <c r="D21" s="37"/>
      <c r="E21" s="48">
        <f>'Budget global détaillé'!K21</f>
        <v>492735.26</v>
      </c>
      <c r="F21" s="26"/>
    </row>
    <row r="22" spans="1:6" ht="16" customHeight="1" x14ac:dyDescent="0.2">
      <c r="A22" s="65" t="s">
        <v>79</v>
      </c>
      <c r="B22" s="65"/>
      <c r="C22" s="65"/>
      <c r="D22" s="65"/>
      <c r="E22" s="65"/>
      <c r="F22" s="65"/>
    </row>
    <row r="23" spans="1:6" ht="48" x14ac:dyDescent="0.2">
      <c r="A23" s="52" t="s">
        <v>17</v>
      </c>
      <c r="B23" s="17" t="s">
        <v>80</v>
      </c>
      <c r="C23" s="34">
        <v>285000</v>
      </c>
      <c r="D23" s="35"/>
      <c r="E23" s="48">
        <f>'Budget global détaillé'!K23</f>
        <v>87334.5</v>
      </c>
      <c r="F23" s="26"/>
    </row>
    <row r="24" spans="1:6" ht="80" x14ac:dyDescent="0.2">
      <c r="A24" s="17" t="s">
        <v>32</v>
      </c>
      <c r="B24" s="17" t="s">
        <v>81</v>
      </c>
      <c r="C24" s="43">
        <v>150000</v>
      </c>
      <c r="D24" s="35"/>
      <c r="E24" s="46">
        <f>'Budget global détaillé'!K24</f>
        <v>0</v>
      </c>
      <c r="F24" s="26"/>
    </row>
    <row r="25" spans="1:6" ht="32" x14ac:dyDescent="0.2">
      <c r="A25" s="17" t="s">
        <v>33</v>
      </c>
      <c r="B25" s="17" t="s">
        <v>82</v>
      </c>
      <c r="C25" s="43">
        <v>45000</v>
      </c>
      <c r="D25" s="35"/>
      <c r="E25" s="46">
        <f>'Budget global détaillé'!K25</f>
        <v>67334.5</v>
      </c>
      <c r="F25" s="26"/>
    </row>
    <row r="26" spans="1:6" ht="48" x14ac:dyDescent="0.2">
      <c r="A26" s="17" t="s">
        <v>34</v>
      </c>
      <c r="B26" s="17" t="s">
        <v>83</v>
      </c>
      <c r="C26" s="43">
        <v>90000</v>
      </c>
      <c r="D26" s="35"/>
      <c r="E26" s="46">
        <f>'Budget global détaillé'!K26</f>
        <v>20000</v>
      </c>
      <c r="F26" s="26"/>
    </row>
    <row r="27" spans="1:6" ht="48" x14ac:dyDescent="0.2">
      <c r="A27" s="52" t="s">
        <v>18</v>
      </c>
      <c r="B27" s="17" t="s">
        <v>84</v>
      </c>
      <c r="C27" s="34">
        <v>269500</v>
      </c>
      <c r="D27" s="35"/>
      <c r="E27" s="48">
        <f>'Budget global détaillé'!K27</f>
        <v>160246.97</v>
      </c>
      <c r="F27" s="26"/>
    </row>
    <row r="28" spans="1:6" ht="48" x14ac:dyDescent="0.2">
      <c r="A28" s="17" t="s">
        <v>35</v>
      </c>
      <c r="B28" s="17" t="s">
        <v>85</v>
      </c>
      <c r="C28" s="28">
        <v>120000</v>
      </c>
      <c r="D28" s="35"/>
      <c r="E28" s="46">
        <f>'Budget global détaillé'!K28</f>
        <v>82226.709999999992</v>
      </c>
      <c r="F28" s="26"/>
    </row>
    <row r="29" spans="1:6" ht="32" x14ac:dyDescent="0.2">
      <c r="A29" s="17" t="s">
        <v>36</v>
      </c>
      <c r="B29" s="17" t="s">
        <v>86</v>
      </c>
      <c r="C29" s="28">
        <v>69866.333333333328</v>
      </c>
      <c r="D29" s="35"/>
      <c r="E29" s="46">
        <f>'Budget global détaillé'!K29</f>
        <v>23200</v>
      </c>
      <c r="F29" s="26"/>
    </row>
    <row r="30" spans="1:6" ht="96" x14ac:dyDescent="0.2">
      <c r="A30" s="17" t="s">
        <v>37</v>
      </c>
      <c r="B30" s="17" t="s">
        <v>113</v>
      </c>
      <c r="C30" s="28">
        <v>30000</v>
      </c>
      <c r="D30" s="35"/>
      <c r="E30" s="46">
        <f>'Budget global détaillé'!K30</f>
        <v>32740</v>
      </c>
      <c r="F30" s="26"/>
    </row>
    <row r="31" spans="1:6" ht="48" x14ac:dyDescent="0.2">
      <c r="A31" s="17" t="s">
        <v>112</v>
      </c>
      <c r="B31" s="17" t="s">
        <v>87</v>
      </c>
      <c r="C31" s="28">
        <v>49633.666666666672</v>
      </c>
      <c r="D31" s="35"/>
      <c r="E31" s="46">
        <f>'Budget global détaillé'!K31</f>
        <v>22080.260000000002</v>
      </c>
      <c r="F31" s="26"/>
    </row>
    <row r="32" spans="1:6" ht="64" x14ac:dyDescent="0.2">
      <c r="A32" s="52" t="s">
        <v>19</v>
      </c>
      <c r="B32" s="17" t="s">
        <v>88</v>
      </c>
      <c r="C32" s="34">
        <v>220000</v>
      </c>
      <c r="D32" s="35"/>
      <c r="E32" s="48">
        <f>'Budget global détaillé'!K32</f>
        <v>20775</v>
      </c>
      <c r="F32" s="26"/>
    </row>
    <row r="33" spans="1:6" ht="64" x14ac:dyDescent="0.2">
      <c r="A33" s="17" t="s">
        <v>38</v>
      </c>
      <c r="B33" s="17" t="s">
        <v>89</v>
      </c>
      <c r="C33" s="28">
        <v>70000</v>
      </c>
      <c r="D33" s="35"/>
      <c r="E33" s="46">
        <f>'Budget global détaillé'!K33</f>
        <v>12000</v>
      </c>
      <c r="F33" s="26"/>
    </row>
    <row r="34" spans="1:6" ht="48" x14ac:dyDescent="0.2">
      <c r="A34" s="17" t="s">
        <v>39</v>
      </c>
      <c r="B34" s="17" t="s">
        <v>90</v>
      </c>
      <c r="C34" s="28">
        <v>60000</v>
      </c>
      <c r="D34" s="35"/>
      <c r="E34" s="46">
        <f>'Budget global détaillé'!K34</f>
        <v>0</v>
      </c>
      <c r="F34" s="26"/>
    </row>
    <row r="35" spans="1:6" ht="48" x14ac:dyDescent="0.2">
      <c r="A35" s="17" t="s">
        <v>40</v>
      </c>
      <c r="B35" s="17" t="s">
        <v>91</v>
      </c>
      <c r="C35" s="28">
        <v>90000</v>
      </c>
      <c r="D35" s="35"/>
      <c r="E35" s="46">
        <f>'Budget global détaillé'!K35</f>
        <v>8775</v>
      </c>
      <c r="F35" s="26"/>
    </row>
    <row r="36" spans="1:6" x14ac:dyDescent="0.2">
      <c r="A36" s="65" t="s">
        <v>119</v>
      </c>
      <c r="B36" s="65"/>
      <c r="C36" s="34">
        <v>774500</v>
      </c>
      <c r="D36" s="37"/>
      <c r="E36" s="48">
        <f>'Budget global détaillé'!K36</f>
        <v>268356.46999999997</v>
      </c>
      <c r="F36" s="26"/>
    </row>
    <row r="37" spans="1:6" ht="16" customHeight="1" x14ac:dyDescent="0.2">
      <c r="A37" s="65" t="s">
        <v>92</v>
      </c>
      <c r="B37" s="65"/>
      <c r="C37" s="65"/>
      <c r="D37" s="65"/>
      <c r="E37" s="65"/>
      <c r="F37" s="65"/>
    </row>
    <row r="38" spans="1:6" x14ac:dyDescent="0.2">
      <c r="A38" s="52" t="s">
        <v>20</v>
      </c>
      <c r="B38" s="17" t="s">
        <v>93</v>
      </c>
      <c r="C38" s="34">
        <v>272631.33333333337</v>
      </c>
      <c r="D38" s="35"/>
      <c r="E38" s="48">
        <f>'Budget global détaillé'!K38</f>
        <v>25364.482438400002</v>
      </c>
      <c r="F38" s="26"/>
    </row>
    <row r="39" spans="1:6" ht="32" x14ac:dyDescent="0.2">
      <c r="A39" s="17" t="s">
        <v>41</v>
      </c>
      <c r="B39" s="17" t="s">
        <v>94</v>
      </c>
      <c r="C39" s="28">
        <v>49633</v>
      </c>
      <c r="D39" s="35"/>
      <c r="E39" s="46">
        <f>'Budget global détaillé'!K39</f>
        <v>0</v>
      </c>
      <c r="F39" s="26"/>
    </row>
    <row r="40" spans="1:6" ht="64" x14ac:dyDescent="0.2">
      <c r="A40" s="17" t="s">
        <v>42</v>
      </c>
      <c r="B40" s="17" t="s">
        <v>95</v>
      </c>
      <c r="C40" s="28">
        <v>191665.66666666669</v>
      </c>
      <c r="D40" s="35"/>
      <c r="E40" s="46">
        <f>'Budget global détaillé'!K40</f>
        <v>7125.4824384000003</v>
      </c>
      <c r="F40" s="26"/>
    </row>
    <row r="41" spans="1:6" ht="32" x14ac:dyDescent="0.2">
      <c r="A41" s="17" t="s">
        <v>43</v>
      </c>
      <c r="B41" s="17" t="s">
        <v>96</v>
      </c>
      <c r="C41" s="28">
        <v>31332.666666666664</v>
      </c>
      <c r="D41" s="35"/>
      <c r="E41" s="46">
        <f>'Budget global détaillé'!K41</f>
        <v>18239</v>
      </c>
      <c r="F41" s="26"/>
    </row>
    <row r="42" spans="1:6" ht="48" x14ac:dyDescent="0.2">
      <c r="A42" s="52" t="s">
        <v>21</v>
      </c>
      <c r="B42" s="17" t="s">
        <v>97</v>
      </c>
      <c r="C42" s="34">
        <v>155000</v>
      </c>
      <c r="D42" s="35"/>
      <c r="E42" s="48">
        <f>'Budget global détaillé'!K42</f>
        <v>1452.64</v>
      </c>
      <c r="F42" s="26"/>
    </row>
    <row r="43" spans="1:6" ht="48" x14ac:dyDescent="0.2">
      <c r="A43" s="17" t="s">
        <v>44</v>
      </c>
      <c r="B43" s="17" t="s">
        <v>98</v>
      </c>
      <c r="C43" s="28">
        <v>60000</v>
      </c>
      <c r="D43" s="35"/>
      <c r="E43" s="46">
        <f>'Budget global détaillé'!K43</f>
        <v>1452.64</v>
      </c>
      <c r="F43" s="26"/>
    </row>
    <row r="44" spans="1:6" ht="64" x14ac:dyDescent="0.2">
      <c r="A44" s="17" t="s">
        <v>45</v>
      </c>
      <c r="B44" s="17" t="s">
        <v>99</v>
      </c>
      <c r="C44" s="28">
        <v>45000</v>
      </c>
      <c r="D44" s="35"/>
      <c r="E44" s="48">
        <f>'Budget global détaillé'!K44</f>
        <v>0</v>
      </c>
      <c r="F44" s="26"/>
    </row>
    <row r="45" spans="1:6" ht="80" x14ac:dyDescent="0.2">
      <c r="A45" s="17" t="s">
        <v>46</v>
      </c>
      <c r="B45" s="17" t="s">
        <v>100</v>
      </c>
      <c r="C45" s="28">
        <v>50000</v>
      </c>
      <c r="D45" s="35"/>
      <c r="E45" s="48">
        <f>'Budget global détaillé'!K45</f>
        <v>0</v>
      </c>
      <c r="F45" s="26"/>
    </row>
    <row r="46" spans="1:6" ht="32" x14ac:dyDescent="0.2">
      <c r="A46" s="52" t="s">
        <v>22</v>
      </c>
      <c r="B46" s="17" t="s">
        <v>101</v>
      </c>
      <c r="C46" s="34">
        <v>123111.66666666667</v>
      </c>
      <c r="D46" s="35"/>
      <c r="E46" s="48">
        <f>'Budget global détaillé'!K46</f>
        <v>0</v>
      </c>
      <c r="F46" s="26"/>
    </row>
    <row r="47" spans="1:6" ht="32" x14ac:dyDescent="0.2">
      <c r="A47" s="17" t="s">
        <v>47</v>
      </c>
      <c r="B47" s="17" t="s">
        <v>102</v>
      </c>
      <c r="C47" s="28">
        <v>43111.666666666672</v>
      </c>
      <c r="D47" s="35"/>
      <c r="E47" s="48">
        <f>'Budget global détaillé'!K47</f>
        <v>0</v>
      </c>
      <c r="F47" s="26"/>
    </row>
    <row r="48" spans="1:6" ht="32" x14ac:dyDescent="0.2">
      <c r="A48" s="17" t="s">
        <v>48</v>
      </c>
      <c r="B48" s="17" t="s">
        <v>103</v>
      </c>
      <c r="C48" s="28">
        <v>50000</v>
      </c>
      <c r="D48" s="35"/>
      <c r="E48" s="48">
        <f>'Budget global détaillé'!K48</f>
        <v>0</v>
      </c>
      <c r="F48" s="26"/>
    </row>
    <row r="49" spans="1:6" ht="48" x14ac:dyDescent="0.2">
      <c r="A49" s="17" t="s">
        <v>49</v>
      </c>
      <c r="B49" s="17" t="s">
        <v>114</v>
      </c>
      <c r="C49" s="28">
        <v>30000</v>
      </c>
      <c r="D49" s="35"/>
      <c r="E49" s="48">
        <f>'Budget global détaillé'!K49</f>
        <v>0</v>
      </c>
      <c r="F49" s="26"/>
    </row>
    <row r="50" spans="1:6" ht="48" x14ac:dyDescent="0.2">
      <c r="A50" s="52" t="s">
        <v>104</v>
      </c>
      <c r="B50" s="17" t="s">
        <v>108</v>
      </c>
      <c r="C50" s="34">
        <v>105000</v>
      </c>
      <c r="D50" s="35"/>
      <c r="E50" s="48">
        <f>'Budget global détaillé'!K50</f>
        <v>11009</v>
      </c>
      <c r="F50" s="26"/>
    </row>
    <row r="51" spans="1:6" x14ac:dyDescent="0.2">
      <c r="A51" s="17" t="s">
        <v>105</v>
      </c>
      <c r="B51" s="17" t="s">
        <v>109</v>
      </c>
      <c r="C51" s="40">
        <v>45000</v>
      </c>
      <c r="D51" s="35"/>
      <c r="E51" s="46">
        <f>'Budget global détaillé'!K51</f>
        <v>0</v>
      </c>
      <c r="F51" s="26"/>
    </row>
    <row r="52" spans="1:6" x14ac:dyDescent="0.2">
      <c r="A52" s="17" t="s">
        <v>106</v>
      </c>
      <c r="B52" s="17" t="s">
        <v>110</v>
      </c>
      <c r="C52" s="40">
        <v>30000</v>
      </c>
      <c r="D52" s="35"/>
      <c r="E52" s="46">
        <f>'Budget global détaillé'!K52</f>
        <v>11009</v>
      </c>
      <c r="F52" s="26"/>
    </row>
    <row r="53" spans="1:6" ht="48" x14ac:dyDescent="0.2">
      <c r="A53" s="17" t="s">
        <v>107</v>
      </c>
      <c r="B53" s="17" t="s">
        <v>111</v>
      </c>
      <c r="C53" s="40">
        <v>30000</v>
      </c>
      <c r="D53" s="35"/>
      <c r="E53" s="48">
        <f>'Budget global détaillé'!K53</f>
        <v>0</v>
      </c>
      <c r="F53" s="26"/>
    </row>
    <row r="54" spans="1:6" x14ac:dyDescent="0.2">
      <c r="A54" s="65" t="s">
        <v>120</v>
      </c>
      <c r="B54" s="65"/>
      <c r="C54" s="34">
        <v>655743</v>
      </c>
      <c r="D54" s="37"/>
      <c r="E54" s="48">
        <f>'Budget global détaillé'!K54</f>
        <v>37826.122438400002</v>
      </c>
      <c r="F54" s="26"/>
    </row>
    <row r="55" spans="1:6" x14ac:dyDescent="0.2">
      <c r="A55" s="65" t="s">
        <v>121</v>
      </c>
      <c r="B55" s="65"/>
      <c r="C55" s="65"/>
      <c r="D55" s="65"/>
      <c r="E55" s="65"/>
      <c r="F55" s="65"/>
    </row>
    <row r="56" spans="1:6" ht="48" x14ac:dyDescent="0.2">
      <c r="A56" s="17" t="s">
        <v>50</v>
      </c>
      <c r="B56" s="52"/>
      <c r="C56" s="46">
        <v>522999</v>
      </c>
      <c r="D56" s="37"/>
      <c r="E56" s="46">
        <f>'Budget global détaillé'!K56</f>
        <v>348594</v>
      </c>
      <c r="F56" s="26"/>
    </row>
    <row r="57" spans="1:6" ht="48" x14ac:dyDescent="0.2">
      <c r="A57" s="17" t="s">
        <v>51</v>
      </c>
      <c r="B57" s="52"/>
      <c r="C57" s="46">
        <v>97528</v>
      </c>
      <c r="D57" s="37"/>
      <c r="E57" s="46">
        <f>'Budget global détaillé'!K57</f>
        <v>182795.75</v>
      </c>
      <c r="F57" s="26"/>
    </row>
    <row r="58" spans="1:6" x14ac:dyDescent="0.2">
      <c r="A58" s="17" t="s">
        <v>52</v>
      </c>
      <c r="B58" s="17" t="s">
        <v>0</v>
      </c>
      <c r="C58" s="35"/>
      <c r="D58" s="35"/>
      <c r="E58" s="46">
        <f>'Budget global détaillé'!K58</f>
        <v>11000</v>
      </c>
      <c r="F58" s="26"/>
    </row>
    <row r="59" spans="1:6" x14ac:dyDescent="0.2">
      <c r="A59" s="65" t="s">
        <v>125</v>
      </c>
      <c r="B59" s="65"/>
      <c r="C59" s="34">
        <v>620527</v>
      </c>
      <c r="D59" s="37"/>
      <c r="E59" s="48">
        <f>'Budget global détaillé'!K59</f>
        <v>542389.75</v>
      </c>
      <c r="F59" s="26"/>
    </row>
    <row r="60" spans="1:6" x14ac:dyDescent="0.2">
      <c r="A60" s="65" t="s">
        <v>122</v>
      </c>
      <c r="B60" s="65"/>
      <c r="C60" s="34">
        <v>2803736.6666666665</v>
      </c>
      <c r="D60" s="37"/>
      <c r="E60" s="48">
        <f>'Budget global détaillé'!K60</f>
        <v>1341307.6024384</v>
      </c>
      <c r="F60" s="26"/>
    </row>
    <row r="61" spans="1:6" x14ac:dyDescent="0.2">
      <c r="A61" s="66" t="s">
        <v>123</v>
      </c>
      <c r="B61" s="66"/>
      <c r="C61" s="34">
        <v>196263</v>
      </c>
      <c r="D61" s="35"/>
      <c r="E61" s="46">
        <f>'Budget global détaillé'!K61</f>
        <v>77922.1299</v>
      </c>
      <c r="F61" s="26"/>
    </row>
    <row r="62" spans="1:6" x14ac:dyDescent="0.2">
      <c r="A62" s="65" t="s">
        <v>124</v>
      </c>
      <c r="B62" s="65"/>
      <c r="C62" s="34">
        <v>2999999.6666666665</v>
      </c>
      <c r="D62" s="37"/>
      <c r="E62" s="48">
        <f>'Budget global détaillé'!K62</f>
        <v>1419229.7323384001</v>
      </c>
      <c r="F62" s="50"/>
    </row>
    <row r="63" spans="1:6" s="25" customFormat="1" x14ac:dyDescent="0.2">
      <c r="A63" s="63" t="s">
        <v>132</v>
      </c>
      <c r="B63" s="38"/>
      <c r="C63" s="38"/>
      <c r="D63" s="38"/>
      <c r="E63" s="39">
        <f>E62/C62*100</f>
        <v>47.307663001020337</v>
      </c>
      <c r="F63" s="38"/>
    </row>
  </sheetData>
  <mergeCells count="11">
    <mergeCell ref="A8:F8"/>
    <mergeCell ref="A22:F22"/>
    <mergeCell ref="A21:B21"/>
    <mergeCell ref="A36:B36"/>
    <mergeCell ref="A54:B54"/>
    <mergeCell ref="A37:F37"/>
    <mergeCell ref="A55:F55"/>
    <mergeCell ref="A59:B59"/>
    <mergeCell ref="A60:B60"/>
    <mergeCell ref="A61:B61"/>
    <mergeCell ref="A62:B6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activeCell="N12" sqref="N12"/>
    </sheetView>
  </sheetViews>
  <sheetFormatPr baseColWidth="10" defaultColWidth="8.83203125" defaultRowHeight="15" x14ac:dyDescent="0.2"/>
  <cols>
    <col min="1" max="1" width="15.5" customWidth="1"/>
  </cols>
  <sheetData>
    <row r="1" spans="1:10" ht="16" x14ac:dyDescent="0.2">
      <c r="A1" s="1" t="s">
        <v>53</v>
      </c>
      <c r="B1" s="1"/>
      <c r="C1" s="1"/>
      <c r="D1" s="1"/>
    </row>
    <row r="2" spans="1:10" x14ac:dyDescent="0.2">
      <c r="A2" s="7"/>
      <c r="B2" s="7"/>
      <c r="C2" s="7"/>
      <c r="D2" s="7"/>
    </row>
    <row r="3" spans="1:10" x14ac:dyDescent="0.2">
      <c r="A3" s="7" t="s">
        <v>54</v>
      </c>
      <c r="B3" s="7"/>
      <c r="C3" s="7"/>
      <c r="D3" s="7"/>
    </row>
    <row r="4" spans="1:10" ht="16" thickBot="1" x14ac:dyDescent="0.25"/>
    <row r="5" spans="1:10" ht="29" thickBot="1" x14ac:dyDescent="0.25">
      <c r="A5" s="69" t="s">
        <v>1</v>
      </c>
      <c r="B5" s="67" t="s">
        <v>55</v>
      </c>
      <c r="C5" s="68"/>
      <c r="D5" s="67" t="s">
        <v>56</v>
      </c>
      <c r="E5" s="68"/>
      <c r="F5" s="67" t="s">
        <v>56</v>
      </c>
      <c r="G5" s="68"/>
      <c r="H5" s="6" t="s">
        <v>5</v>
      </c>
      <c r="I5" s="6" t="s">
        <v>6</v>
      </c>
      <c r="J5" s="69" t="s">
        <v>57</v>
      </c>
    </row>
    <row r="6" spans="1:10" ht="29" thickBot="1" x14ac:dyDescent="0.25">
      <c r="A6" s="70"/>
      <c r="B6" s="2" t="s">
        <v>3</v>
      </c>
      <c r="C6" s="2" t="s">
        <v>4</v>
      </c>
      <c r="D6" s="2" t="s">
        <v>3</v>
      </c>
      <c r="E6" s="2" t="s">
        <v>4</v>
      </c>
      <c r="F6" s="2" t="s">
        <v>3</v>
      </c>
      <c r="G6" s="2" t="s">
        <v>4</v>
      </c>
      <c r="H6" s="2"/>
      <c r="I6" s="2"/>
      <c r="J6" s="70"/>
    </row>
    <row r="7" spans="1:10" ht="39" customHeight="1" thickBot="1" x14ac:dyDescent="0.25">
      <c r="A7" s="8" t="s">
        <v>58</v>
      </c>
      <c r="B7" s="3"/>
      <c r="C7" s="3"/>
      <c r="D7" s="3"/>
      <c r="E7" s="3"/>
      <c r="F7" s="3"/>
      <c r="G7" s="3"/>
      <c r="H7" s="3"/>
      <c r="I7" s="3"/>
      <c r="J7" s="3"/>
    </row>
    <row r="8" spans="1:10" ht="64.5" customHeight="1" thickBot="1" x14ac:dyDescent="0.25">
      <c r="A8" s="9" t="s">
        <v>59</v>
      </c>
      <c r="B8" s="3"/>
      <c r="C8" s="3"/>
      <c r="D8" s="4"/>
      <c r="E8" s="3"/>
      <c r="F8" s="3"/>
      <c r="G8" s="3"/>
      <c r="H8" s="3"/>
      <c r="I8" s="3"/>
      <c r="J8" s="3"/>
    </row>
    <row r="9" spans="1:10" ht="115.5" customHeight="1" thickBot="1" x14ac:dyDescent="0.25">
      <c r="A9" s="9" t="s">
        <v>60</v>
      </c>
      <c r="B9" s="3"/>
      <c r="C9" s="3"/>
      <c r="D9" s="3"/>
      <c r="E9" s="3"/>
      <c r="F9" s="3"/>
      <c r="G9" s="3"/>
      <c r="H9" s="3"/>
      <c r="I9" s="3"/>
      <c r="J9" s="3"/>
    </row>
    <row r="10" spans="1:10" ht="51.75" customHeight="1" thickBot="1" x14ac:dyDescent="0.25">
      <c r="A10" s="9" t="s">
        <v>61</v>
      </c>
      <c r="B10" s="3"/>
      <c r="C10" s="3"/>
      <c r="D10" s="3"/>
      <c r="E10" s="3"/>
      <c r="F10" s="3"/>
      <c r="G10" s="3"/>
      <c r="H10" s="3"/>
      <c r="I10" s="3"/>
      <c r="J10" s="3"/>
    </row>
    <row r="11" spans="1:10" ht="27" thickBot="1" x14ac:dyDescent="0.25">
      <c r="A11" s="9" t="s">
        <v>62</v>
      </c>
      <c r="B11" s="3"/>
      <c r="C11" s="3"/>
      <c r="D11" s="3"/>
      <c r="E11" s="3"/>
      <c r="F11" s="3"/>
      <c r="G11" s="3"/>
      <c r="H11" s="3"/>
      <c r="I11" s="3"/>
      <c r="J11" s="3"/>
    </row>
    <row r="12" spans="1:10" ht="77.25" customHeight="1" thickBot="1" x14ac:dyDescent="0.25">
      <c r="A12" s="9" t="s">
        <v>63</v>
      </c>
      <c r="B12" s="3"/>
      <c r="C12" s="3"/>
      <c r="D12" s="3"/>
      <c r="E12" s="3"/>
      <c r="F12" s="3"/>
      <c r="G12" s="3"/>
      <c r="H12" s="3"/>
      <c r="I12" s="3"/>
      <c r="J12" s="3"/>
    </row>
    <row r="13" spans="1:10" ht="64.5" customHeight="1" thickBot="1" x14ac:dyDescent="0.25">
      <c r="A13" s="9" t="s">
        <v>64</v>
      </c>
      <c r="B13" s="3"/>
      <c r="C13" s="3"/>
      <c r="D13" s="3"/>
      <c r="E13" s="3"/>
      <c r="F13" s="3"/>
      <c r="G13" s="3"/>
      <c r="H13" s="3"/>
      <c r="I13" s="3"/>
      <c r="J13" s="3"/>
    </row>
    <row r="14" spans="1:10" ht="39" customHeight="1" thickBot="1" x14ac:dyDescent="0.25">
      <c r="A14" s="10" t="s">
        <v>65</v>
      </c>
      <c r="B14" s="5"/>
      <c r="C14" s="5"/>
      <c r="D14" s="5"/>
      <c r="E14" s="5"/>
      <c r="F14" s="5"/>
      <c r="G14" s="5"/>
      <c r="H14" s="5"/>
      <c r="I14" s="5"/>
      <c r="J14" s="5"/>
    </row>
    <row r="15" spans="1:10" ht="16" thickBot="1" x14ac:dyDescent="0.25">
      <c r="A15" s="9" t="s">
        <v>66</v>
      </c>
      <c r="B15" s="3"/>
      <c r="C15" s="3"/>
      <c r="D15" s="3"/>
      <c r="E15" s="3"/>
      <c r="F15" s="3"/>
      <c r="G15" s="3"/>
      <c r="H15" s="3"/>
      <c r="I15" s="3"/>
      <c r="J15" s="3"/>
    </row>
    <row r="16" spans="1:10" ht="16" thickBot="1" x14ac:dyDescent="0.25">
      <c r="A16" s="10" t="s">
        <v>2</v>
      </c>
      <c r="B16" s="5"/>
      <c r="C16" s="5"/>
      <c r="D16" s="5"/>
      <c r="E16" s="5"/>
      <c r="F16" s="5"/>
      <c r="G16" s="5"/>
      <c r="H16" s="5"/>
      <c r="I16" s="5"/>
      <c r="J16" s="5"/>
    </row>
  </sheetData>
  <mergeCells count="5">
    <mergeCell ref="F5:G5"/>
    <mergeCell ref="J5:J6"/>
    <mergeCell ref="A5:A6"/>
    <mergeCell ref="B5:C5"/>
    <mergeCell ref="D5:E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Budget global détaillé</vt:lpstr>
      <vt:lpstr>Budget global synthèse</vt:lpstr>
      <vt:lpstr>Sheet2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Nombre Issaka</cp:lastModifiedBy>
  <cp:lastPrinted>2017-12-11T22:51:21Z</cp:lastPrinted>
  <dcterms:created xsi:type="dcterms:W3CDTF">2017-11-15T21:17:43Z</dcterms:created>
  <dcterms:modified xsi:type="dcterms:W3CDTF">2018-11-17T10:13:44Z</dcterms:modified>
</cp:coreProperties>
</file>