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nombreissaka/Documents/Dossier PNUD/Dossier _Burkina/Dossier _PBSO/Dossier _conjoint/Rapport PBF/Rapport semestriel 2019/"/>
    </mc:Choice>
  </mc:AlternateContent>
  <bookViews>
    <workbookView xWindow="0" yWindow="460" windowWidth="25600" windowHeight="14580" activeTab="1"/>
  </bookViews>
  <sheets>
    <sheet name="Budget global détaillé" sheetId="1" r:id="rId1"/>
    <sheet name="Budget global synthèse" sheetId="3" r:id="rId2"/>
  </sheets>
  <externalReferences>
    <externalReference r:id="rId3"/>
  </externalReferenc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64" i="1" l="1"/>
  <c r="H68" i="1"/>
  <c r="K24" i="1"/>
  <c r="K25" i="1"/>
  <c r="I58" i="1"/>
  <c r="I60" i="1"/>
  <c r="I61" i="1"/>
  <c r="I63" i="1"/>
  <c r="H57" i="1"/>
  <c r="H23" i="1"/>
  <c r="H29" i="1"/>
  <c r="H27" i="1"/>
  <c r="H36" i="1"/>
  <c r="H60" i="1"/>
  <c r="H61" i="1"/>
  <c r="H63" i="1"/>
  <c r="H66" i="1"/>
  <c r="H46" i="1"/>
  <c r="H54" i="1"/>
  <c r="H21" i="1"/>
  <c r="H14" i="1"/>
  <c r="H50" i="1"/>
  <c r="H17" i="1"/>
  <c r="H13" i="1"/>
  <c r="H56" i="1"/>
  <c r="H25" i="1"/>
  <c r="P15" i="1"/>
  <c r="P14" i="1"/>
  <c r="N14" i="1"/>
  <c r="J9" i="1"/>
  <c r="J21" i="1"/>
  <c r="J61" i="1"/>
  <c r="J60" i="1"/>
  <c r="J54" i="1"/>
  <c r="J50" i="1"/>
  <c r="J46" i="1"/>
  <c r="J42" i="1"/>
  <c r="J38" i="1"/>
  <c r="J36" i="1"/>
  <c r="J32" i="1"/>
  <c r="J27" i="1"/>
  <c r="J23" i="1"/>
  <c r="J17" i="1"/>
  <c r="J13" i="1"/>
  <c r="I41" i="1"/>
  <c r="I40" i="1"/>
  <c r="I38" i="1"/>
  <c r="I43" i="1"/>
  <c r="I42" i="1"/>
  <c r="I46" i="1"/>
  <c r="I50" i="1"/>
  <c r="I54" i="1"/>
  <c r="I18" i="1"/>
  <c r="I17" i="1"/>
  <c r="I14" i="1"/>
  <c r="I15" i="1"/>
  <c r="I16" i="1"/>
  <c r="I13" i="1"/>
  <c r="I9" i="1"/>
  <c r="I21" i="1"/>
  <c r="I56" i="1"/>
  <c r="I24" i="1"/>
  <c r="I23" i="1"/>
  <c r="I28" i="1"/>
  <c r="I30" i="1"/>
  <c r="I31" i="1"/>
  <c r="I27" i="1"/>
  <c r="I36" i="1"/>
  <c r="J63" i="1"/>
  <c r="H9" i="1"/>
  <c r="K63" i="1"/>
  <c r="E62" i="3"/>
  <c r="E63" i="3"/>
  <c r="K57" i="1"/>
  <c r="E57" i="3"/>
  <c r="K58" i="1"/>
  <c r="E58" i="3"/>
  <c r="K60" i="1"/>
  <c r="E59" i="3"/>
  <c r="K61" i="1"/>
  <c r="E60" i="3"/>
  <c r="K62" i="1"/>
  <c r="E61" i="3"/>
  <c r="K56" i="1"/>
  <c r="E56" i="3"/>
  <c r="K39" i="1"/>
  <c r="E39" i="3"/>
  <c r="K40" i="1"/>
  <c r="E40" i="3"/>
  <c r="K41" i="1"/>
  <c r="E41" i="3"/>
  <c r="K42" i="1"/>
  <c r="E42" i="3"/>
  <c r="K43" i="1"/>
  <c r="E43" i="3"/>
  <c r="K44" i="1"/>
  <c r="E44" i="3"/>
  <c r="K45" i="1"/>
  <c r="E45" i="3"/>
  <c r="K46" i="1"/>
  <c r="E46" i="3"/>
  <c r="K47" i="1"/>
  <c r="E47" i="3"/>
  <c r="K48" i="1"/>
  <c r="E48" i="3"/>
  <c r="K49" i="1"/>
  <c r="E49" i="3"/>
  <c r="K50" i="1"/>
  <c r="E50" i="3"/>
  <c r="K51" i="1"/>
  <c r="E51" i="3"/>
  <c r="K52" i="1"/>
  <c r="E52" i="3"/>
  <c r="K53" i="1"/>
  <c r="E53" i="3"/>
  <c r="K54" i="1"/>
  <c r="E54" i="3"/>
  <c r="K38" i="1"/>
  <c r="E38" i="3"/>
  <c r="E24" i="3"/>
  <c r="E25" i="3"/>
  <c r="K26" i="1"/>
  <c r="E26" i="3"/>
  <c r="K27" i="1"/>
  <c r="E27" i="3"/>
  <c r="K28" i="1"/>
  <c r="E28" i="3"/>
  <c r="K29" i="1"/>
  <c r="E29" i="3"/>
  <c r="K30" i="1"/>
  <c r="E30" i="3"/>
  <c r="K31" i="1"/>
  <c r="E31" i="3"/>
  <c r="K32" i="1"/>
  <c r="E32" i="3"/>
  <c r="K33" i="1"/>
  <c r="E33" i="3"/>
  <c r="K34" i="1"/>
  <c r="E34" i="3"/>
  <c r="K35" i="1"/>
  <c r="E35" i="3"/>
  <c r="K36" i="1"/>
  <c r="E36" i="3"/>
  <c r="K23" i="1"/>
  <c r="E23" i="3"/>
  <c r="K13" i="1"/>
  <c r="E13" i="3"/>
  <c r="K14" i="1"/>
  <c r="E14" i="3"/>
  <c r="K15" i="1"/>
  <c r="E15" i="3"/>
  <c r="K16" i="1"/>
  <c r="E16" i="3"/>
  <c r="K17" i="1"/>
  <c r="E17" i="3"/>
  <c r="K18" i="1"/>
  <c r="E18" i="3"/>
  <c r="K19" i="1"/>
  <c r="E19" i="3"/>
  <c r="K20" i="1"/>
  <c r="E20" i="3"/>
  <c r="K21" i="1"/>
  <c r="E21" i="3"/>
  <c r="K10" i="1"/>
  <c r="E10" i="3"/>
  <c r="K11" i="1"/>
  <c r="E11" i="3"/>
  <c r="K12" i="1"/>
  <c r="E12" i="3"/>
  <c r="K9" i="1"/>
  <c r="E9" i="3"/>
  <c r="C9" i="1"/>
  <c r="C14" i="1"/>
  <c r="C13" i="1"/>
  <c r="C18" i="1"/>
  <c r="C19" i="1"/>
  <c r="C17" i="1"/>
  <c r="C21" i="1"/>
  <c r="C23" i="1"/>
  <c r="C29" i="1"/>
  <c r="C31" i="1"/>
  <c r="C27" i="1"/>
  <c r="C32" i="1"/>
  <c r="C36" i="1"/>
  <c r="C38" i="1"/>
  <c r="C42" i="1"/>
  <c r="C46" i="1"/>
  <c r="C50" i="1"/>
  <c r="C54" i="1"/>
  <c r="C56" i="1"/>
  <c r="C60" i="1"/>
  <c r="C61" i="1"/>
  <c r="C63" i="1"/>
  <c r="D9" i="1"/>
  <c r="D13" i="1"/>
  <c r="D17" i="1"/>
  <c r="D21" i="1"/>
  <c r="D23" i="1"/>
  <c r="D27" i="1"/>
  <c r="D32" i="1"/>
  <c r="D36" i="1"/>
  <c r="D38" i="1"/>
  <c r="D42" i="1"/>
  <c r="D46" i="1"/>
  <c r="D50" i="1"/>
  <c r="D54" i="1"/>
  <c r="D56" i="1"/>
  <c r="D60" i="1"/>
  <c r="D61" i="1"/>
  <c r="D63" i="1"/>
  <c r="E11" i="1"/>
  <c r="E9" i="1"/>
  <c r="E13" i="1"/>
  <c r="E17" i="1"/>
  <c r="E21" i="1"/>
  <c r="E23" i="1"/>
  <c r="E27" i="1"/>
  <c r="E32" i="1"/>
  <c r="E36" i="1"/>
  <c r="E40" i="1"/>
  <c r="E41" i="1"/>
  <c r="E38" i="1"/>
  <c r="E45" i="1"/>
  <c r="E42" i="1"/>
  <c r="E47" i="1"/>
  <c r="E46" i="1"/>
  <c r="E50" i="1"/>
  <c r="E54" i="1"/>
  <c r="E56" i="1"/>
  <c r="E60" i="1"/>
  <c r="E61" i="1"/>
  <c r="E63" i="1"/>
  <c r="F63" i="1"/>
  <c r="F61" i="1"/>
  <c r="F62" i="1"/>
  <c r="F60" i="1"/>
  <c r="F57" i="1"/>
  <c r="F56" i="1"/>
  <c r="F54" i="1"/>
  <c r="F52" i="1"/>
  <c r="F53" i="1"/>
  <c r="F51" i="1"/>
  <c r="F50" i="1"/>
  <c r="F48" i="1"/>
  <c r="F49" i="1"/>
  <c r="F47" i="1"/>
  <c r="F46" i="1"/>
  <c r="F44" i="1"/>
  <c r="F45" i="1"/>
  <c r="F43" i="1"/>
  <c r="F42" i="1"/>
  <c r="F40" i="1"/>
  <c r="F41" i="1"/>
  <c r="F39" i="1"/>
  <c r="F38" i="1"/>
  <c r="F36" i="1"/>
  <c r="F34" i="1"/>
  <c r="F35" i="1"/>
  <c r="F33" i="1"/>
  <c r="F32" i="1"/>
  <c r="F29" i="1"/>
  <c r="F30" i="1"/>
  <c r="F31" i="1"/>
  <c r="F28" i="1"/>
  <c r="F27" i="1"/>
  <c r="F25" i="1"/>
  <c r="F26" i="1"/>
  <c r="F24" i="1"/>
  <c r="F23" i="1"/>
  <c r="F21" i="1"/>
  <c r="F19" i="1"/>
  <c r="F18" i="1"/>
  <c r="F17" i="1"/>
  <c r="F15" i="1"/>
  <c r="F16" i="1"/>
  <c r="F14" i="1"/>
  <c r="F13" i="1"/>
  <c r="F11" i="1"/>
  <c r="F12" i="1"/>
  <c r="F10" i="1"/>
  <c r="F9" i="1"/>
  <c r="K64" i="1"/>
  <c r="I64" i="1"/>
  <c r="J64" i="1"/>
  <c r="K55" i="1"/>
  <c r="K37" i="1"/>
  <c r="K22" i="1"/>
  <c r="N12" i="1"/>
</calcChain>
</file>

<file path=xl/sharedStrings.xml><?xml version="1.0" encoding="utf-8"?>
<sst xmlns="http://schemas.openxmlformats.org/spreadsheetml/2006/main" count="219" uniqueCount="115">
  <si>
    <t xml:space="preserve"> </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</si>
  <si>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</si>
  <si>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</si>
  <si>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</si>
  <si>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</si>
  <si>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</si>
  <si>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</si>
  <si>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</si>
  <si>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</si>
  <si>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</si>
  <si>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</si>
  <si>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</si>
  <si>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</si>
  <si>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</si>
  <si>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Produit 3.1:</t>
  </si>
  <si>
    <t>Produit 3.2:</t>
  </si>
  <si>
    <t>Produit 3.3:</t>
  </si>
  <si>
    <t>Activite 1.1.1:</t>
  </si>
  <si>
    <t>Activite 1.1.2:</t>
  </si>
  <si>
    <t>Activite 1.1.3:</t>
  </si>
  <si>
    <t>Activite 1.2.1:</t>
  </si>
  <si>
    <t>Activite 1.2.2:</t>
  </si>
  <si>
    <t>Activite 1.2.3:</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</si>
  <si>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</si>
  <si>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</si>
  <si>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</si>
  <si>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</si>
  <si>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</si>
  <si>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</si>
  <si>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</si>
  <si>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</si>
  <si>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</si>
  <si>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</si>
  <si>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</si>
  <si>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</si>
  <si>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</si>
  <si>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</si>
  <si>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</si>
  <si>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Activite 3.2.1:</t>
  </si>
  <si>
    <t>Activite 3.2.2:</t>
  </si>
  <si>
    <t>Activite 3.2.3:</t>
  </si>
  <si>
    <t>Activite 3.3.1:</t>
  </si>
  <si>
    <t>Activite 3.3.2:</t>
  </si>
  <si>
    <t>Activite 3.3.3:</t>
  </si>
  <si>
    <t>Cout de personnel du projet si pas inclus dans les activites si-dessus</t>
  </si>
  <si>
    <t>Couts operationnels si pas inclus dans les activites si-dessus</t>
  </si>
  <si>
    <t>Budget S&amp;E du projet</t>
  </si>
  <si>
    <t xml:space="preserve">Resultat 1:  Les jeunes et les femmes, notamment ceux qui se sentent marginalisés sont de plus en plus impliqués dans les processus de prise
 de décision, adoptent des comportements civiques et entreprennent des activités génératrices de revenus
</t>
  </si>
  <si>
    <t>Les centres multifonctionnels d’activités socio-économiques/ Cellule d’appui conseils pour les jeunes filles et garçons sont créés et/ou renforcés et fonctionnels.</t>
  </si>
  <si>
    <t>Réaliser un diagnostic des infrastructures existantes, des opportunités en formation et cartographie des acteurs associatifs sur la zone cible</t>
  </si>
  <si>
    <t xml:space="preserve">Renforcer les capacités (en personnel, matériel, réhabilitation d’infrastructures, gestion de centre de jeunes, activités sociales…) de 3 centres multifonctionnels. </t>
  </si>
  <si>
    <t>Renforcer l'employabilité et l'entrepreunariat de 150 jeunes hommes et femmes dans chacun des trois pays à travers la consolidation des initiaitives de 50 jeunes (20 femmes et 30 hommes) déjà installés (équipement, perfectionnement, mise en relation avec les institutions financières),  l'appui à l'installation de 50 jeunes (20 femmes, 30 hommes) déjà formés au métier (équipement, recyclage, encadrement, mise en relation avec les institutions financières), la formation et l'équipement de 50 jeunes (25 femmes, 25 hommes) à divers métiers</t>
  </si>
  <si>
    <t xml:space="preserve">Les mécanismes transfrontaliers de sensibilisation à l’engagement civique et social sont renforcés    </t>
  </si>
  <si>
    <t>Développer et mettre en œuvre un plan de communication et de sensibilisation à la résolution des conflits et à la consolidation de la paix</t>
  </si>
  <si>
    <t>Identifier et renforcer les capacités de 6 associations et structures de jeunes (2 par pays) et de femmes existantes et actives dans le domaine de la résolution des conflits et/ou de la consolidation de la paix</t>
  </si>
  <si>
    <t>Conduire 03 campagnes de sensibilisation par pays dans les radios communautaires et zones de rencontres transfrontalières sur l’engagement civique, la paix et la sécurité.</t>
  </si>
  <si>
    <t>Les jeunes filles et garçons sont impliqués dans les processus de prise des décisions dans leurs communautés</t>
  </si>
  <si>
    <t>Organiser 02 ateliers  de dialogue par pays entre jeunes et autorités locales et coutumières sur les défis liés à la marginalisation socio-politique et la sécurité et mettre en œuvre des recommandation</t>
  </si>
  <si>
    <t>Appuyer la mise en place d’une cellule de veille et d’alerte précoce par les jeunes (une cellule par pays)</t>
  </si>
  <si>
    <t>Resultat 2: La sécurité communautaire dans les zones frontalières des trois pays est renforcée à travers la collaboration entre les FDS et les autorités administratives et locales, entre les FDS et les populations et entre les populations frontalières</t>
  </si>
  <si>
    <t>Des réunions de coopération et de coordination entre les FDS et les autorités administratives et locales des trois pays sont organisées</t>
  </si>
  <si>
    <t>Organiser trois réunions tripartites (01 par pays) de concertation et de coordination durant les 18 mois entre les autorités administratives et les FDS sur l’échange de bonnes pratiques sur la gestion des risques liés aux menaces sécuritaires émergentes</t>
  </si>
  <si>
    <t>Organiser trois réunions des municipalités frontalières des trois pays (01 réunion par pays).</t>
  </si>
  <si>
    <t>Organiser une session de formation conjointe sur des thématiques en lien avec la gestion des frontières au profit des FDS.</t>
  </si>
  <si>
    <t>La collaboration est instaurée entre les FDS et les populations civiles à travers des activités de masse et des campagnes de sensibilisation</t>
  </si>
  <si>
    <t>Organiser trois travaux d’intérêt communautaire (assainissement et réhabilitations) impliquant les FDS et les populations dans chaque pays.</t>
  </si>
  <si>
    <t>Organiser trois activités bilatérales (transfrontalières) socio-sportives entre FDS et populations</t>
  </si>
  <si>
    <t>Former des acteurs des radios communautaire à la production de message favorable à la paix, la sécurité et la cohésion sociale</t>
  </si>
  <si>
    <t>Les capacités des communautés sont renforcées à travers des formations sur la paix et la sécurité, des comités locaux d’alerte précoces et de consolidation de la paix sont mis en place et fonctionnels</t>
  </si>
  <si>
    <t>Organiser à l’intention des leaders communautaires et OSC  trois ateliers sur la vulgarisation des textes régissant la coopération transfrontalière entre les trois Etats</t>
  </si>
  <si>
    <t>Organiser deux tribunes citoyennes des acteurs dans chaque pays (maires leaders communautaires et religieux, les OSC, services techniques déconcentrés,)</t>
  </si>
  <si>
    <t>Mettre en place et renforcement les capacités de comités locaux d’alerte précoce et de la consolidation de la paix</t>
  </si>
  <si>
    <t>Resultat 3:Les conflits entre communautés transfrontalières liés à la transhumance sont réduits par une meilleure gestion des ressources naturelles</t>
  </si>
  <si>
    <t>Les couloirs de transhumance sont créés et viabilisés.</t>
  </si>
  <si>
    <t>Réaliser une étude de faisabilité, d’identification et de traçage des couloirs de transhumance (par pays)</t>
  </si>
  <si>
    <t xml:space="preserve">Réaliser le balisage des couloirs de transhumance et des infrastructures de viabilisation dans les trois pays (6 points d’eau ; 6 parcs de vaccination ; 3 aires de repos ; 3 zones pastorales de 10 ha scarifiées) </t>
  </si>
  <si>
    <t>Créer douze comités locaux mixtes de gestion des infrastructures réalisées/réhabilitées (04 par pays)</t>
  </si>
  <si>
    <t>Les acteurs sont formés et informés sur les règlementations et coutumes relatives à la gestion des ressources naturelles</t>
  </si>
  <si>
    <t>Organiser six sessions (100 participants par session) de vulgarisation des textes relatifs à la transhumance en langues locales dans les trois pays</t>
  </si>
  <si>
    <t>Réaliser six sessions  de formation aux acteurs (50 participants par session) identifiés sur les règlementations et coutumes relatives à la transhumance</t>
  </si>
  <si>
    <t>Réaliser six campagnes de sensibilisation relative à la transhumance dans la zone transfrontalière à travers plusieurs méthodologies (focus groupes ; radios communautaires ; sensibilisation de masse ; boites à images)</t>
  </si>
  <si>
    <t>Un mécanisme de gestion des conflits transfrontaliers liés à la transhumance et au vol de bétail est renforcé</t>
  </si>
  <si>
    <t>Créer et renforcer des cadres de concertation existants des acteurs impliqués dans la transhumance</t>
  </si>
  <si>
    <t xml:space="preserve">Elaborer dans chaque pays une stratégie sur la gestion des conflits liés à la transhumance et au vol de bétail </t>
  </si>
  <si>
    <t>Produit 3.4:</t>
  </si>
  <si>
    <t>Activite 3.4.1:</t>
  </si>
  <si>
    <t>Activite 3.4.2:</t>
  </si>
  <si>
    <t>Activite 3.4.3:</t>
  </si>
  <si>
    <t>Les échanges culturels et économiques entre communautés concernées dans la zone transfrontalière sont promus</t>
  </si>
  <si>
    <t>Organiser et  redynamiser les marchés transfrontaliers</t>
  </si>
  <si>
    <t>Organiser une caravane de la paix dans chaque pays</t>
  </si>
  <si>
    <t xml:space="preserve">Accompagner dans chaque pays, l'organisation d'une activité culturelle à caractère transfrontalier (regroupant les communautés des trois pays) </t>
  </si>
  <si>
    <t>Activite 2.2.4:</t>
  </si>
  <si>
    <t>Organiser des ateliers conjoints de formation FDS / populations réfugiées et déplacées dans les principaux sites d’accueil (deux au Burkina, un au Niger) sur le droit international des réfugiés, la facilitation du rapatriement et le respect des lois dans les pays d’accueil.</t>
  </si>
  <si>
    <t xml:space="preserve">Organiser une rencontre d’échange ou un forum entre les éleveurs/transhumants sur les questions liées à la transhumance et au vol de bétail </t>
  </si>
  <si>
    <t>Budget Burkina</t>
  </si>
  <si>
    <t>Budget Mali</t>
  </si>
  <si>
    <t>Budget Niger</t>
  </si>
  <si>
    <t xml:space="preserve">TOTAL $ pour Resultat 1: 752 967   </t>
  </si>
  <si>
    <t xml:space="preserve">TOTAL $ pour Resultat 2: 774 500   </t>
  </si>
  <si>
    <t xml:space="preserve">TOTAL $ pour Resultat 3: 655 743   </t>
  </si>
  <si>
    <t>Gestion du projet</t>
  </si>
  <si>
    <t xml:space="preserve">SOUS TOTAL DU BUDGET DE PROJET: 2 803 737   </t>
  </si>
  <si>
    <t xml:space="preserve">Couts indirects (7%):  196 263   </t>
  </si>
  <si>
    <t>BUDGET TOTAL DU PROJET: 3 000 000</t>
  </si>
  <si>
    <t xml:space="preserve">TOTAL $ pour gestion: </t>
  </si>
  <si>
    <t>Niveau de depense/ engagement actuel en USD (a remplir au moment des rapports de projet) NIGER</t>
  </si>
  <si>
    <t>Niveau de depense/ engagement actuel en USD (a remplir au moment des rapports de projet) MALI</t>
  </si>
  <si>
    <t>Niveau de depense/ engagement actuel en USD (a remplir au moment des rapports de projet) BURKINA</t>
  </si>
  <si>
    <t>Niveau de depense/ engagement actuel en USD (a remplir au moment des rapports de projet) Global</t>
  </si>
  <si>
    <t>Budget global projet</t>
  </si>
  <si>
    <t>Taux de delivery (%)</t>
  </si>
  <si>
    <t>Taux de delivery théorique (%)</t>
  </si>
  <si>
    <t>Gestion locale du projet</t>
  </si>
  <si>
    <t xml:space="preserve">Unité de Gestion du Projet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</si>
</sst>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0"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u/>
      <sz val="11"/>
      <color theme="10"/>
      <name val="Calibri"/>
      <family val="2"/>
      <scheme val="minor"/>
    </font>
    <font>
      <u/>
      <sz val="11"/>
      <color theme="11"/>
      <name val="Calibri"/>
      <family val="2"/>
      <scheme val="minor"/>
    </font>
    <font>
      <b/>
      <sz val="12"/>
      <color rgb="FFFF0000"/>
      <name val="Times New Roman"/>
      <family val="1"/>
    </font>
    <font>
      <sz val="12"/>
      <name val="Times New Roman"/>
      <family val="1"/>
    </font>
    <font>
      <sz val="12"/>
      <color rgb="FFFF0000"/>
      <name val="Times New Roman"/>
      <family val="1"/>
    </font>
    <font>
      <sz val="14"/>
      <color theme="1"/>
      <name val="Arial Narrow"/>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s>
  <cellStyleXfs count="13">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8">
    <xf numFmtId="0" fontId="0" fillId="0" borderId="0" xfId="0"/>
    <xf numFmtId="164" fontId="2" fillId="0" borderId="1" xfId="0" applyNumberFormat="1" applyFont="1" applyBorder="1" applyAlignment="1">
      <alignment vertical="center" wrapText="1"/>
    </xf>
    <xf numFmtId="164" fontId="2" fillId="0" borderId="1" xfId="1" applyNumberFormat="1" applyFont="1" applyBorder="1" applyAlignment="1">
      <alignment vertical="center" wrapText="1"/>
    </xf>
    <xf numFmtId="164" fontId="1" fillId="0" borderId="1" xfId="1" applyNumberFormat="1" applyFont="1" applyBorder="1" applyAlignment="1">
      <alignment vertical="center" wrapText="1"/>
    </xf>
    <xf numFmtId="3" fontId="1" fillId="0" borderId="1" xfId="0" applyNumberFormat="1" applyFont="1" applyBorder="1" applyAlignment="1">
      <alignment vertical="center" wrapText="1"/>
    </xf>
    <xf numFmtId="164" fontId="2" fillId="0" borderId="1" xfId="1" applyNumberFormat="1" applyFont="1" applyBorder="1"/>
    <xf numFmtId="0" fontId="2" fillId="0" borderId="1" xfId="0" applyFont="1" applyBorder="1" applyAlignment="1">
      <alignment vertical="center" wrapText="1"/>
    </xf>
    <xf numFmtId="0" fontId="1" fillId="0" borderId="1" xfId="0" applyFont="1" applyBorder="1" applyAlignment="1">
      <alignment vertical="center" wrapText="1"/>
    </xf>
    <xf numFmtId="164" fontId="2" fillId="3" borderId="1" xfId="0" applyNumberFormat="1" applyFont="1" applyFill="1" applyBorder="1" applyAlignment="1">
      <alignment vertical="center" wrapText="1"/>
    </xf>
    <xf numFmtId="164" fontId="2" fillId="3" borderId="1" xfId="1" applyNumberFormat="1" applyFont="1" applyFill="1" applyBorder="1" applyAlignment="1">
      <alignment vertical="center" wrapText="1"/>
    </xf>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0" xfId="0" applyFont="1"/>
    <xf numFmtId="0" fontId="1" fillId="0" borderId="0" xfId="0" applyFont="1"/>
    <xf numFmtId="0" fontId="1" fillId="3" borderId="0" xfId="0" applyFont="1" applyFill="1"/>
    <xf numFmtId="0" fontId="1" fillId="0" borderId="0" xfId="0" applyFont="1" applyFill="1"/>
    <xf numFmtId="0" fontId="1" fillId="0" borderId="1" xfId="0" applyFont="1" applyBorder="1"/>
    <xf numFmtId="3"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center" vertical="center"/>
    </xf>
    <xf numFmtId="164" fontId="1" fillId="0" borderId="0" xfId="0" applyNumberFormat="1" applyFont="1"/>
    <xf numFmtId="164" fontId="1" fillId="3" borderId="1" xfId="0" applyNumberFormat="1" applyFont="1" applyFill="1" applyBorder="1" applyAlignment="1">
      <alignment horizontal="center" vertical="center"/>
    </xf>
    <xf numFmtId="164" fontId="2" fillId="0" borderId="1" xfId="0" applyNumberFormat="1" applyFont="1" applyBorder="1"/>
    <xf numFmtId="164" fontId="1" fillId="0" borderId="1" xfId="1" applyNumberFormat="1" applyFont="1" applyBorder="1"/>
    <xf numFmtId="164" fontId="1" fillId="0" borderId="1" xfId="0" applyNumberFormat="1" applyFont="1" applyBorder="1"/>
    <xf numFmtId="164" fontId="2" fillId="0" borderId="1" xfId="0" applyNumberFormat="1" applyFont="1" applyFill="1" applyBorder="1" applyAlignment="1">
      <alignment vertical="center" wrapText="1"/>
    </xf>
    <xf numFmtId="0" fontId="1" fillId="0" borderId="1" xfId="0" applyFont="1" applyFill="1" applyBorder="1" applyAlignment="1">
      <alignment vertical="center" wrapText="1"/>
    </xf>
    <xf numFmtId="164" fontId="2" fillId="0" borderId="1" xfId="1" applyNumberFormat="1" applyFont="1" applyFill="1" applyBorder="1" applyAlignment="1">
      <alignment vertical="center" wrapText="1"/>
    </xf>
    <xf numFmtId="0" fontId="2" fillId="0" borderId="1" xfId="0" applyFont="1" applyFill="1" applyBorder="1" applyAlignment="1">
      <alignment vertical="center" wrapText="1"/>
    </xf>
    <xf numFmtId="0" fontId="1" fillId="3" borderId="1" xfId="0" applyFont="1" applyFill="1" applyBorder="1"/>
    <xf numFmtId="43" fontId="2" fillId="3" borderId="1" xfId="1" applyFont="1" applyFill="1" applyBorder="1"/>
    <xf numFmtId="164" fontId="1" fillId="0" borderId="1" xfId="1" applyNumberFormat="1" applyFont="1" applyFill="1" applyBorder="1" applyAlignment="1">
      <alignment horizontal="center" vertical="center"/>
    </xf>
    <xf numFmtId="164" fontId="1" fillId="3" borderId="1" xfId="1"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0" borderId="1" xfId="1" applyNumberFormat="1" applyFont="1" applyFill="1" applyBorder="1" applyAlignment="1">
      <alignment vertical="center" wrapText="1"/>
    </xf>
    <xf numFmtId="164" fontId="1" fillId="3" borderId="1" xfId="1" applyNumberFormat="1" applyFont="1" applyFill="1" applyBorder="1" applyAlignment="1">
      <alignment vertical="center" wrapText="1"/>
    </xf>
    <xf numFmtId="164" fontId="1" fillId="0" borderId="1" xfId="1" applyNumberFormat="1" applyFont="1" applyFill="1" applyBorder="1" applyAlignment="1"/>
    <xf numFmtId="164" fontId="1" fillId="0" borderId="1" xfId="1" applyNumberFormat="1" applyFont="1" applyFill="1" applyBorder="1"/>
    <xf numFmtId="164" fontId="1" fillId="3" borderId="1" xfId="1" applyNumberFormat="1" applyFont="1" applyFill="1" applyBorder="1"/>
    <xf numFmtId="164" fontId="2" fillId="0" borderId="1" xfId="1" applyNumberFormat="1" applyFont="1" applyFill="1" applyBorder="1"/>
    <xf numFmtId="164" fontId="2" fillId="3" borderId="1" xfId="1" applyNumberFormat="1" applyFont="1" applyFill="1" applyBorder="1"/>
    <xf numFmtId="0" fontId="1" fillId="0" borderId="1" xfId="0" applyFont="1" applyBorder="1" applyAlignment="1">
      <alignment wrapText="1"/>
    </xf>
    <xf numFmtId="43" fontId="1" fillId="3" borderId="1" xfId="1" applyFont="1" applyFill="1" applyBorder="1"/>
    <xf numFmtId="0" fontId="2" fillId="0" borderId="1" xfId="0" applyFont="1" applyBorder="1" applyAlignment="1">
      <alignment vertical="center" wrapText="1"/>
    </xf>
    <xf numFmtId="0" fontId="2" fillId="3" borderId="1" xfId="0" applyFont="1" applyFill="1" applyBorder="1"/>
    <xf numFmtId="0" fontId="1" fillId="0" borderId="2" xfId="0" applyFont="1" applyBorder="1" applyAlignment="1">
      <alignment vertical="center" wrapText="1"/>
    </xf>
    <xf numFmtId="0" fontId="1" fillId="0" borderId="3" xfId="0" applyFont="1" applyBorder="1" applyAlignment="1">
      <alignment vertical="center" wrapText="1"/>
    </xf>
    <xf numFmtId="164" fontId="6" fillId="0" borderId="1" xfId="1" applyNumberFormat="1" applyFont="1" applyBorder="1" applyAlignment="1">
      <alignment vertical="center" wrapText="1"/>
    </xf>
    <xf numFmtId="0" fontId="2" fillId="0" borderId="1" xfId="0" applyFont="1" applyBorder="1"/>
    <xf numFmtId="0" fontId="2" fillId="0" borderId="1" xfId="0" applyFont="1" applyBorder="1" applyAlignment="1">
      <alignment vertical="center" wrapText="1"/>
    </xf>
    <xf numFmtId="3" fontId="2" fillId="0" borderId="1" xfId="0" applyNumberFormat="1" applyFont="1" applyBorder="1"/>
    <xf numFmtId="164" fontId="2" fillId="0" borderId="1" xfId="1" applyNumberFormat="1" applyFont="1" applyBorder="1" applyAlignment="1">
      <alignment vertical="center"/>
    </xf>
    <xf numFmtId="0" fontId="1" fillId="0" borderId="4" xfId="0" applyFont="1" applyBorder="1"/>
    <xf numFmtId="164" fontId="2" fillId="0" borderId="4" xfId="1" applyNumberFormat="1" applyFont="1" applyBorder="1"/>
    <xf numFmtId="164" fontId="1" fillId="0" borderId="4" xfId="1" applyNumberFormat="1" applyFont="1" applyBorder="1" applyAlignment="1">
      <alignment vertical="center" wrapText="1"/>
    </xf>
    <xf numFmtId="164" fontId="2" fillId="0" borderId="5" xfId="1" applyNumberFormat="1" applyFont="1" applyBorder="1"/>
    <xf numFmtId="164" fontId="2" fillId="0" borderId="4" xfId="0" applyNumberFormat="1" applyFont="1" applyBorder="1"/>
    <xf numFmtId="164" fontId="2" fillId="0" borderId="4" xfId="1" applyNumberFormat="1" applyFont="1" applyBorder="1" applyAlignment="1">
      <alignment vertical="center"/>
    </xf>
    <xf numFmtId="164" fontId="1" fillId="0" borderId="4" xfId="1" applyNumberFormat="1" applyFont="1" applyBorder="1"/>
    <xf numFmtId="164" fontId="1" fillId="0" borderId="4" xfId="1" applyNumberFormat="1" applyFont="1" applyBorder="1" applyAlignment="1">
      <alignment vertical="center"/>
    </xf>
    <xf numFmtId="164" fontId="1" fillId="0" borderId="4" xfId="1" applyNumberFormat="1" applyFont="1" applyBorder="1" applyAlignment="1">
      <alignment horizontal="center" vertical="center"/>
    </xf>
    <xf numFmtId="164" fontId="2" fillId="0" borderId="4" xfId="1" applyNumberFormat="1" applyFont="1" applyBorder="1" applyAlignment="1">
      <alignment vertical="center" wrapText="1"/>
    </xf>
    <xf numFmtId="164" fontId="2" fillId="0" borderId="4" xfId="1" applyNumberFormat="1" applyFont="1" applyFill="1" applyBorder="1"/>
    <xf numFmtId="164" fontId="1" fillId="0" borderId="4" xfId="0" applyNumberFormat="1" applyFont="1" applyBorder="1"/>
    <xf numFmtId="43" fontId="1" fillId="3" borderId="4" xfId="1" applyFont="1" applyFill="1" applyBorder="1"/>
    <xf numFmtId="164" fontId="1" fillId="0" borderId="1" xfId="10" applyNumberFormat="1" applyFont="1" applyFill="1" applyBorder="1" applyAlignment="1">
      <alignment vertical="center" wrapText="1"/>
    </xf>
    <xf numFmtId="164" fontId="1" fillId="0" borderId="1" xfId="10" applyNumberFormat="1" applyFont="1" applyBorder="1" applyAlignment="1">
      <alignment vertical="center" wrapText="1"/>
    </xf>
    <xf numFmtId="164" fontId="7" fillId="0" borderId="1" xfId="1" applyNumberFormat="1" applyFont="1" applyBorder="1" applyAlignment="1">
      <alignment vertical="center" wrapText="1"/>
    </xf>
    <xf numFmtId="164" fontId="9" fillId="0" borderId="0" xfId="1" applyNumberFormat="1" applyFont="1"/>
    <xf numFmtId="164" fontId="8" fillId="0" borderId="4" xfId="1" applyNumberFormat="1" applyFont="1" applyBorder="1"/>
    <xf numFmtId="164" fontId="1" fillId="0" borderId="0" xfId="1" applyNumberFormat="1" applyFont="1"/>
    <xf numFmtId="164" fontId="1" fillId="0" borderId="4" xfId="1" applyNumberFormat="1" applyFont="1" applyFill="1" applyBorder="1"/>
    <xf numFmtId="164" fontId="1" fillId="0" borderId="0" xfId="1" applyNumberFormat="1" applyFont="1" applyFill="1"/>
    <xf numFmtId="164" fontId="2" fillId="0" borderId="0" xfId="1" applyNumberFormat="1" applyFont="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164" fontId="2" fillId="0" borderId="1" xfId="1" applyNumberFormat="1" applyFont="1" applyFill="1" applyBorder="1" applyAlignment="1">
      <alignment vertical="center"/>
    </xf>
    <xf numFmtId="164" fontId="1" fillId="0" borderId="1" xfId="1" applyNumberFormat="1" applyFont="1" applyFill="1" applyBorder="1" applyAlignment="1">
      <alignment vertical="center"/>
    </xf>
  </cellXfs>
  <cellStyles count="13">
    <cellStyle name="Lien hypertexte" xfId="2" builtinId="8" hidden="1"/>
    <cellStyle name="Lien hypertexte" xfId="4" builtinId="8" hidden="1"/>
    <cellStyle name="Lien hypertexte" xfId="6" builtinId="8" hidden="1"/>
    <cellStyle name="Lien hypertexte" xfId="8" builtinId="8" hidden="1"/>
    <cellStyle name="Lien hypertexte" xfId="11"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2" builtinId="9" hidden="1"/>
    <cellStyle name="Milliers" xfId="1" builtinId="3"/>
    <cellStyle name="Milliers 2" xfId="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mbreissaka/Documents/Dossier%20PNUD/Dossier%20_Burkina/Dossier%20_PBSO/Dossier%20Pays/Dossier%20_Burkina/Dossier%20_rapport%20annuel_PBF/De&#769;pense%20et%20li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enses"/>
      <sheetName val="Feuil3"/>
    </sheetNames>
    <sheetDataSet>
      <sheetData sheetId="0">
        <row r="5">
          <cell r="E5">
            <v>16265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49" zoomScale="117" zoomScaleNormal="110" zoomScaleSheetLayoutView="51" zoomScalePageLayoutView="110" workbookViewId="0">
      <pane xSplit="1" topLeftCell="D1" activePane="topRight" state="frozen"/>
      <selection activeCell="A4" sqref="A4"/>
      <selection pane="topRight" activeCell="H65" sqref="H65"/>
    </sheetView>
  </sheetViews>
  <sheetFormatPr baseColWidth="10" defaultColWidth="8.83203125" defaultRowHeight="16" x14ac:dyDescent="0.2"/>
  <cols>
    <col min="1" max="1" width="19.83203125" style="13" customWidth="1"/>
    <col min="2" max="2" width="45.6640625" style="13" customWidth="1"/>
    <col min="3" max="3" width="14" style="13" bestFit="1" customWidth="1"/>
    <col min="4" max="5" width="13.33203125" style="13" bestFit="1" customWidth="1"/>
    <col min="6" max="6" width="13.33203125" style="14" customWidth="1"/>
    <col min="7" max="7" width="20.83203125" style="13" customWidth="1"/>
    <col min="8" max="10" width="22.6640625" style="13" customWidth="1"/>
    <col min="11" max="11" width="22.6640625" style="14" customWidth="1"/>
    <col min="12" max="12" width="23.6640625" style="13" customWidth="1"/>
    <col min="13" max="13" width="28.6640625" style="13" customWidth="1"/>
    <col min="14" max="14" width="34.1640625" style="13" customWidth="1"/>
    <col min="15" max="15" width="8.83203125" style="13"/>
    <col min="16" max="16" width="9.33203125" style="13" bestFit="1" customWidth="1"/>
    <col min="17" max="16384" width="8.83203125" style="13"/>
  </cols>
  <sheetData>
    <row r="1" spans="1:16" x14ac:dyDescent="0.2">
      <c r="A1" s="12" t="s">
        <v>1</v>
      </c>
      <c r="B1" s="12"/>
      <c r="F1" s="15"/>
    </row>
    <row r="2" spans="1:16" x14ac:dyDescent="0.2">
      <c r="A2" s="12"/>
      <c r="B2" s="12"/>
      <c r="F2" s="15"/>
      <c r="K2" s="15"/>
    </row>
    <row r="3" spans="1:16" x14ac:dyDescent="0.2">
      <c r="A3" s="12" t="s">
        <v>2</v>
      </c>
      <c r="B3" s="12"/>
      <c r="F3" s="15"/>
      <c r="K3" s="15"/>
    </row>
    <row r="4" spans="1:16" x14ac:dyDescent="0.2">
      <c r="F4" s="15"/>
      <c r="K4" s="15"/>
    </row>
    <row r="5" spans="1:16" x14ac:dyDescent="0.2">
      <c r="A5" s="12" t="s">
        <v>3</v>
      </c>
      <c r="F5" s="15"/>
      <c r="K5" s="15"/>
    </row>
    <row r="6" spans="1:16" x14ac:dyDescent="0.2">
      <c r="F6" s="15"/>
      <c r="K6" s="15"/>
    </row>
    <row r="7" spans="1:16" ht="91" customHeight="1" x14ac:dyDescent="0.2">
      <c r="A7" s="7" t="s">
        <v>4</v>
      </c>
      <c r="B7" s="7" t="s">
        <v>5</v>
      </c>
      <c r="C7" s="7" t="s">
        <v>95</v>
      </c>
      <c r="D7" s="7" t="s">
        <v>96</v>
      </c>
      <c r="E7" s="7" t="s">
        <v>97</v>
      </c>
      <c r="F7" s="10" t="s">
        <v>110</v>
      </c>
      <c r="G7" s="7" t="s">
        <v>6</v>
      </c>
      <c r="H7" s="7" t="s">
        <v>108</v>
      </c>
      <c r="I7" s="7" t="s">
        <v>106</v>
      </c>
      <c r="J7" s="7" t="s">
        <v>107</v>
      </c>
      <c r="K7" s="10" t="s">
        <v>109</v>
      </c>
      <c r="L7" s="7" t="s">
        <v>7</v>
      </c>
    </row>
    <row r="8" spans="1:16" x14ac:dyDescent="0.2">
      <c r="A8" s="73" t="s">
        <v>47</v>
      </c>
      <c r="B8" s="73"/>
      <c r="C8" s="73"/>
      <c r="D8" s="73"/>
      <c r="E8" s="73"/>
      <c r="F8" s="73"/>
      <c r="G8" s="73"/>
      <c r="H8" s="51"/>
      <c r="I8" s="16"/>
      <c r="J8" s="16"/>
      <c r="K8" s="28"/>
      <c r="L8" s="16"/>
    </row>
    <row r="9" spans="1:16" ht="64" x14ac:dyDescent="0.2">
      <c r="A9" s="6" t="s">
        <v>8</v>
      </c>
      <c r="B9" s="7" t="s">
        <v>48</v>
      </c>
      <c r="C9" s="1">
        <f>+C10+C11+C12</f>
        <v>170000</v>
      </c>
      <c r="D9" s="1">
        <f>+D10+D11+D12</f>
        <v>170000</v>
      </c>
      <c r="E9" s="1">
        <f>+E10+E11+E12</f>
        <v>160000</v>
      </c>
      <c r="F9" s="8">
        <f>C9+D9+E9</f>
        <v>500000</v>
      </c>
      <c r="G9" s="7"/>
      <c r="H9" s="52">
        <f>+SUM(H10:H12)</f>
        <v>22530</v>
      </c>
      <c r="I9" s="5">
        <f>+SUM(I10:I12)</f>
        <v>172384.39</v>
      </c>
      <c r="J9" s="5">
        <f>+SUM(J10:J12)</f>
        <v>170000</v>
      </c>
      <c r="K9" s="39">
        <f>H9+I9+J9</f>
        <v>364914.39</v>
      </c>
      <c r="L9" s="16"/>
    </row>
    <row r="10" spans="1:16" ht="48" x14ac:dyDescent="0.2">
      <c r="A10" s="7" t="s">
        <v>17</v>
      </c>
      <c r="B10" s="7" t="s">
        <v>49</v>
      </c>
      <c r="C10" s="30">
        <v>10000</v>
      </c>
      <c r="D10" s="7">
        <v>10000</v>
      </c>
      <c r="E10" s="30">
        <v>10000</v>
      </c>
      <c r="F10" s="31">
        <f>C10+D10+E10</f>
        <v>30000</v>
      </c>
      <c r="G10" s="7"/>
      <c r="H10" s="51"/>
      <c r="I10" s="3">
        <v>10000</v>
      </c>
      <c r="J10" s="3">
        <v>10000</v>
      </c>
      <c r="K10" s="37">
        <f>H10+I10+J10</f>
        <v>20000</v>
      </c>
      <c r="L10" s="16"/>
    </row>
    <row r="11" spans="1:16" ht="64" x14ac:dyDescent="0.2">
      <c r="A11" s="7" t="s">
        <v>18</v>
      </c>
      <c r="B11" s="7" t="s">
        <v>50</v>
      </c>
      <c r="C11" s="30">
        <v>60000</v>
      </c>
      <c r="D11" s="7">
        <v>60000</v>
      </c>
      <c r="E11" s="17">
        <f>10000+40000</f>
        <v>50000</v>
      </c>
      <c r="F11" s="31">
        <f t="shared" ref="F11:F12" si="0">C11+D11+E11</f>
        <v>170000</v>
      </c>
      <c r="G11" s="7"/>
      <c r="H11" s="51"/>
      <c r="I11" s="3">
        <v>62384.39</v>
      </c>
      <c r="J11" s="3">
        <v>60000</v>
      </c>
      <c r="K11" s="37">
        <f>H11+I11+J11</f>
        <v>122384.39</v>
      </c>
      <c r="L11" s="16"/>
    </row>
    <row r="12" spans="1:16" ht="176" x14ac:dyDescent="0.2">
      <c r="A12" s="7" t="s">
        <v>19</v>
      </c>
      <c r="B12" s="7" t="s">
        <v>51</v>
      </c>
      <c r="C12" s="18">
        <v>100000</v>
      </c>
      <c r="D12" s="7">
        <v>100000</v>
      </c>
      <c r="E12" s="18">
        <v>100000</v>
      </c>
      <c r="F12" s="31">
        <f t="shared" si="0"/>
        <v>300000</v>
      </c>
      <c r="G12" s="7"/>
      <c r="H12" s="53">
        <v>22530</v>
      </c>
      <c r="I12" s="3">
        <v>100000</v>
      </c>
      <c r="J12" s="3">
        <v>100000</v>
      </c>
      <c r="K12" s="37">
        <f>H12+I12+J12</f>
        <v>222530</v>
      </c>
      <c r="L12" s="16"/>
      <c r="N12" s="19">
        <f>H9+H13+H32+H42+H46+H60</f>
        <v>283627</v>
      </c>
    </row>
    <row r="13" spans="1:16" ht="32" x14ac:dyDescent="0.2">
      <c r="A13" s="6" t="s">
        <v>9</v>
      </c>
      <c r="B13" s="7" t="s">
        <v>52</v>
      </c>
      <c r="C13" s="2">
        <f>C14+C15+C16</f>
        <v>43333.333333333328</v>
      </c>
      <c r="D13" s="2">
        <f>D14+D15+D16</f>
        <v>60000</v>
      </c>
      <c r="E13" s="2">
        <f>E14+E15+E16</f>
        <v>55000</v>
      </c>
      <c r="F13" s="9">
        <f>+C13+D13+E13</f>
        <v>158333.33333333331</v>
      </c>
      <c r="G13" s="7"/>
      <c r="H13" s="54">
        <f>SUM(H14:H16)</f>
        <v>2800</v>
      </c>
      <c r="I13" s="5">
        <f>SUM(I14:I16)</f>
        <v>18888.919999999998</v>
      </c>
      <c r="J13" s="5">
        <f>SUM(J14:J16)</f>
        <v>59129</v>
      </c>
      <c r="K13" s="39">
        <f t="shared" ref="K13:K17" si="1">H13+I13+J13</f>
        <v>80817.919999999998</v>
      </c>
      <c r="L13" s="16"/>
    </row>
    <row r="14" spans="1:16" ht="48" x14ac:dyDescent="0.2">
      <c r="A14" s="7" t="s">
        <v>20</v>
      </c>
      <c r="B14" s="7" t="s">
        <v>53</v>
      </c>
      <c r="C14" s="18">
        <f>10000/3</f>
        <v>3333.3333333333335</v>
      </c>
      <c r="D14" s="3">
        <v>20000</v>
      </c>
      <c r="E14" s="18">
        <v>15000</v>
      </c>
      <c r="F14" s="20">
        <f>+C14+D14+E14</f>
        <v>38333.333333333328</v>
      </c>
      <c r="G14" s="7"/>
      <c r="H14" s="70">
        <f>3500000*40/100/500</f>
        <v>2800</v>
      </c>
      <c r="I14" s="3">
        <f>6849+659+659+659+89</f>
        <v>8915</v>
      </c>
      <c r="J14" s="64">
        <v>20000</v>
      </c>
      <c r="K14" s="37">
        <f t="shared" si="1"/>
        <v>31715</v>
      </c>
      <c r="L14" s="16"/>
      <c r="N14" s="67">
        <f>4926+28090</f>
        <v>33016</v>
      </c>
      <c r="P14" s="19">
        <f>N14*40/100</f>
        <v>13206.4</v>
      </c>
    </row>
    <row r="15" spans="1:16" ht="64" x14ac:dyDescent="0.2">
      <c r="A15" s="7" t="s">
        <v>21</v>
      </c>
      <c r="B15" s="7" t="s">
        <v>54</v>
      </c>
      <c r="C15" s="32">
        <v>20000</v>
      </c>
      <c r="D15" s="3">
        <v>20000</v>
      </c>
      <c r="E15" s="18">
        <v>20000</v>
      </c>
      <c r="F15" s="20">
        <f t="shared" ref="F15:F16" si="2">+C15+D15+E15</f>
        <v>60000</v>
      </c>
      <c r="G15" s="7"/>
      <c r="H15" s="68"/>
      <c r="I15" s="3">
        <f>2599+646</f>
        <v>3245</v>
      </c>
      <c r="J15" s="65">
        <v>19129</v>
      </c>
      <c r="K15" s="37">
        <f t="shared" si="1"/>
        <v>22374</v>
      </c>
      <c r="L15" s="16"/>
      <c r="P15" s="19">
        <f>N14-P14</f>
        <v>19809.599999999999</v>
      </c>
    </row>
    <row r="16" spans="1:16" ht="64" x14ac:dyDescent="0.2">
      <c r="A16" s="7" t="s">
        <v>22</v>
      </c>
      <c r="B16" s="7" t="s">
        <v>55</v>
      </c>
      <c r="C16" s="18">
        <v>20000</v>
      </c>
      <c r="D16" s="3">
        <v>20000</v>
      </c>
      <c r="E16" s="18">
        <v>20000</v>
      </c>
      <c r="F16" s="20">
        <f t="shared" si="2"/>
        <v>60000</v>
      </c>
      <c r="G16" s="7"/>
      <c r="H16" s="51"/>
      <c r="I16" s="3">
        <f>6119.74+609.18</f>
        <v>6728.92</v>
      </c>
      <c r="J16" s="65">
        <v>20000</v>
      </c>
      <c r="K16" s="39">
        <f t="shared" si="1"/>
        <v>26728.92</v>
      </c>
      <c r="L16" s="16"/>
    </row>
    <row r="17" spans="1:12" ht="48" x14ac:dyDescent="0.2">
      <c r="A17" s="6" t="s">
        <v>10</v>
      </c>
      <c r="B17" s="48" t="s">
        <v>56</v>
      </c>
      <c r="C17" s="2">
        <f>C18+C19+C20</f>
        <v>33333.333333333336</v>
      </c>
      <c r="D17" s="2">
        <f>D18+D19+D20</f>
        <v>33000</v>
      </c>
      <c r="E17" s="2">
        <f>E18+E19+E20</f>
        <v>28300</v>
      </c>
      <c r="F17" s="9">
        <f>+C17+D17+E17</f>
        <v>94633.333333333343</v>
      </c>
      <c r="G17" s="7"/>
      <c r="H17" s="55">
        <f>+SUM(H18:H20)</f>
        <v>8500</v>
      </c>
      <c r="I17" s="21">
        <f>+SUM(I18:I20)</f>
        <v>35341.06</v>
      </c>
      <c r="J17" s="21">
        <f>+SUM(J18:J20)</f>
        <v>32398.07</v>
      </c>
      <c r="K17" s="39">
        <f t="shared" si="1"/>
        <v>76239.13</v>
      </c>
      <c r="L17" s="16"/>
    </row>
    <row r="18" spans="1:12" ht="64" x14ac:dyDescent="0.2">
      <c r="A18" s="7" t="s">
        <v>23</v>
      </c>
      <c r="B18" s="7" t="s">
        <v>57</v>
      </c>
      <c r="C18" s="18">
        <f>40000/3</f>
        <v>13333.333333333334</v>
      </c>
      <c r="D18" s="7">
        <v>13000</v>
      </c>
      <c r="E18" s="18">
        <v>13300</v>
      </c>
      <c r="F18" s="20">
        <f>+C18+D18+E18</f>
        <v>39633.333333333336</v>
      </c>
      <c r="G18" s="7"/>
      <c r="H18" s="70">
        <v>8500</v>
      </c>
      <c r="I18" s="3">
        <f>718+17164+((817.96*4))+187.22</f>
        <v>21341.06</v>
      </c>
      <c r="J18" s="65">
        <v>12398.07</v>
      </c>
      <c r="K18" s="37">
        <f t="shared" ref="K18:K29" si="3">H18+I18+J18</f>
        <v>42239.130000000005</v>
      </c>
      <c r="L18" s="16"/>
    </row>
    <row r="19" spans="1:12" ht="32" x14ac:dyDescent="0.2">
      <c r="A19" s="7" t="s">
        <v>24</v>
      </c>
      <c r="B19" s="7" t="s">
        <v>58</v>
      </c>
      <c r="C19" s="18">
        <f>60000/3</f>
        <v>20000</v>
      </c>
      <c r="D19" s="7">
        <v>20000</v>
      </c>
      <c r="E19" s="18">
        <v>15000</v>
      </c>
      <c r="F19" s="20">
        <f>+C19+D19+E19</f>
        <v>55000</v>
      </c>
      <c r="G19" s="7"/>
      <c r="H19" s="51"/>
      <c r="I19" s="3">
        <v>14000</v>
      </c>
      <c r="J19" s="65">
        <v>20000</v>
      </c>
      <c r="K19" s="39">
        <f t="shared" si="3"/>
        <v>34000</v>
      </c>
      <c r="L19" s="16"/>
    </row>
    <row r="20" spans="1:12" x14ac:dyDescent="0.2">
      <c r="A20" s="7" t="s">
        <v>25</v>
      </c>
      <c r="B20" s="7"/>
      <c r="C20" s="7"/>
      <c r="D20" s="7"/>
      <c r="E20" s="7"/>
      <c r="F20" s="10"/>
      <c r="G20" s="7"/>
      <c r="H20" s="51"/>
      <c r="I20" s="16"/>
      <c r="J20" s="16"/>
      <c r="K20" s="39">
        <f t="shared" si="3"/>
        <v>0</v>
      </c>
      <c r="L20" s="16"/>
    </row>
    <row r="21" spans="1:12" ht="17" customHeight="1" x14ac:dyDescent="0.2">
      <c r="A21" s="74" t="s">
        <v>98</v>
      </c>
      <c r="B21" s="74"/>
      <c r="C21" s="1">
        <f>C9+C13+C17</f>
        <v>246666.66666666666</v>
      </c>
      <c r="D21" s="1">
        <f t="shared" ref="D21:E21" si="4">D9+D13+D17</f>
        <v>263000</v>
      </c>
      <c r="E21" s="1">
        <f t="shared" si="4"/>
        <v>243300</v>
      </c>
      <c r="F21" s="8">
        <f>+C21+D21+E21</f>
        <v>752966.66666666663</v>
      </c>
      <c r="G21" s="6"/>
      <c r="H21" s="55">
        <f>H9+H13+H17</f>
        <v>33830</v>
      </c>
      <c r="I21" s="1">
        <f>I17+I13+I9</f>
        <v>226614.37</v>
      </c>
      <c r="J21" s="21">
        <f>J9+J13+J17</f>
        <v>261527.07</v>
      </c>
      <c r="K21" s="39">
        <f t="shared" si="3"/>
        <v>521971.44</v>
      </c>
      <c r="L21" s="16"/>
    </row>
    <row r="22" spans="1:12" x14ac:dyDescent="0.2">
      <c r="A22" s="73" t="s">
        <v>59</v>
      </c>
      <c r="B22" s="73"/>
      <c r="C22" s="73"/>
      <c r="D22" s="73"/>
      <c r="E22" s="73"/>
      <c r="F22" s="73"/>
      <c r="G22" s="73"/>
      <c r="H22" s="51"/>
      <c r="I22" s="16"/>
      <c r="J22" s="16"/>
      <c r="K22" s="39">
        <f t="shared" si="3"/>
        <v>0</v>
      </c>
      <c r="L22" s="16"/>
    </row>
    <row r="23" spans="1:12" ht="48" x14ac:dyDescent="0.2">
      <c r="A23" s="6" t="s">
        <v>11</v>
      </c>
      <c r="B23" s="48" t="s">
        <v>60</v>
      </c>
      <c r="C23" s="1">
        <f>C24+C25+C26</f>
        <v>95000</v>
      </c>
      <c r="D23" s="1">
        <f>D24+D25+D26</f>
        <v>95000</v>
      </c>
      <c r="E23" s="1">
        <f>E24+E25+E26</f>
        <v>95000</v>
      </c>
      <c r="F23" s="8">
        <f>+C23+D23+E23</f>
        <v>285000</v>
      </c>
      <c r="G23" s="7"/>
      <c r="H23" s="56">
        <f>SUM(H24:H26)</f>
        <v>106912</v>
      </c>
      <c r="I23" s="50">
        <f>SUM(I24:I26)</f>
        <v>26875</v>
      </c>
      <c r="J23" s="50">
        <f>SUM(J24:J26)</f>
        <v>95770</v>
      </c>
      <c r="K23" s="39">
        <f t="shared" si="3"/>
        <v>229557</v>
      </c>
      <c r="L23" s="16"/>
    </row>
    <row r="24" spans="1:12" ht="80" x14ac:dyDescent="0.2">
      <c r="A24" s="7" t="s">
        <v>26</v>
      </c>
      <c r="B24" s="7" t="s">
        <v>61</v>
      </c>
      <c r="C24" s="33">
        <v>50000</v>
      </c>
      <c r="D24" s="3">
        <v>50000</v>
      </c>
      <c r="E24" s="33">
        <v>50000</v>
      </c>
      <c r="F24" s="34">
        <f>+C24+D24+E24</f>
        <v>150000</v>
      </c>
      <c r="G24" s="7"/>
      <c r="H24" s="57">
        <v>19809.599999999999</v>
      </c>
      <c r="I24" s="33">
        <f>8061+3814</f>
        <v>11875</v>
      </c>
      <c r="J24" s="65">
        <v>50000</v>
      </c>
      <c r="K24" s="39">
        <f>H24+I24+J24</f>
        <v>81684.600000000006</v>
      </c>
      <c r="L24" s="16"/>
    </row>
    <row r="25" spans="1:12" ht="32" x14ac:dyDescent="0.2">
      <c r="A25" s="7" t="s">
        <v>27</v>
      </c>
      <c r="B25" s="7" t="s">
        <v>62</v>
      </c>
      <c r="C25" s="33">
        <v>15000</v>
      </c>
      <c r="D25" s="3">
        <v>15000</v>
      </c>
      <c r="E25" s="33">
        <v>15000</v>
      </c>
      <c r="F25" s="34">
        <f t="shared" ref="F25:F26" si="5">+C25+D25+E25</f>
        <v>45000</v>
      </c>
      <c r="G25" s="7"/>
      <c r="H25" s="57">
        <f>26481+[1]Dépenses!$E$5+13206.4</f>
        <v>55952.4</v>
      </c>
      <c r="I25" s="33">
        <v>15000</v>
      </c>
      <c r="J25" s="65">
        <v>14570</v>
      </c>
      <c r="K25" s="39">
        <f>H25+I25+J25</f>
        <v>85522.4</v>
      </c>
      <c r="L25" s="16"/>
    </row>
    <row r="26" spans="1:12" ht="48" x14ac:dyDescent="0.2">
      <c r="A26" s="7" t="s">
        <v>28</v>
      </c>
      <c r="B26" s="7" t="s">
        <v>63</v>
      </c>
      <c r="C26" s="30">
        <v>30000</v>
      </c>
      <c r="D26" s="3">
        <v>30000</v>
      </c>
      <c r="E26" s="30">
        <v>30000</v>
      </c>
      <c r="F26" s="34">
        <f t="shared" si="5"/>
        <v>90000</v>
      </c>
      <c r="G26" s="7"/>
      <c r="H26" s="71">
        <v>31150</v>
      </c>
      <c r="I26" s="16"/>
      <c r="J26" s="65">
        <v>31200</v>
      </c>
      <c r="K26" s="39">
        <f>H24+I26+J26</f>
        <v>51009.599999999999</v>
      </c>
      <c r="L26" s="16"/>
    </row>
    <row r="27" spans="1:12" ht="48" x14ac:dyDescent="0.2">
      <c r="A27" s="6" t="s">
        <v>12</v>
      </c>
      <c r="B27" s="7" t="s">
        <v>64</v>
      </c>
      <c r="C27" s="1">
        <f>C28+C29+C30+C31</f>
        <v>100000</v>
      </c>
      <c r="D27" s="1">
        <f>D28+D29+D30+D31</f>
        <v>79500</v>
      </c>
      <c r="E27" s="1">
        <f>E28+E29+E30+E31</f>
        <v>90000</v>
      </c>
      <c r="F27" s="8">
        <f>+C27+D27+E27</f>
        <v>269500</v>
      </c>
      <c r="G27" s="7"/>
      <c r="H27" s="52">
        <f>SUM(H28:H31)</f>
        <v>86476</v>
      </c>
      <c r="I27" s="5">
        <f>SUM(I28:I31)</f>
        <v>23568.720000000001</v>
      </c>
      <c r="J27" s="5">
        <f>SUM(J28:J31)</f>
        <v>77245</v>
      </c>
      <c r="K27" s="39">
        <f t="shared" si="3"/>
        <v>187289.72</v>
      </c>
      <c r="L27" s="16"/>
    </row>
    <row r="28" spans="1:12" ht="48" x14ac:dyDescent="0.2">
      <c r="A28" s="7" t="s">
        <v>29</v>
      </c>
      <c r="B28" s="7" t="s">
        <v>65</v>
      </c>
      <c r="C28" s="18">
        <v>40000</v>
      </c>
      <c r="D28" s="3">
        <v>40000</v>
      </c>
      <c r="E28" s="18">
        <v>40000</v>
      </c>
      <c r="F28" s="20">
        <f>+C28+D28+E28</f>
        <v>120000</v>
      </c>
      <c r="G28" s="7"/>
      <c r="H28" s="58">
        <v>36097</v>
      </c>
      <c r="I28" s="3">
        <f>1717.71+4412</f>
        <v>6129.71</v>
      </c>
      <c r="J28" s="65">
        <v>40000</v>
      </c>
      <c r="K28" s="39">
        <f t="shared" si="3"/>
        <v>82226.709999999992</v>
      </c>
      <c r="L28" s="16"/>
    </row>
    <row r="29" spans="1:12" ht="32" x14ac:dyDescent="0.2">
      <c r="A29" s="7" t="s">
        <v>30</v>
      </c>
      <c r="B29" s="7" t="s">
        <v>66</v>
      </c>
      <c r="C29" s="18">
        <f>70000/3</f>
        <v>23333.333333333332</v>
      </c>
      <c r="D29" s="3">
        <v>23200</v>
      </c>
      <c r="E29" s="18">
        <v>23333</v>
      </c>
      <c r="F29" s="20">
        <f t="shared" ref="F29:F31" si="6">+C29+D29+E29</f>
        <v>69866.333333333328</v>
      </c>
      <c r="G29" s="7"/>
      <c r="H29" s="58">
        <f>6369+5000</f>
        <v>11369</v>
      </c>
      <c r="I29" s="3"/>
      <c r="J29" s="65">
        <v>23200</v>
      </c>
      <c r="K29" s="39">
        <f t="shared" si="3"/>
        <v>34569</v>
      </c>
      <c r="L29" s="16"/>
    </row>
    <row r="30" spans="1:12" ht="96" x14ac:dyDescent="0.2">
      <c r="A30" s="7" t="s">
        <v>31</v>
      </c>
      <c r="B30" s="7" t="s">
        <v>93</v>
      </c>
      <c r="C30" s="18">
        <v>20000</v>
      </c>
      <c r="D30" s="3">
        <v>0</v>
      </c>
      <c r="E30" s="18">
        <v>10000</v>
      </c>
      <c r="F30" s="20">
        <f t="shared" si="6"/>
        <v>30000</v>
      </c>
      <c r="G30" s="7"/>
      <c r="H30" s="59">
        <v>39010</v>
      </c>
      <c r="I30" s="3">
        <f>609.18+8284.54+510.03</f>
        <v>9403.7500000000018</v>
      </c>
      <c r="J30" s="65"/>
      <c r="K30" s="39">
        <f>H30+I30+J30</f>
        <v>48413.75</v>
      </c>
      <c r="L30" s="16"/>
    </row>
    <row r="31" spans="1:12" ht="48" x14ac:dyDescent="0.2">
      <c r="A31" s="7" t="s">
        <v>92</v>
      </c>
      <c r="B31" s="7" t="s">
        <v>67</v>
      </c>
      <c r="C31" s="18">
        <f>50000/3</f>
        <v>16666.666666666668</v>
      </c>
      <c r="D31" s="3">
        <v>16300</v>
      </c>
      <c r="E31" s="18">
        <v>16667</v>
      </c>
      <c r="F31" s="20">
        <f t="shared" si="6"/>
        <v>49633.666666666672</v>
      </c>
      <c r="G31" s="7"/>
      <c r="H31" s="51"/>
      <c r="I31" s="3">
        <f>6119.74+499.59+499.59+624.49+187.35+104.5</f>
        <v>8035.26</v>
      </c>
      <c r="J31" s="3">
        <v>14045</v>
      </c>
      <c r="K31" s="39">
        <f>H31+I31+J31</f>
        <v>22080.260000000002</v>
      </c>
      <c r="L31" s="16"/>
    </row>
    <row r="32" spans="1:12" ht="64" x14ac:dyDescent="0.2">
      <c r="A32" s="6" t="s">
        <v>13</v>
      </c>
      <c r="B32" s="48" t="s">
        <v>68</v>
      </c>
      <c r="C32" s="1">
        <f>C33+C34+C35</f>
        <v>70000</v>
      </c>
      <c r="D32" s="1">
        <f>D33+D34+D35</f>
        <v>70000</v>
      </c>
      <c r="E32" s="1">
        <f>E33+E34+E35</f>
        <v>80000</v>
      </c>
      <c r="F32" s="8">
        <f>+C32+D32+E32</f>
        <v>220000</v>
      </c>
      <c r="G32" s="7"/>
      <c r="H32" s="60"/>
      <c r="I32" s="2"/>
      <c r="J32" s="2">
        <f>SUM(J33:J35)</f>
        <v>72440</v>
      </c>
      <c r="K32" s="39">
        <f t="shared" ref="K32:K37" si="7">H32+I32+J32</f>
        <v>72440</v>
      </c>
      <c r="L32" s="16"/>
    </row>
    <row r="33" spans="1:12" ht="64" x14ac:dyDescent="0.2">
      <c r="A33" s="7" t="s">
        <v>32</v>
      </c>
      <c r="B33" s="7" t="s">
        <v>69</v>
      </c>
      <c r="C33" s="18">
        <v>20000</v>
      </c>
      <c r="D33" s="7">
        <v>20000</v>
      </c>
      <c r="E33" s="18">
        <v>30000</v>
      </c>
      <c r="F33" s="20">
        <f>+C33+D33+E33</f>
        <v>70000</v>
      </c>
      <c r="G33" s="7"/>
      <c r="H33" s="51"/>
      <c r="I33" s="16"/>
      <c r="J33" s="65">
        <v>19590</v>
      </c>
      <c r="K33" s="39">
        <f t="shared" si="7"/>
        <v>19590</v>
      </c>
      <c r="L33" s="16"/>
    </row>
    <row r="34" spans="1:12" ht="48" x14ac:dyDescent="0.2">
      <c r="A34" s="7" t="s">
        <v>33</v>
      </c>
      <c r="B34" s="7" t="s">
        <v>70</v>
      </c>
      <c r="C34" s="18">
        <v>20000</v>
      </c>
      <c r="D34" s="7">
        <v>20000</v>
      </c>
      <c r="E34" s="18">
        <v>20000</v>
      </c>
      <c r="F34" s="20">
        <f t="shared" ref="F34:F35" si="8">+C34+D34+E34</f>
        <v>60000</v>
      </c>
      <c r="G34" s="7"/>
      <c r="H34" s="51"/>
      <c r="I34" s="16"/>
      <c r="J34" s="65">
        <v>21350</v>
      </c>
      <c r="K34" s="39">
        <f t="shared" si="7"/>
        <v>21350</v>
      </c>
      <c r="L34" s="16"/>
    </row>
    <row r="35" spans="1:12" ht="48" x14ac:dyDescent="0.2">
      <c r="A35" s="7" t="s">
        <v>34</v>
      </c>
      <c r="B35" s="7" t="s">
        <v>71</v>
      </c>
      <c r="C35" s="35">
        <v>30000</v>
      </c>
      <c r="D35" s="7">
        <v>30000</v>
      </c>
      <c r="E35" s="18">
        <v>30000</v>
      </c>
      <c r="F35" s="20">
        <f t="shared" si="8"/>
        <v>90000</v>
      </c>
      <c r="G35" s="7"/>
      <c r="H35" s="51"/>
      <c r="I35" s="16"/>
      <c r="J35" s="66">
        <v>31500</v>
      </c>
      <c r="K35" s="39">
        <f t="shared" si="7"/>
        <v>31500</v>
      </c>
      <c r="L35" s="16"/>
    </row>
    <row r="36" spans="1:12" ht="16" customHeight="1" x14ac:dyDescent="0.2">
      <c r="A36" s="74" t="s">
        <v>99</v>
      </c>
      <c r="B36" s="74"/>
      <c r="C36" s="1">
        <f>+C23+C27+C32</f>
        <v>265000</v>
      </c>
      <c r="D36" s="1">
        <f t="shared" ref="D36:E36" si="9">+D23+D27+D32</f>
        <v>244500</v>
      </c>
      <c r="E36" s="1">
        <f t="shared" si="9"/>
        <v>265000</v>
      </c>
      <c r="F36" s="8">
        <f>+C36+D36+E36</f>
        <v>774500</v>
      </c>
      <c r="G36" s="6"/>
      <c r="H36" s="55">
        <f>H23+H27+H32</f>
        <v>193388</v>
      </c>
      <c r="I36" s="21">
        <f>I23+I27+I32</f>
        <v>50443.72</v>
      </c>
      <c r="J36" s="21">
        <f>J23+J27+J32</f>
        <v>245455</v>
      </c>
      <c r="K36" s="39">
        <f t="shared" si="7"/>
        <v>489286.72</v>
      </c>
      <c r="L36" s="16"/>
    </row>
    <row r="37" spans="1:12" x14ac:dyDescent="0.2">
      <c r="A37" s="73" t="s">
        <v>72</v>
      </c>
      <c r="B37" s="73"/>
      <c r="C37" s="73"/>
      <c r="D37" s="73"/>
      <c r="E37" s="6"/>
      <c r="F37" s="11"/>
      <c r="G37" s="7"/>
      <c r="H37" s="51"/>
      <c r="I37" s="16"/>
      <c r="J37" s="16"/>
      <c r="K37" s="39">
        <f t="shared" si="7"/>
        <v>0</v>
      </c>
      <c r="L37" s="16"/>
    </row>
    <row r="38" spans="1:12" x14ac:dyDescent="0.2">
      <c r="A38" s="6" t="s">
        <v>14</v>
      </c>
      <c r="B38" s="7" t="s">
        <v>73</v>
      </c>
      <c r="C38" s="1">
        <f>+C39+C40+C41</f>
        <v>93998</v>
      </c>
      <c r="D38" s="1">
        <f>+D39+D40+D41</f>
        <v>91300</v>
      </c>
      <c r="E38" s="1">
        <f>+E39+E40+E41</f>
        <v>87333.333333333343</v>
      </c>
      <c r="F38" s="8">
        <f>+C38+D38+E38</f>
        <v>272631.33333333337</v>
      </c>
      <c r="G38" s="7"/>
      <c r="H38" s="51"/>
      <c r="I38" s="5">
        <f>SUM(I39:I41)</f>
        <v>25364.482438400002</v>
      </c>
      <c r="J38" s="49">
        <f>SUM(J39:J41)</f>
        <v>16000</v>
      </c>
      <c r="K38" s="39">
        <f t="shared" ref="K38:K42" si="10">H38+I38+J38</f>
        <v>41364.482438400002</v>
      </c>
      <c r="L38" s="16"/>
    </row>
    <row r="39" spans="1:12" ht="32" x14ac:dyDescent="0.2">
      <c r="A39" s="7" t="s">
        <v>35</v>
      </c>
      <c r="B39" s="7" t="s">
        <v>74</v>
      </c>
      <c r="C39" s="18">
        <v>16666</v>
      </c>
      <c r="D39" s="4">
        <v>16300</v>
      </c>
      <c r="E39" s="18">
        <v>16667</v>
      </c>
      <c r="F39" s="20">
        <f>+C39+D39+E39</f>
        <v>49633</v>
      </c>
      <c r="G39" s="7"/>
      <c r="H39" s="51"/>
      <c r="I39" s="3"/>
      <c r="J39" s="4">
        <v>16000</v>
      </c>
      <c r="K39" s="39">
        <f t="shared" si="10"/>
        <v>16000</v>
      </c>
      <c r="L39" s="16"/>
    </row>
    <row r="40" spans="1:12" ht="64" x14ac:dyDescent="0.2">
      <c r="A40" s="7" t="s">
        <v>36</v>
      </c>
      <c r="B40" s="7" t="s">
        <v>75</v>
      </c>
      <c r="C40" s="18">
        <v>66666</v>
      </c>
      <c r="D40" s="7">
        <v>65000</v>
      </c>
      <c r="E40" s="18">
        <f>200000/3-6667</f>
        <v>59999.666666666672</v>
      </c>
      <c r="F40" s="20">
        <f t="shared" ref="F40:F41" si="11">+C40+D40+E40</f>
        <v>191665.66666666669</v>
      </c>
      <c r="G40" s="7"/>
      <c r="H40" s="51"/>
      <c r="I40" s="3">
        <f>762.01+762.01+762.0124384+304.8+304.8+4229.85</f>
        <v>7125.4824384000003</v>
      </c>
      <c r="J40" s="3">
        <v>0</v>
      </c>
      <c r="K40" s="39">
        <f t="shared" si="10"/>
        <v>7125.4824384000003</v>
      </c>
      <c r="L40" s="16"/>
    </row>
    <row r="41" spans="1:12" ht="32" x14ac:dyDescent="0.2">
      <c r="A41" s="7" t="s">
        <v>37</v>
      </c>
      <c r="B41" s="7" t="s">
        <v>76</v>
      </c>
      <c r="C41" s="18">
        <v>10666</v>
      </c>
      <c r="D41" s="7">
        <v>10000</v>
      </c>
      <c r="E41" s="18">
        <f>32000/3</f>
        <v>10666.666666666666</v>
      </c>
      <c r="F41" s="20">
        <f t="shared" si="11"/>
        <v>31332.666666666664</v>
      </c>
      <c r="G41" s="7"/>
      <c r="H41" s="51"/>
      <c r="I41" s="3">
        <f>17528+711</f>
        <v>18239</v>
      </c>
      <c r="J41" s="3">
        <v>0</v>
      </c>
      <c r="K41" s="39">
        <f t="shared" si="10"/>
        <v>18239</v>
      </c>
      <c r="L41" s="16"/>
    </row>
    <row r="42" spans="1:12" ht="48" x14ac:dyDescent="0.2">
      <c r="A42" s="6" t="s">
        <v>15</v>
      </c>
      <c r="B42" s="48" t="s">
        <v>77</v>
      </c>
      <c r="C42" s="1">
        <f>+C43+C44+C45</f>
        <v>55000</v>
      </c>
      <c r="D42" s="1">
        <f>+D43+D44+D45</f>
        <v>55000</v>
      </c>
      <c r="E42" s="1">
        <f>+E43+E44+E45</f>
        <v>45000</v>
      </c>
      <c r="F42" s="8">
        <f>+C42+D42+E42</f>
        <v>155000</v>
      </c>
      <c r="G42" s="7"/>
      <c r="H42" s="60"/>
      <c r="I42" s="50">
        <f>SUM(I43:I45)</f>
        <v>55050.920000000006</v>
      </c>
      <c r="J42" s="2">
        <f>SUM(J43:J45)</f>
        <v>20900</v>
      </c>
      <c r="K42" s="39">
        <f t="shared" si="10"/>
        <v>75950.920000000013</v>
      </c>
      <c r="L42" s="16"/>
    </row>
    <row r="43" spans="1:12" ht="48" x14ac:dyDescent="0.2">
      <c r="A43" s="7" t="s">
        <v>38</v>
      </c>
      <c r="B43" s="7" t="s">
        <v>78</v>
      </c>
      <c r="C43" s="18">
        <v>20000</v>
      </c>
      <c r="D43" s="7">
        <v>20000</v>
      </c>
      <c r="E43" s="18">
        <v>20000</v>
      </c>
      <c r="F43" s="20">
        <f>C43+D43+E43</f>
        <v>60000</v>
      </c>
      <c r="G43" s="7"/>
      <c r="H43" s="51"/>
      <c r="I43" s="3">
        <f>1452.64+2822.59</f>
        <v>4275.2300000000005</v>
      </c>
      <c r="J43" s="3">
        <v>20900</v>
      </c>
      <c r="K43" s="39">
        <f>H43+I43+J43</f>
        <v>25175.23</v>
      </c>
      <c r="L43" s="16"/>
    </row>
    <row r="44" spans="1:12" ht="64" x14ac:dyDescent="0.2">
      <c r="A44" s="7" t="s">
        <v>39</v>
      </c>
      <c r="B44" s="7" t="s">
        <v>79</v>
      </c>
      <c r="C44" s="18">
        <v>15000</v>
      </c>
      <c r="D44" s="7">
        <v>15000</v>
      </c>
      <c r="E44" s="18">
        <v>15000</v>
      </c>
      <c r="F44" s="20">
        <f t="shared" ref="F44:F45" si="12">C44+D44+E44</f>
        <v>45000</v>
      </c>
      <c r="G44" s="7"/>
      <c r="H44" s="51"/>
      <c r="I44" s="3">
        <v>50775.69</v>
      </c>
      <c r="J44" s="3"/>
      <c r="K44" s="39">
        <f>H44+I44+J44</f>
        <v>50775.69</v>
      </c>
      <c r="L44" s="16"/>
    </row>
    <row r="45" spans="1:12" ht="80" x14ac:dyDescent="0.2">
      <c r="A45" s="7" t="s">
        <v>40</v>
      </c>
      <c r="B45" s="7" t="s">
        <v>80</v>
      </c>
      <c r="C45" s="18">
        <v>20000</v>
      </c>
      <c r="D45" s="7">
        <v>20000</v>
      </c>
      <c r="E45" s="18">
        <f>20000-10000</f>
        <v>10000</v>
      </c>
      <c r="F45" s="20">
        <f t="shared" si="12"/>
        <v>50000</v>
      </c>
      <c r="G45" s="7"/>
      <c r="H45" s="51"/>
      <c r="I45" s="3"/>
      <c r="J45" s="3">
        <v>0</v>
      </c>
      <c r="K45" s="39">
        <f>H45+I45+J45</f>
        <v>0</v>
      </c>
      <c r="L45" s="16"/>
    </row>
    <row r="46" spans="1:12" ht="48" x14ac:dyDescent="0.2">
      <c r="A46" s="6" t="s">
        <v>16</v>
      </c>
      <c r="B46" s="48" t="s">
        <v>81</v>
      </c>
      <c r="C46" s="1">
        <f>+C47+C48+C49</f>
        <v>36666</v>
      </c>
      <c r="D46" s="1">
        <f>+D47+D48+D49</f>
        <v>36446</v>
      </c>
      <c r="E46" s="1">
        <f>+E47+E48+E49</f>
        <v>49999.666666666672</v>
      </c>
      <c r="F46" s="8">
        <f>+C46+D46+E46</f>
        <v>123111.66666666667</v>
      </c>
      <c r="G46" s="7"/>
      <c r="H46" s="60">
        <f>H47</f>
        <v>14500</v>
      </c>
      <c r="I46" s="2">
        <f>SUM(I47:I49)</f>
        <v>16047.09</v>
      </c>
      <c r="J46" s="2">
        <f>SUM(J47:J49)</f>
        <v>0</v>
      </c>
      <c r="K46" s="39">
        <f>H46+I46+J46</f>
        <v>30547.09</v>
      </c>
      <c r="L46" s="16"/>
    </row>
    <row r="47" spans="1:12" ht="32" x14ac:dyDescent="0.2">
      <c r="A47" s="7" t="s">
        <v>41</v>
      </c>
      <c r="B47" s="7" t="s">
        <v>82</v>
      </c>
      <c r="C47" s="18">
        <v>16666</v>
      </c>
      <c r="D47" s="3">
        <v>16446</v>
      </c>
      <c r="E47" s="18">
        <f>50000/3-6667</f>
        <v>9999.6666666666679</v>
      </c>
      <c r="F47" s="20">
        <f>+C47+D47+E47</f>
        <v>43111.666666666672</v>
      </c>
      <c r="G47" s="7"/>
      <c r="H47" s="57">
        <v>14500</v>
      </c>
      <c r="I47" s="3">
        <v>10047</v>
      </c>
      <c r="J47" s="16"/>
      <c r="K47" s="39">
        <f t="shared" ref="K47" si="13">H47+I47+J47</f>
        <v>24547</v>
      </c>
      <c r="L47" s="16"/>
    </row>
    <row r="48" spans="1:12" ht="32" x14ac:dyDescent="0.2">
      <c r="A48" s="7" t="s">
        <v>42</v>
      </c>
      <c r="B48" s="7" t="s">
        <v>83</v>
      </c>
      <c r="C48" s="33">
        <v>10000</v>
      </c>
      <c r="D48" s="3">
        <v>10000</v>
      </c>
      <c r="E48" s="33">
        <v>30000</v>
      </c>
      <c r="F48" s="20">
        <f t="shared" ref="F48:F49" si="14">+C48+D48+E48</f>
        <v>50000</v>
      </c>
      <c r="G48" s="7"/>
      <c r="H48" s="51"/>
      <c r="I48" s="3">
        <v>6000.09</v>
      </c>
      <c r="J48" s="16"/>
      <c r="K48" s="39">
        <f>H48+I48+J48</f>
        <v>6000.09</v>
      </c>
      <c r="L48" s="16"/>
    </row>
    <row r="49" spans="1:12" ht="48" x14ac:dyDescent="0.2">
      <c r="A49" s="7" t="s">
        <v>43</v>
      </c>
      <c r="B49" s="7" t="s">
        <v>94</v>
      </c>
      <c r="C49" s="18">
        <v>10000</v>
      </c>
      <c r="D49" s="3">
        <v>10000</v>
      </c>
      <c r="E49" s="18">
        <v>10000</v>
      </c>
      <c r="F49" s="20">
        <f t="shared" si="14"/>
        <v>30000</v>
      </c>
      <c r="G49" s="7"/>
      <c r="H49" s="51"/>
      <c r="I49" s="16"/>
      <c r="J49" s="16"/>
      <c r="K49" s="39">
        <f>H49+I49+J49</f>
        <v>0</v>
      </c>
      <c r="L49" s="16"/>
    </row>
    <row r="50" spans="1:12" ht="48" x14ac:dyDescent="0.2">
      <c r="A50" s="6" t="s">
        <v>84</v>
      </c>
      <c r="B50" s="48" t="s">
        <v>88</v>
      </c>
      <c r="C50" s="1">
        <f>C51+C52+C53</f>
        <v>35000</v>
      </c>
      <c r="D50" s="1">
        <f>D51+D52+D53</f>
        <v>35000</v>
      </c>
      <c r="E50" s="1">
        <f>E51+E52+E53</f>
        <v>35000</v>
      </c>
      <c r="F50" s="8">
        <f>+C50+D50+E50</f>
        <v>105000</v>
      </c>
      <c r="G50" s="7"/>
      <c r="H50" s="52">
        <f>SUM(H51:H53)</f>
        <v>20000</v>
      </c>
      <c r="I50" s="5">
        <f>SUM(I51:I53)</f>
        <v>11009</v>
      </c>
      <c r="J50" s="21">
        <f>SUM(J51:J53)</f>
        <v>20000</v>
      </c>
      <c r="K50" s="39">
        <f>H50+I50+J50</f>
        <v>51009</v>
      </c>
      <c r="L50" s="16"/>
    </row>
    <row r="51" spans="1:12" x14ac:dyDescent="0.2">
      <c r="A51" s="7" t="s">
        <v>85</v>
      </c>
      <c r="B51" s="7" t="s">
        <v>89</v>
      </c>
      <c r="C51" s="18">
        <v>15000</v>
      </c>
      <c r="D51" s="3">
        <v>15000</v>
      </c>
      <c r="E51" s="30">
        <v>15000</v>
      </c>
      <c r="F51" s="31">
        <f>+C51+D51+E51</f>
        <v>45000</v>
      </c>
      <c r="G51" s="7"/>
      <c r="H51" s="57"/>
      <c r="I51" s="16"/>
      <c r="J51" s="3"/>
      <c r="K51" s="39">
        <f>H51+I51+J51</f>
        <v>0</v>
      </c>
      <c r="L51" s="16"/>
    </row>
    <row r="52" spans="1:12" x14ac:dyDescent="0.2">
      <c r="A52" s="7" t="s">
        <v>86</v>
      </c>
      <c r="B52" s="7" t="s">
        <v>90</v>
      </c>
      <c r="C52" s="18">
        <v>10000</v>
      </c>
      <c r="D52" s="3">
        <v>10000</v>
      </c>
      <c r="E52" s="30">
        <v>10000</v>
      </c>
      <c r="F52" s="31">
        <f t="shared" ref="F52:F53" si="15">+C52+D52+E52</f>
        <v>30000</v>
      </c>
      <c r="G52" s="7"/>
      <c r="H52" s="70">
        <v>10000</v>
      </c>
      <c r="I52" s="22">
        <v>11009</v>
      </c>
      <c r="J52" s="3">
        <v>10000</v>
      </c>
      <c r="K52" s="39">
        <f t="shared" ref="K52:K54" si="16">H52+I52+J52</f>
        <v>31009</v>
      </c>
      <c r="L52" s="16"/>
    </row>
    <row r="53" spans="1:12" ht="51" customHeight="1" x14ac:dyDescent="0.2">
      <c r="A53" s="7" t="s">
        <v>87</v>
      </c>
      <c r="B53" s="7" t="s">
        <v>91</v>
      </c>
      <c r="C53" s="18">
        <v>10000</v>
      </c>
      <c r="D53" s="3">
        <v>10000</v>
      </c>
      <c r="E53" s="18">
        <v>10000</v>
      </c>
      <c r="F53" s="31">
        <f t="shared" si="15"/>
        <v>30000</v>
      </c>
      <c r="G53" s="7"/>
      <c r="H53" s="70">
        <v>10000</v>
      </c>
      <c r="I53" s="16"/>
      <c r="J53" s="3">
        <v>10000</v>
      </c>
      <c r="K53" s="39">
        <f t="shared" si="16"/>
        <v>20000</v>
      </c>
      <c r="L53" s="16"/>
    </row>
    <row r="54" spans="1:12" ht="27" customHeight="1" x14ac:dyDescent="0.2">
      <c r="A54" s="74" t="s">
        <v>100</v>
      </c>
      <c r="B54" s="74"/>
      <c r="C54" s="1">
        <f>C38+C42+C46+C50</f>
        <v>220664</v>
      </c>
      <c r="D54" s="1">
        <f t="shared" ref="D54:E54" si="17">D38+D42+D46+D50</f>
        <v>217746</v>
      </c>
      <c r="E54" s="1">
        <f t="shared" si="17"/>
        <v>217333</v>
      </c>
      <c r="F54" s="8">
        <f>C54+D54+E54</f>
        <v>655743</v>
      </c>
      <c r="G54" s="6"/>
      <c r="H54" s="55">
        <f>H38+H42+H46+H50</f>
        <v>34500</v>
      </c>
      <c r="I54" s="21">
        <f>I38+I42+I46+I50</f>
        <v>107471.4924384</v>
      </c>
      <c r="J54" s="21">
        <f>J38+J42+J46+J50</f>
        <v>56900</v>
      </c>
      <c r="K54" s="39">
        <f t="shared" si="16"/>
        <v>198871.49243839999</v>
      </c>
      <c r="L54" s="16"/>
    </row>
    <row r="55" spans="1:12" ht="27" customHeight="1" thickBot="1" x14ac:dyDescent="0.25">
      <c r="A55" s="74" t="s">
        <v>101</v>
      </c>
      <c r="B55" s="74"/>
      <c r="C55" s="74"/>
      <c r="D55" s="74"/>
      <c r="E55" s="74"/>
      <c r="F55" s="74"/>
      <c r="G55" s="74"/>
      <c r="H55" s="51"/>
      <c r="I55" s="21"/>
      <c r="J55" s="47"/>
      <c r="K55" s="39">
        <f>H55+I55+J55</f>
        <v>0</v>
      </c>
      <c r="L55" s="16"/>
    </row>
    <row r="56" spans="1:12" ht="70.5" customHeight="1" thickBot="1" x14ac:dyDescent="0.25">
      <c r="A56" s="44" t="s">
        <v>44</v>
      </c>
      <c r="B56" s="6"/>
      <c r="C56" s="36">
        <f>174333</f>
        <v>174333</v>
      </c>
      <c r="D56" s="36">
        <f t="shared" ref="D56:E56" si="18">174333</f>
        <v>174333</v>
      </c>
      <c r="E56" s="36">
        <f t="shared" si="18"/>
        <v>174333</v>
      </c>
      <c r="F56" s="37">
        <f>+C56+D56+E56</f>
        <v>522999</v>
      </c>
      <c r="G56" s="6"/>
      <c r="H56" s="68">
        <f>89803+26693</f>
        <v>116496</v>
      </c>
      <c r="I56" s="3">
        <f>1779.24+2251.34+1019+3074</f>
        <v>8123.58</v>
      </c>
      <c r="J56" s="16"/>
      <c r="K56" s="37">
        <f>H56+I56+J59</f>
        <v>298952.58</v>
      </c>
      <c r="L56" s="16"/>
    </row>
    <row r="57" spans="1:12" ht="58" customHeight="1" thickBot="1" x14ac:dyDescent="0.25">
      <c r="A57" s="44" t="s">
        <v>45</v>
      </c>
      <c r="B57" s="6"/>
      <c r="C57" s="36">
        <v>27915</v>
      </c>
      <c r="D57" s="36">
        <v>35000</v>
      </c>
      <c r="E57" s="35">
        <v>34613</v>
      </c>
      <c r="F57" s="37">
        <f>+C57+D57+E57</f>
        <v>97528</v>
      </c>
      <c r="G57" s="6"/>
      <c r="H57" s="59">
        <f>119620+7681</f>
        <v>127301</v>
      </c>
      <c r="I57" s="3">
        <v>12421</v>
      </c>
      <c r="J57" s="3">
        <v>36250</v>
      </c>
      <c r="K57" s="37">
        <f>H57+I57+J57</f>
        <v>175972</v>
      </c>
      <c r="L57" s="16"/>
    </row>
    <row r="58" spans="1:12" ht="36" customHeight="1" x14ac:dyDescent="0.2">
      <c r="A58" s="45" t="s">
        <v>113</v>
      </c>
      <c r="B58" s="7" t="s">
        <v>0</v>
      </c>
      <c r="C58" s="7"/>
      <c r="D58" s="7"/>
      <c r="E58" s="7"/>
      <c r="F58" s="10"/>
      <c r="G58" s="7"/>
      <c r="H58" s="68">
        <v>0</v>
      </c>
      <c r="I58" s="3">
        <f>57047.21-27251</f>
        <v>29796.21</v>
      </c>
      <c r="J58" s="3">
        <v>15960</v>
      </c>
      <c r="K58" s="39">
        <f>H58+I58+J58</f>
        <v>45756.21</v>
      </c>
      <c r="L58" s="16"/>
    </row>
    <row r="59" spans="1:12" ht="36" customHeight="1" x14ac:dyDescent="0.2">
      <c r="A59" s="7" t="s">
        <v>114</v>
      </c>
      <c r="B59" s="7"/>
      <c r="C59" s="7"/>
      <c r="D59" s="7"/>
      <c r="E59" s="7"/>
      <c r="F59" s="10"/>
      <c r="G59" s="7"/>
      <c r="H59" s="68"/>
      <c r="I59" s="46">
        <v>174261</v>
      </c>
      <c r="J59" s="22">
        <v>174333</v>
      </c>
      <c r="K59" s="39"/>
      <c r="L59" s="16"/>
    </row>
    <row r="60" spans="1:12" ht="21" customHeight="1" x14ac:dyDescent="0.2">
      <c r="A60" s="74" t="s">
        <v>105</v>
      </c>
      <c r="B60" s="74"/>
      <c r="C60" s="1">
        <f>SUM(C56:C58)</f>
        <v>202248</v>
      </c>
      <c r="D60" s="1">
        <f>SUM(D56:D58)</f>
        <v>209333</v>
      </c>
      <c r="E60" s="1">
        <f>SUM(E56:E58)</f>
        <v>208946</v>
      </c>
      <c r="F60" s="8">
        <f>+C60+D60+E60</f>
        <v>620527</v>
      </c>
      <c r="G60" s="6"/>
      <c r="H60" s="61">
        <f>SUM(H56:H59)</f>
        <v>243797</v>
      </c>
      <c r="I60" s="38">
        <f>SUM(I56:I59)</f>
        <v>224601.79</v>
      </c>
      <c r="J60" s="38">
        <f>SUM(J56:J59)</f>
        <v>226543</v>
      </c>
      <c r="K60" s="39">
        <f t="shared" ref="K60:K63" si="19">H60+I60+J60</f>
        <v>694941.79</v>
      </c>
      <c r="L60" s="16"/>
    </row>
    <row r="61" spans="1:12" ht="20" customHeight="1" x14ac:dyDescent="0.2">
      <c r="A61" s="74" t="s">
        <v>102</v>
      </c>
      <c r="B61" s="74"/>
      <c r="C61" s="1">
        <f>C21+C36+C54+C60</f>
        <v>934578.66666666663</v>
      </c>
      <c r="D61" s="1">
        <f>D21+D36+D54+D60</f>
        <v>934579</v>
      </c>
      <c r="E61" s="1">
        <f>E21+E36+E54+E60</f>
        <v>934579</v>
      </c>
      <c r="F61" s="8">
        <f t="shared" ref="F61:F62" si="20">+C61+D61+E61</f>
        <v>2803736.6666666665</v>
      </c>
      <c r="G61" s="6"/>
      <c r="H61" s="55">
        <f>H21+H36+H54+H60</f>
        <v>505515</v>
      </c>
      <c r="I61" s="21">
        <f>I21+I60+I36+I54</f>
        <v>609131.37243840005</v>
      </c>
      <c r="J61" s="21">
        <f>J21+J36+J54+J60</f>
        <v>790425.07000000007</v>
      </c>
      <c r="K61" s="39">
        <f t="shared" si="19"/>
        <v>1905071.4424384001</v>
      </c>
      <c r="L61" s="16"/>
    </row>
    <row r="62" spans="1:12" ht="16" customHeight="1" x14ac:dyDescent="0.2">
      <c r="A62" s="75" t="s">
        <v>103</v>
      </c>
      <c r="B62" s="75"/>
      <c r="C62" s="23">
        <v>65421</v>
      </c>
      <c r="D62" s="23">
        <v>65421</v>
      </c>
      <c r="E62" s="23">
        <v>65421</v>
      </c>
      <c r="F62" s="8">
        <f t="shared" si="20"/>
        <v>196263</v>
      </c>
      <c r="G62" s="7"/>
      <c r="H62" s="62">
        <v>38049</v>
      </c>
      <c r="I62" s="3">
        <v>45849</v>
      </c>
      <c r="J62" s="23">
        <v>54432.160000000003</v>
      </c>
      <c r="K62" s="37">
        <f t="shared" si="19"/>
        <v>138330.16</v>
      </c>
      <c r="L62" s="16"/>
    </row>
    <row r="63" spans="1:12" ht="17" customHeight="1" x14ac:dyDescent="0.2">
      <c r="A63" s="74" t="s">
        <v>104</v>
      </c>
      <c r="B63" s="74"/>
      <c r="C63" s="1">
        <f>C61+C62</f>
        <v>999999.66666666663</v>
      </c>
      <c r="D63" s="1">
        <f t="shared" ref="D63:E63" si="21">D61+D62</f>
        <v>1000000</v>
      </c>
      <c r="E63" s="1">
        <f t="shared" si="21"/>
        <v>1000000</v>
      </c>
      <c r="F63" s="8">
        <f>+C63+D63+E63</f>
        <v>2999999.6666666665</v>
      </c>
      <c r="G63" s="6"/>
      <c r="H63" s="52">
        <f>H61+H62</f>
        <v>543564</v>
      </c>
      <c r="I63" s="5">
        <f>I61+I62</f>
        <v>654980.37243840005</v>
      </c>
      <c r="J63" s="5">
        <f>SUM(J61:J62)</f>
        <v>844857.2300000001</v>
      </c>
      <c r="K63" s="39">
        <f t="shared" si="19"/>
        <v>2043401.6024384</v>
      </c>
      <c r="L63" s="40"/>
    </row>
    <row r="64" spans="1:12" s="14" customFormat="1" x14ac:dyDescent="0.2">
      <c r="A64" s="28" t="s">
        <v>111</v>
      </c>
      <c r="B64" s="28"/>
      <c r="C64" s="28"/>
      <c r="D64" s="28"/>
      <c r="E64" s="28"/>
      <c r="F64" s="28"/>
      <c r="G64" s="28"/>
      <c r="H64" s="63">
        <f>H63/H68*100</f>
        <v>40.3059878920782</v>
      </c>
      <c r="I64" s="41">
        <f t="shared" ref="I64:J64" si="22">I63/1000000*100</f>
        <v>65.498037243840002</v>
      </c>
      <c r="J64" s="41">
        <f t="shared" si="22"/>
        <v>84.485723000000007</v>
      </c>
      <c r="K64" s="41">
        <f>K63/3000000*100</f>
        <v>68.113386747946663</v>
      </c>
      <c r="L64" s="28"/>
    </row>
    <row r="65" spans="1:11" x14ac:dyDescent="0.2">
      <c r="C65" s="19"/>
      <c r="I65" s="19"/>
      <c r="K65" s="13"/>
    </row>
    <row r="66" spans="1:11" x14ac:dyDescent="0.2">
      <c r="H66" s="19">
        <f>H63-543564</f>
        <v>0</v>
      </c>
    </row>
    <row r="67" spans="1:11" x14ac:dyDescent="0.2">
      <c r="I67" s="19"/>
      <c r="J67" s="19"/>
    </row>
    <row r="68" spans="1:11" ht="25.5" customHeight="1" x14ac:dyDescent="0.2">
      <c r="H68" s="22">
        <f>C63+I59+J59</f>
        <v>1348593.6666666665</v>
      </c>
      <c r="K68" s="13"/>
    </row>
    <row r="69" spans="1:11" x14ac:dyDescent="0.2">
      <c r="A69" s="69"/>
      <c r="I69" s="69"/>
      <c r="J69" s="19"/>
    </row>
    <row r="70" spans="1:11" x14ac:dyDescent="0.2">
      <c r="J70" s="72"/>
    </row>
    <row r="71" spans="1:11" x14ac:dyDescent="0.2">
      <c r="J71" s="19"/>
    </row>
  </sheetData>
  <mergeCells count="11">
    <mergeCell ref="A55:G55"/>
    <mergeCell ref="A60:B60"/>
    <mergeCell ref="A61:B61"/>
    <mergeCell ref="A62:B62"/>
    <mergeCell ref="A63:B63"/>
    <mergeCell ref="A8:G8"/>
    <mergeCell ref="A22:G22"/>
    <mergeCell ref="A37:D37"/>
    <mergeCell ref="A54:B54"/>
    <mergeCell ref="A21:B21"/>
    <mergeCell ref="A36:B36"/>
  </mergeCells>
  <pageMargins left="0.7" right="0.7" top="0.75" bottom="0.75" header="0.3" footer="0.3"/>
  <pageSetup scale="74" orientation="landscape" r:id="rId1"/>
  <rowBreaks count="2" manualBreakCount="2">
    <brk id="36"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topLeftCell="A49" workbookViewId="0">
      <selection activeCell="E9" sqref="E9:E21"/>
    </sheetView>
  </sheetViews>
  <sheetFormatPr baseColWidth="10" defaultColWidth="8.83203125" defaultRowHeight="16" x14ac:dyDescent="0.2"/>
  <cols>
    <col min="1" max="1" width="23.83203125" style="13" customWidth="1"/>
    <col min="2" max="2" width="45.6640625" style="13" customWidth="1"/>
    <col min="3" max="3" width="13.33203125" style="15" customWidth="1"/>
    <col min="4" max="4" width="20.83203125" style="15" customWidth="1"/>
    <col min="5" max="5" width="22.6640625" style="15" customWidth="1"/>
    <col min="6" max="6" width="23.6640625" style="13" customWidth="1"/>
    <col min="7" max="7" width="28.6640625" style="13" customWidth="1"/>
    <col min="8" max="8" width="34.1640625" style="13" customWidth="1"/>
    <col min="9" max="16384" width="8.83203125" style="13"/>
  </cols>
  <sheetData>
    <row r="1" spans="1:8" x14ac:dyDescent="0.2">
      <c r="A1" s="12" t="s">
        <v>1</v>
      </c>
      <c r="B1" s="12"/>
    </row>
    <row r="2" spans="1:8" x14ac:dyDescent="0.2">
      <c r="A2" s="12"/>
      <c r="B2" s="12"/>
    </row>
    <row r="3" spans="1:8" x14ac:dyDescent="0.2">
      <c r="A3" s="12" t="s">
        <v>2</v>
      </c>
      <c r="B3" s="12"/>
    </row>
    <row r="5" spans="1:8" x14ac:dyDescent="0.2">
      <c r="A5" s="12" t="s">
        <v>3</v>
      </c>
    </row>
    <row r="7" spans="1:8" ht="91" customHeight="1" x14ac:dyDescent="0.2">
      <c r="A7" s="7" t="s">
        <v>4</v>
      </c>
      <c r="B7" s="7" t="s">
        <v>5</v>
      </c>
      <c r="C7" s="25" t="s">
        <v>110</v>
      </c>
      <c r="D7" s="25" t="s">
        <v>6</v>
      </c>
      <c r="E7" s="25" t="s">
        <v>109</v>
      </c>
      <c r="F7" s="7" t="s">
        <v>7</v>
      </c>
    </row>
    <row r="8" spans="1:8" ht="16" customHeight="1" x14ac:dyDescent="0.2">
      <c r="A8" s="74" t="s">
        <v>47</v>
      </c>
      <c r="B8" s="74"/>
      <c r="C8" s="74"/>
      <c r="D8" s="74"/>
      <c r="E8" s="74"/>
      <c r="F8" s="74"/>
    </row>
    <row r="9" spans="1:8" ht="64" x14ac:dyDescent="0.2">
      <c r="A9" s="42" t="s">
        <v>8</v>
      </c>
      <c r="B9" s="7" t="s">
        <v>48</v>
      </c>
      <c r="C9" s="24">
        <v>500000</v>
      </c>
      <c r="D9" s="25"/>
      <c r="E9" s="76">
        <f>'Budget global détaillé'!K9</f>
        <v>364914.39</v>
      </c>
      <c r="F9" s="16"/>
    </row>
    <row r="10" spans="1:8" ht="48" x14ac:dyDescent="0.2">
      <c r="A10" s="7" t="s">
        <v>17</v>
      </c>
      <c r="B10" s="7" t="s">
        <v>49</v>
      </c>
      <c r="C10" s="30">
        <v>30000</v>
      </c>
      <c r="D10" s="25"/>
      <c r="E10" s="77">
        <f>'Budget global détaillé'!K10</f>
        <v>20000</v>
      </c>
      <c r="F10" s="16"/>
    </row>
    <row r="11" spans="1:8" ht="64" x14ac:dyDescent="0.2">
      <c r="A11" s="7" t="s">
        <v>18</v>
      </c>
      <c r="B11" s="7" t="s">
        <v>50</v>
      </c>
      <c r="C11" s="30">
        <v>170000</v>
      </c>
      <c r="D11" s="25"/>
      <c r="E11" s="77">
        <f>'Budget global détaillé'!K11</f>
        <v>122384.39</v>
      </c>
      <c r="F11" s="16"/>
    </row>
    <row r="12" spans="1:8" ht="176" x14ac:dyDescent="0.2">
      <c r="A12" s="7" t="s">
        <v>19</v>
      </c>
      <c r="B12" s="7" t="s">
        <v>51</v>
      </c>
      <c r="C12" s="30">
        <v>300000</v>
      </c>
      <c r="D12" s="25"/>
      <c r="E12" s="77">
        <f>'Budget global détaillé'!K12</f>
        <v>222530</v>
      </c>
      <c r="F12" s="16"/>
      <c r="H12" s="19"/>
    </row>
    <row r="13" spans="1:8" ht="32" x14ac:dyDescent="0.2">
      <c r="A13" s="42" t="s">
        <v>9</v>
      </c>
      <c r="B13" s="7" t="s">
        <v>52</v>
      </c>
      <c r="C13" s="26">
        <v>158333.33333333331</v>
      </c>
      <c r="D13" s="25"/>
      <c r="E13" s="76">
        <f>'Budget global détaillé'!K13</f>
        <v>80817.919999999998</v>
      </c>
      <c r="F13" s="16"/>
    </row>
    <row r="14" spans="1:8" ht="48" x14ac:dyDescent="0.2">
      <c r="A14" s="7" t="s">
        <v>20</v>
      </c>
      <c r="B14" s="7" t="s">
        <v>53</v>
      </c>
      <c r="C14" s="18">
        <v>38333.333333333328</v>
      </c>
      <c r="D14" s="25"/>
      <c r="E14" s="77">
        <f>'Budget global détaillé'!K14</f>
        <v>31715</v>
      </c>
      <c r="F14" s="16"/>
    </row>
    <row r="15" spans="1:8" ht="64" x14ac:dyDescent="0.2">
      <c r="A15" s="7" t="s">
        <v>21</v>
      </c>
      <c r="B15" s="7" t="s">
        <v>54</v>
      </c>
      <c r="C15" s="18">
        <v>60000</v>
      </c>
      <c r="D15" s="25"/>
      <c r="E15" s="77">
        <f>'Budget global détaillé'!K15</f>
        <v>22374</v>
      </c>
      <c r="F15" s="16"/>
    </row>
    <row r="16" spans="1:8" ht="64" x14ac:dyDescent="0.2">
      <c r="A16" s="7" t="s">
        <v>22</v>
      </c>
      <c r="B16" s="7" t="s">
        <v>55</v>
      </c>
      <c r="C16" s="18">
        <v>60000</v>
      </c>
      <c r="D16" s="25"/>
      <c r="E16" s="77">
        <f>'Budget global détaillé'!K16</f>
        <v>26728.92</v>
      </c>
      <c r="F16" s="16"/>
    </row>
    <row r="17" spans="1:6" ht="48" x14ac:dyDescent="0.2">
      <c r="A17" s="42" t="s">
        <v>10</v>
      </c>
      <c r="B17" s="7" t="s">
        <v>56</v>
      </c>
      <c r="C17" s="26">
        <v>94633.333333333343</v>
      </c>
      <c r="D17" s="25"/>
      <c r="E17" s="76">
        <f>'Budget global détaillé'!K17</f>
        <v>76239.13</v>
      </c>
      <c r="F17" s="16"/>
    </row>
    <row r="18" spans="1:6" ht="64" x14ac:dyDescent="0.2">
      <c r="A18" s="7" t="s">
        <v>23</v>
      </c>
      <c r="B18" s="7" t="s">
        <v>57</v>
      </c>
      <c r="C18" s="18">
        <v>39633.333333333336</v>
      </c>
      <c r="D18" s="25"/>
      <c r="E18" s="77">
        <f>'Budget global détaillé'!K18</f>
        <v>42239.130000000005</v>
      </c>
      <c r="F18" s="16"/>
    </row>
    <row r="19" spans="1:6" ht="32" x14ac:dyDescent="0.2">
      <c r="A19" s="7" t="s">
        <v>24</v>
      </c>
      <c r="B19" s="7" t="s">
        <v>58</v>
      </c>
      <c r="C19" s="18">
        <v>55000</v>
      </c>
      <c r="D19" s="25"/>
      <c r="E19" s="77">
        <f>'Budget global détaillé'!K19</f>
        <v>34000</v>
      </c>
      <c r="F19" s="16"/>
    </row>
    <row r="20" spans="1:6" x14ac:dyDescent="0.2">
      <c r="A20" s="7" t="s">
        <v>25</v>
      </c>
      <c r="B20" s="7"/>
      <c r="C20" s="25"/>
      <c r="D20" s="25"/>
      <c r="E20" s="76">
        <f>'Budget global détaillé'!K20</f>
        <v>0</v>
      </c>
      <c r="F20" s="16"/>
    </row>
    <row r="21" spans="1:6" x14ac:dyDescent="0.2">
      <c r="A21" s="74" t="s">
        <v>98</v>
      </c>
      <c r="B21" s="74"/>
      <c r="C21" s="24">
        <v>752966.66666666663</v>
      </c>
      <c r="D21" s="27"/>
      <c r="E21" s="76">
        <f>'Budget global détaillé'!K21</f>
        <v>521971.44</v>
      </c>
      <c r="F21" s="16"/>
    </row>
    <row r="22" spans="1:6" ht="16" customHeight="1" x14ac:dyDescent="0.2">
      <c r="A22" s="74" t="s">
        <v>59</v>
      </c>
      <c r="B22" s="74"/>
      <c r="C22" s="74"/>
      <c r="D22" s="74"/>
      <c r="E22" s="74"/>
      <c r="F22" s="74"/>
    </row>
    <row r="23" spans="1:6" ht="48" x14ac:dyDescent="0.2">
      <c r="A23" s="42" t="s">
        <v>11</v>
      </c>
      <c r="B23" s="7" t="s">
        <v>60</v>
      </c>
      <c r="C23" s="24">
        <v>285000</v>
      </c>
      <c r="D23" s="25"/>
      <c r="E23" s="38">
        <f>'Budget global détaillé'!K23</f>
        <v>229557</v>
      </c>
      <c r="F23" s="16"/>
    </row>
    <row r="24" spans="1:6" ht="80" x14ac:dyDescent="0.2">
      <c r="A24" s="7" t="s">
        <v>26</v>
      </c>
      <c r="B24" s="7" t="s">
        <v>61</v>
      </c>
      <c r="C24" s="33">
        <v>150000</v>
      </c>
      <c r="D24" s="25"/>
      <c r="E24" s="36">
        <f>'Budget global détaillé'!K24</f>
        <v>81684.600000000006</v>
      </c>
      <c r="F24" s="16"/>
    </row>
    <row r="25" spans="1:6" ht="32" x14ac:dyDescent="0.2">
      <c r="A25" s="7" t="s">
        <v>27</v>
      </c>
      <c r="B25" s="7" t="s">
        <v>62</v>
      </c>
      <c r="C25" s="33">
        <v>45000</v>
      </c>
      <c r="D25" s="25"/>
      <c r="E25" s="36">
        <f>'Budget global détaillé'!K25</f>
        <v>85522.4</v>
      </c>
      <c r="F25" s="16"/>
    </row>
    <row r="26" spans="1:6" ht="48" x14ac:dyDescent="0.2">
      <c r="A26" s="7" t="s">
        <v>28</v>
      </c>
      <c r="B26" s="7" t="s">
        <v>63</v>
      </c>
      <c r="C26" s="33">
        <v>90000</v>
      </c>
      <c r="D26" s="25"/>
      <c r="E26" s="36">
        <f>'Budget global détaillé'!K26</f>
        <v>51009.599999999999</v>
      </c>
      <c r="F26" s="16"/>
    </row>
    <row r="27" spans="1:6" ht="48" x14ac:dyDescent="0.2">
      <c r="A27" s="42" t="s">
        <v>12</v>
      </c>
      <c r="B27" s="7" t="s">
        <v>64</v>
      </c>
      <c r="C27" s="24">
        <v>269500</v>
      </c>
      <c r="D27" s="25"/>
      <c r="E27" s="38">
        <f>'Budget global détaillé'!K27</f>
        <v>187289.72</v>
      </c>
      <c r="F27" s="16"/>
    </row>
    <row r="28" spans="1:6" ht="48" x14ac:dyDescent="0.2">
      <c r="A28" s="7" t="s">
        <v>29</v>
      </c>
      <c r="B28" s="7" t="s">
        <v>65</v>
      </c>
      <c r="C28" s="18">
        <v>120000</v>
      </c>
      <c r="D28" s="25"/>
      <c r="E28" s="36">
        <f>'Budget global détaillé'!K28</f>
        <v>82226.709999999992</v>
      </c>
      <c r="F28" s="16"/>
    </row>
    <row r="29" spans="1:6" ht="32" x14ac:dyDescent="0.2">
      <c r="A29" s="7" t="s">
        <v>30</v>
      </c>
      <c r="B29" s="7" t="s">
        <v>66</v>
      </c>
      <c r="C29" s="18">
        <v>69866.333333333328</v>
      </c>
      <c r="D29" s="25"/>
      <c r="E29" s="36">
        <f>'Budget global détaillé'!K29</f>
        <v>34569</v>
      </c>
      <c r="F29" s="16"/>
    </row>
    <row r="30" spans="1:6" ht="96" x14ac:dyDescent="0.2">
      <c r="A30" s="7" t="s">
        <v>31</v>
      </c>
      <c r="B30" s="7" t="s">
        <v>93</v>
      </c>
      <c r="C30" s="18">
        <v>30000</v>
      </c>
      <c r="D30" s="25"/>
      <c r="E30" s="36">
        <f>'Budget global détaillé'!K30</f>
        <v>48413.75</v>
      </c>
      <c r="F30" s="16"/>
    </row>
    <row r="31" spans="1:6" ht="48" x14ac:dyDescent="0.2">
      <c r="A31" s="7" t="s">
        <v>92</v>
      </c>
      <c r="B31" s="7" t="s">
        <v>67</v>
      </c>
      <c r="C31" s="18">
        <v>49633.666666666672</v>
      </c>
      <c r="D31" s="25"/>
      <c r="E31" s="36">
        <f>'Budget global détaillé'!K31</f>
        <v>22080.260000000002</v>
      </c>
      <c r="F31" s="16"/>
    </row>
    <row r="32" spans="1:6" ht="64" x14ac:dyDescent="0.2">
      <c r="A32" s="42" t="s">
        <v>13</v>
      </c>
      <c r="B32" s="7" t="s">
        <v>68</v>
      </c>
      <c r="C32" s="24">
        <v>220000</v>
      </c>
      <c r="D32" s="25"/>
      <c r="E32" s="38">
        <f>'Budget global détaillé'!K32</f>
        <v>72440</v>
      </c>
      <c r="F32" s="16"/>
    </row>
    <row r="33" spans="1:6" ht="64" x14ac:dyDescent="0.2">
      <c r="A33" s="7" t="s">
        <v>32</v>
      </c>
      <c r="B33" s="7" t="s">
        <v>69</v>
      </c>
      <c r="C33" s="18">
        <v>70000</v>
      </c>
      <c r="D33" s="25"/>
      <c r="E33" s="36">
        <f>'Budget global détaillé'!K33</f>
        <v>19590</v>
      </c>
      <c r="F33" s="16"/>
    </row>
    <row r="34" spans="1:6" ht="48" x14ac:dyDescent="0.2">
      <c r="A34" s="7" t="s">
        <v>33</v>
      </c>
      <c r="B34" s="7" t="s">
        <v>70</v>
      </c>
      <c r="C34" s="18">
        <v>60000</v>
      </c>
      <c r="D34" s="25"/>
      <c r="E34" s="36">
        <f>'Budget global détaillé'!K34</f>
        <v>21350</v>
      </c>
      <c r="F34" s="16"/>
    </row>
    <row r="35" spans="1:6" ht="48" x14ac:dyDescent="0.2">
      <c r="A35" s="7" t="s">
        <v>34</v>
      </c>
      <c r="B35" s="7" t="s">
        <v>71</v>
      </c>
      <c r="C35" s="18">
        <v>90000</v>
      </c>
      <c r="D35" s="25"/>
      <c r="E35" s="36">
        <f>'Budget global détaillé'!K35</f>
        <v>31500</v>
      </c>
      <c r="F35" s="16"/>
    </row>
    <row r="36" spans="1:6" x14ac:dyDescent="0.2">
      <c r="A36" s="74" t="s">
        <v>99</v>
      </c>
      <c r="B36" s="74"/>
      <c r="C36" s="24">
        <v>774500</v>
      </c>
      <c r="D36" s="27"/>
      <c r="E36" s="38">
        <f>'Budget global détaillé'!K36</f>
        <v>489286.72</v>
      </c>
      <c r="F36" s="16"/>
    </row>
    <row r="37" spans="1:6" ht="16" customHeight="1" x14ac:dyDescent="0.2">
      <c r="A37" s="74" t="s">
        <v>72</v>
      </c>
      <c r="B37" s="74"/>
      <c r="C37" s="74"/>
      <c r="D37" s="74"/>
      <c r="E37" s="74"/>
      <c r="F37" s="74"/>
    </row>
    <row r="38" spans="1:6" x14ac:dyDescent="0.2">
      <c r="A38" s="42" t="s">
        <v>14</v>
      </c>
      <c r="B38" s="7" t="s">
        <v>73</v>
      </c>
      <c r="C38" s="24">
        <v>272631.33333333337</v>
      </c>
      <c r="D38" s="25"/>
      <c r="E38" s="38">
        <f>'Budget global détaillé'!K38</f>
        <v>41364.482438400002</v>
      </c>
      <c r="F38" s="16"/>
    </row>
    <row r="39" spans="1:6" ht="32" x14ac:dyDescent="0.2">
      <c r="A39" s="7" t="s">
        <v>35</v>
      </c>
      <c r="B39" s="7" t="s">
        <v>74</v>
      </c>
      <c r="C39" s="18">
        <v>49633</v>
      </c>
      <c r="D39" s="25"/>
      <c r="E39" s="36">
        <f>'Budget global détaillé'!K39</f>
        <v>16000</v>
      </c>
      <c r="F39" s="16"/>
    </row>
    <row r="40" spans="1:6" ht="64" x14ac:dyDescent="0.2">
      <c r="A40" s="7" t="s">
        <v>36</v>
      </c>
      <c r="B40" s="7" t="s">
        <v>75</v>
      </c>
      <c r="C40" s="18">
        <v>191665.66666666669</v>
      </c>
      <c r="D40" s="25"/>
      <c r="E40" s="36">
        <f>'Budget global détaillé'!K40</f>
        <v>7125.4824384000003</v>
      </c>
      <c r="F40" s="16"/>
    </row>
    <row r="41" spans="1:6" ht="32" x14ac:dyDescent="0.2">
      <c r="A41" s="7" t="s">
        <v>37</v>
      </c>
      <c r="B41" s="7" t="s">
        <v>76</v>
      </c>
      <c r="C41" s="18">
        <v>31332.666666666664</v>
      </c>
      <c r="D41" s="25"/>
      <c r="E41" s="36">
        <f>'Budget global détaillé'!K41</f>
        <v>18239</v>
      </c>
      <c r="F41" s="16"/>
    </row>
    <row r="42" spans="1:6" ht="48" x14ac:dyDescent="0.2">
      <c r="A42" s="42" t="s">
        <v>15</v>
      </c>
      <c r="B42" s="7" t="s">
        <v>77</v>
      </c>
      <c r="C42" s="24">
        <v>155000</v>
      </c>
      <c r="D42" s="25"/>
      <c r="E42" s="38">
        <f>'Budget global détaillé'!K42</f>
        <v>75950.920000000013</v>
      </c>
      <c r="F42" s="16"/>
    </row>
    <row r="43" spans="1:6" ht="48" x14ac:dyDescent="0.2">
      <c r="A43" s="7" t="s">
        <v>38</v>
      </c>
      <c r="B43" s="7" t="s">
        <v>78</v>
      </c>
      <c r="C43" s="18">
        <v>60000</v>
      </c>
      <c r="D43" s="25"/>
      <c r="E43" s="36">
        <f>'Budget global détaillé'!K43</f>
        <v>25175.23</v>
      </c>
      <c r="F43" s="16"/>
    </row>
    <row r="44" spans="1:6" ht="64" x14ac:dyDescent="0.2">
      <c r="A44" s="7" t="s">
        <v>39</v>
      </c>
      <c r="B44" s="7" t="s">
        <v>79</v>
      </c>
      <c r="C44" s="18">
        <v>45000</v>
      </c>
      <c r="D44" s="25"/>
      <c r="E44" s="38">
        <f>'Budget global détaillé'!K44</f>
        <v>50775.69</v>
      </c>
      <c r="F44" s="16"/>
    </row>
    <row r="45" spans="1:6" ht="80" x14ac:dyDescent="0.2">
      <c r="A45" s="7" t="s">
        <v>40</v>
      </c>
      <c r="B45" s="7" t="s">
        <v>80</v>
      </c>
      <c r="C45" s="18">
        <v>50000</v>
      </c>
      <c r="D45" s="25"/>
      <c r="E45" s="38">
        <f>'Budget global détaillé'!K45</f>
        <v>0</v>
      </c>
      <c r="F45" s="16"/>
    </row>
    <row r="46" spans="1:6" ht="32" x14ac:dyDescent="0.2">
      <c r="A46" s="42" t="s">
        <v>16</v>
      </c>
      <c r="B46" s="7" t="s">
        <v>81</v>
      </c>
      <c r="C46" s="24">
        <v>123111.66666666667</v>
      </c>
      <c r="D46" s="25"/>
      <c r="E46" s="38">
        <f>'Budget global détaillé'!K46</f>
        <v>30547.09</v>
      </c>
      <c r="F46" s="16"/>
    </row>
    <row r="47" spans="1:6" ht="32" x14ac:dyDescent="0.2">
      <c r="A47" s="7" t="s">
        <v>41</v>
      </c>
      <c r="B47" s="7" t="s">
        <v>82</v>
      </c>
      <c r="C47" s="18">
        <v>43111.666666666672</v>
      </c>
      <c r="D47" s="25"/>
      <c r="E47" s="38">
        <f>'Budget global détaillé'!K47</f>
        <v>24547</v>
      </c>
      <c r="F47" s="16"/>
    </row>
    <row r="48" spans="1:6" ht="32" x14ac:dyDescent="0.2">
      <c r="A48" s="7" t="s">
        <v>42</v>
      </c>
      <c r="B48" s="7" t="s">
        <v>83</v>
      </c>
      <c r="C48" s="18">
        <v>50000</v>
      </c>
      <c r="D48" s="25"/>
      <c r="E48" s="38">
        <f>'Budget global détaillé'!K48</f>
        <v>6000.09</v>
      </c>
      <c r="F48" s="16"/>
    </row>
    <row r="49" spans="1:6" ht="48" x14ac:dyDescent="0.2">
      <c r="A49" s="7" t="s">
        <v>43</v>
      </c>
      <c r="B49" s="7" t="s">
        <v>94</v>
      </c>
      <c r="C49" s="18">
        <v>30000</v>
      </c>
      <c r="D49" s="25"/>
      <c r="E49" s="38">
        <f>'Budget global détaillé'!K49</f>
        <v>0</v>
      </c>
      <c r="F49" s="16"/>
    </row>
    <row r="50" spans="1:6" ht="48" x14ac:dyDescent="0.2">
      <c r="A50" s="42" t="s">
        <v>84</v>
      </c>
      <c r="B50" s="7" t="s">
        <v>88</v>
      </c>
      <c r="C50" s="24">
        <v>105000</v>
      </c>
      <c r="D50" s="25"/>
      <c r="E50" s="76">
        <f>'Budget global détaillé'!K50</f>
        <v>51009</v>
      </c>
      <c r="F50" s="16"/>
    </row>
    <row r="51" spans="1:6" x14ac:dyDescent="0.2">
      <c r="A51" s="7" t="s">
        <v>85</v>
      </c>
      <c r="B51" s="7" t="s">
        <v>89</v>
      </c>
      <c r="C51" s="30">
        <v>45000</v>
      </c>
      <c r="D51" s="25"/>
      <c r="E51" s="36">
        <f>'Budget global détaillé'!K51</f>
        <v>0</v>
      </c>
      <c r="F51" s="16"/>
    </row>
    <row r="52" spans="1:6" x14ac:dyDescent="0.2">
      <c r="A52" s="7" t="s">
        <v>86</v>
      </c>
      <c r="B52" s="7" t="s">
        <v>90</v>
      </c>
      <c r="C52" s="30">
        <v>30000</v>
      </c>
      <c r="D52" s="25"/>
      <c r="E52" s="36">
        <f>'Budget global détaillé'!K52</f>
        <v>31009</v>
      </c>
      <c r="F52" s="16"/>
    </row>
    <row r="53" spans="1:6" ht="48" x14ac:dyDescent="0.2">
      <c r="A53" s="7" t="s">
        <v>87</v>
      </c>
      <c r="B53" s="7" t="s">
        <v>91</v>
      </c>
      <c r="C53" s="30">
        <v>30000</v>
      </c>
      <c r="D53" s="25"/>
      <c r="E53" s="76">
        <f>'Budget global détaillé'!K53</f>
        <v>20000</v>
      </c>
      <c r="F53" s="16"/>
    </row>
    <row r="54" spans="1:6" x14ac:dyDescent="0.2">
      <c r="A54" s="74" t="s">
        <v>100</v>
      </c>
      <c r="B54" s="74"/>
      <c r="C54" s="24">
        <v>655743</v>
      </c>
      <c r="D54" s="27"/>
      <c r="E54" s="38">
        <f>'Budget global détaillé'!K54</f>
        <v>198871.49243839999</v>
      </c>
      <c r="F54" s="16"/>
    </row>
    <row r="55" spans="1:6" x14ac:dyDescent="0.2">
      <c r="A55" s="74" t="s">
        <v>101</v>
      </c>
      <c r="B55" s="74"/>
      <c r="C55" s="74"/>
      <c r="D55" s="74"/>
      <c r="E55" s="74"/>
      <c r="F55" s="74"/>
    </row>
    <row r="56" spans="1:6" ht="48" x14ac:dyDescent="0.2">
      <c r="A56" s="7" t="s">
        <v>44</v>
      </c>
      <c r="B56" s="42"/>
      <c r="C56" s="36">
        <v>522999</v>
      </c>
      <c r="D56" s="27"/>
      <c r="E56" s="36">
        <f>'Budget global détaillé'!K56</f>
        <v>298952.58</v>
      </c>
      <c r="F56" s="16"/>
    </row>
    <row r="57" spans="1:6" ht="48" x14ac:dyDescent="0.2">
      <c r="A57" s="7" t="s">
        <v>45</v>
      </c>
      <c r="B57" s="42"/>
      <c r="C57" s="36">
        <v>97528</v>
      </c>
      <c r="D57" s="27"/>
      <c r="E57" s="36">
        <f>'Budget global détaillé'!K57</f>
        <v>175972</v>
      </c>
      <c r="F57" s="16"/>
    </row>
    <row r="58" spans="1:6" x14ac:dyDescent="0.2">
      <c r="A58" s="7" t="s">
        <v>46</v>
      </c>
      <c r="B58" s="7" t="s">
        <v>0</v>
      </c>
      <c r="C58" s="25"/>
      <c r="D58" s="25"/>
      <c r="E58" s="36">
        <f>'Budget global détaillé'!K58</f>
        <v>45756.21</v>
      </c>
      <c r="F58" s="16"/>
    </row>
    <row r="59" spans="1:6" x14ac:dyDescent="0.2">
      <c r="A59" s="74" t="s">
        <v>105</v>
      </c>
      <c r="B59" s="74"/>
      <c r="C59" s="24">
        <v>620527</v>
      </c>
      <c r="D59" s="27"/>
      <c r="E59" s="38">
        <f>'Budget global détaillé'!K60</f>
        <v>694941.79</v>
      </c>
      <c r="F59" s="16"/>
    </row>
    <row r="60" spans="1:6" x14ac:dyDescent="0.2">
      <c r="A60" s="74" t="s">
        <v>102</v>
      </c>
      <c r="B60" s="74"/>
      <c r="C60" s="24">
        <v>2803736.6666666665</v>
      </c>
      <c r="D60" s="27"/>
      <c r="E60" s="38">
        <f>'Budget global détaillé'!K61</f>
        <v>1905071.4424384001</v>
      </c>
      <c r="F60" s="16"/>
    </row>
    <row r="61" spans="1:6" x14ac:dyDescent="0.2">
      <c r="A61" s="75" t="s">
        <v>103</v>
      </c>
      <c r="B61" s="75"/>
      <c r="C61" s="24">
        <v>196263</v>
      </c>
      <c r="D61" s="25"/>
      <c r="E61" s="36">
        <f>'Budget global détaillé'!K62</f>
        <v>138330.16</v>
      </c>
      <c r="F61" s="16"/>
    </row>
    <row r="62" spans="1:6" x14ac:dyDescent="0.2">
      <c r="A62" s="74" t="s">
        <v>104</v>
      </c>
      <c r="B62" s="74"/>
      <c r="C62" s="24">
        <v>2999999.6666666665</v>
      </c>
      <c r="D62" s="27"/>
      <c r="E62" s="38">
        <f>'Budget global détaillé'!K63</f>
        <v>2043401.6024384</v>
      </c>
      <c r="F62" s="40"/>
    </row>
    <row r="63" spans="1:6" s="15" customFormat="1" x14ac:dyDescent="0.2">
      <c r="A63" s="43" t="s">
        <v>112</v>
      </c>
      <c r="B63" s="28"/>
      <c r="C63" s="28"/>
      <c r="D63" s="28"/>
      <c r="E63" s="29">
        <f>E62/C62*100</f>
        <v>68.113394316101591</v>
      </c>
      <c r="F63" s="28"/>
    </row>
  </sheetData>
  <mergeCells count="11">
    <mergeCell ref="A8:F8"/>
    <mergeCell ref="A22:F22"/>
    <mergeCell ref="A21:B21"/>
    <mergeCell ref="A36:B36"/>
    <mergeCell ref="A54:B54"/>
    <mergeCell ref="A37:F37"/>
    <mergeCell ref="A55:F55"/>
    <mergeCell ref="A59:B59"/>
    <mergeCell ref="A60:B60"/>
    <mergeCell ref="A61:B61"/>
    <mergeCell ref="A62:B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Budget global détaillé</vt:lpstr>
      <vt:lpstr>Budget global synthèse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Nombre Issaka</cp:lastModifiedBy>
  <cp:lastPrinted>2017-12-11T22:51:21Z</cp:lastPrinted>
  <dcterms:created xsi:type="dcterms:W3CDTF">2017-11-15T21:17:43Z</dcterms:created>
  <dcterms:modified xsi:type="dcterms:W3CDTF">2019-06-26T10:40:33Z</dcterms:modified>
</cp:coreProperties>
</file>