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OSSENI\OneDrive - Care International\CARE FY20\MOJEC\Rapports\Sem 2 - 2019\"/>
    </mc:Choice>
  </mc:AlternateContent>
  <bookViews>
    <workbookView xWindow="0" yWindow="0" windowWidth="19180" windowHeight="6860"/>
  </bookViews>
  <sheets>
    <sheet name="RF-UNPBFQ3" sheetId="1" r:id="rId1"/>
    <sheet name="RF-UNPBFQ3 detail" sheetId="2" r:id="rId2"/>
  </sheets>
  <externalReferences>
    <externalReference r:id="rId3"/>
    <externalReference r:id="rId4"/>
    <externalReference r:id="rId5"/>
  </externalReferences>
  <definedNames>
    <definedName name="_xlnm.Print_Area" localSheetId="1">'RF-UNPBFQ3 detail'!$A$1:$M$71</definedName>
    <definedName name="_xlnm.Print_Titles" localSheetId="1">'RF-UNPBFQ3 detail'!$7:$7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8" i="2" l="1"/>
  <c r="D67" i="2"/>
  <c r="D66" i="2"/>
  <c r="J63" i="2"/>
  <c r="I62" i="2"/>
  <c r="K62" i="2" s="1"/>
  <c r="D62" i="2"/>
  <c r="E62" i="2" s="1"/>
  <c r="D61" i="2"/>
  <c r="E61" i="2" s="1"/>
  <c r="I60" i="2"/>
  <c r="J60" i="2" s="1"/>
  <c r="E60" i="2"/>
  <c r="D60" i="2"/>
  <c r="K59" i="2"/>
  <c r="I59" i="2"/>
  <c r="D59" i="2"/>
  <c r="J59" i="2" s="1"/>
  <c r="I58" i="2"/>
  <c r="K58" i="2" s="1"/>
  <c r="D58" i="2"/>
  <c r="E58" i="2" s="1"/>
  <c r="I57" i="2"/>
  <c r="D57" i="2"/>
  <c r="E57" i="2" s="1"/>
  <c r="I56" i="2"/>
  <c r="K56" i="2" s="1"/>
  <c r="E56" i="2"/>
  <c r="D56" i="2"/>
  <c r="K54" i="2"/>
  <c r="I54" i="2"/>
  <c r="D54" i="2"/>
  <c r="J54" i="2" s="1"/>
  <c r="I53" i="2"/>
  <c r="K53" i="2" s="1"/>
  <c r="D53" i="2"/>
  <c r="E53" i="2" s="1"/>
  <c r="I52" i="2"/>
  <c r="D52" i="2"/>
  <c r="E52" i="2" s="1"/>
  <c r="I51" i="2"/>
  <c r="J51" i="2" s="1"/>
  <c r="E51" i="2"/>
  <c r="D51" i="2"/>
  <c r="D64" i="2" s="1"/>
  <c r="H47" i="2"/>
  <c r="G47" i="2"/>
  <c r="F47" i="2"/>
  <c r="I47" i="2" s="1"/>
  <c r="K45" i="2"/>
  <c r="I45" i="2"/>
  <c r="D45" i="2"/>
  <c r="J45" i="2" s="1"/>
  <c r="I44" i="2"/>
  <c r="K44" i="2" s="1"/>
  <c r="D44" i="2"/>
  <c r="E44" i="2" s="1"/>
  <c r="I43" i="2"/>
  <c r="D43" i="2"/>
  <c r="E43" i="2" s="1"/>
  <c r="I42" i="2"/>
  <c r="J42" i="2" s="1"/>
  <c r="E42" i="2"/>
  <c r="D42" i="2"/>
  <c r="K39" i="2"/>
  <c r="I39" i="2"/>
  <c r="D39" i="2"/>
  <c r="J39" i="2" s="1"/>
  <c r="I38" i="2"/>
  <c r="K38" i="2" s="1"/>
  <c r="D38" i="2"/>
  <c r="E38" i="2" s="1"/>
  <c r="I37" i="2"/>
  <c r="D37" i="2"/>
  <c r="D47" i="2" s="1"/>
  <c r="I36" i="2"/>
  <c r="K36" i="2" s="1"/>
  <c r="E36" i="2"/>
  <c r="D36" i="2"/>
  <c r="F32" i="2"/>
  <c r="K30" i="2"/>
  <c r="I30" i="2"/>
  <c r="D30" i="2"/>
  <c r="J30" i="2" s="1"/>
  <c r="I29" i="2"/>
  <c r="K29" i="2" s="1"/>
  <c r="D29" i="2"/>
  <c r="I28" i="2"/>
  <c r="K28" i="2" s="1"/>
  <c r="D28" i="2"/>
  <c r="E28" i="2" s="1"/>
  <c r="I27" i="2"/>
  <c r="K27" i="2" s="1"/>
  <c r="D27" i="2"/>
  <c r="J27" i="2" s="1"/>
  <c r="K26" i="2"/>
  <c r="J26" i="2"/>
  <c r="I26" i="2"/>
  <c r="D26" i="2"/>
  <c r="E26" i="2" s="1"/>
  <c r="K25" i="2"/>
  <c r="I25" i="2"/>
  <c r="J25" i="2" s="1"/>
  <c r="E25" i="2"/>
  <c r="D25" i="2"/>
  <c r="I22" i="2"/>
  <c r="K22" i="2" s="1"/>
  <c r="D22" i="2"/>
  <c r="E22" i="2" s="1"/>
  <c r="I21" i="2"/>
  <c r="K21" i="2" s="1"/>
  <c r="D21" i="2"/>
  <c r="E21" i="2" s="1"/>
  <c r="K20" i="2"/>
  <c r="J20" i="2"/>
  <c r="I20" i="2"/>
  <c r="D20" i="2"/>
  <c r="E20" i="2" s="1"/>
  <c r="K19" i="2"/>
  <c r="I19" i="2"/>
  <c r="J19" i="2" s="1"/>
  <c r="E19" i="2"/>
  <c r="D19" i="2"/>
  <c r="D18" i="2"/>
  <c r="E18" i="2" s="1"/>
  <c r="D17" i="2"/>
  <c r="E17" i="2" s="1"/>
  <c r="D14" i="2"/>
  <c r="E14" i="2" s="1"/>
  <c r="I13" i="2"/>
  <c r="K13" i="2" s="1"/>
  <c r="D13" i="2"/>
  <c r="J13" i="2" s="1"/>
  <c r="D12" i="2"/>
  <c r="D32" i="2" s="1"/>
  <c r="A12" i="2"/>
  <c r="A13" i="2" s="1"/>
  <c r="A14" i="2" s="1"/>
  <c r="A17" i="2" s="1"/>
  <c r="A18" i="2" s="1"/>
  <c r="A19" i="2" s="1"/>
  <c r="A20" i="2" s="1"/>
  <c r="A21" i="2" s="1"/>
  <c r="A22" i="2" s="1"/>
  <c r="A25" i="2" s="1"/>
  <c r="A26" i="2" s="1"/>
  <c r="A27" i="2" s="1"/>
  <c r="A28" i="2" s="1"/>
  <c r="A29" i="2" s="1"/>
  <c r="A30" i="2" s="1"/>
  <c r="A36" i="2" s="1"/>
  <c r="A37" i="2" s="1"/>
  <c r="A38" i="2" s="1"/>
  <c r="A39" i="2" s="1"/>
  <c r="A42" i="2" s="1"/>
  <c r="A43" i="2" s="1"/>
  <c r="A44" i="2" s="1"/>
  <c r="A45" i="2" s="1"/>
  <c r="A51" i="2" s="1"/>
  <c r="A52" i="2" s="1"/>
  <c r="A53" i="2" s="1"/>
  <c r="A54" i="2" s="1"/>
  <c r="A56" i="2" s="1"/>
  <c r="A57" i="2" s="1"/>
  <c r="A58" i="2" s="1"/>
  <c r="A59" i="2" s="1"/>
  <c r="A60" i="2" s="1"/>
  <c r="A61" i="2" s="1"/>
  <c r="A62" i="2" s="1"/>
  <c r="A66" i="2" s="1"/>
  <c r="A67" i="2" s="1"/>
  <c r="A68" i="2" s="1"/>
  <c r="A70" i="2" s="1"/>
  <c r="D11" i="2"/>
  <c r="E11" i="2" s="1"/>
  <c r="A11" i="2"/>
  <c r="D10" i="2"/>
  <c r="E10" i="2" s="1"/>
  <c r="F18" i="1"/>
  <c r="E18" i="1"/>
  <c r="H18" i="1" s="1"/>
  <c r="D18" i="1"/>
  <c r="G18" i="1" s="1"/>
  <c r="C18" i="1"/>
  <c r="E17" i="1"/>
  <c r="H17" i="1" s="1"/>
  <c r="D17" i="1"/>
  <c r="G17" i="1" s="1"/>
  <c r="C17" i="1"/>
  <c r="F17" i="1" s="1"/>
  <c r="F16" i="1"/>
  <c r="E16" i="1"/>
  <c r="H16" i="1" s="1"/>
  <c r="D16" i="1"/>
  <c r="G16" i="1" s="1"/>
  <c r="C16" i="1"/>
  <c r="L15" i="1"/>
  <c r="M15" i="1" s="1"/>
  <c r="H15" i="1"/>
  <c r="F15" i="1"/>
  <c r="E14" i="1"/>
  <c r="H14" i="1" s="1"/>
  <c r="D14" i="1"/>
  <c r="G14" i="1" s="1"/>
  <c r="C14" i="1"/>
  <c r="F14" i="1" s="1"/>
  <c r="L13" i="1"/>
  <c r="M13" i="1" s="1"/>
  <c r="H13" i="1"/>
  <c r="F13" i="1"/>
  <c r="F12" i="1"/>
  <c r="E12" i="1"/>
  <c r="E19" i="1" s="1"/>
  <c r="D12" i="1"/>
  <c r="G12" i="1" s="1"/>
  <c r="C12" i="1"/>
  <c r="H17" i="2"/>
  <c r="H10" i="2"/>
  <c r="G68" i="2"/>
  <c r="G67" i="2"/>
  <c r="G66" i="2"/>
  <c r="F61" i="2"/>
  <c r="H18" i="2"/>
  <c r="G17" i="2"/>
  <c r="F68" i="2"/>
  <c r="F67" i="2"/>
  <c r="F66" i="2"/>
  <c r="H11" i="2"/>
  <c r="H67" i="2"/>
  <c r="G61" i="2"/>
  <c r="H12" i="2"/>
  <c r="H61" i="2"/>
  <c r="H68" i="2"/>
  <c r="H66" i="2"/>
  <c r="H14" i="2"/>
  <c r="K17" i="1"/>
  <c r="K14" i="1"/>
  <c r="K18" i="1"/>
  <c r="K16" i="1"/>
  <c r="K12" i="1"/>
  <c r="H12" i="1" l="1"/>
  <c r="H19" i="1" s="1"/>
  <c r="H21" i="1" s="1"/>
  <c r="C19" i="1"/>
  <c r="I14" i="2"/>
  <c r="K14" i="2" s="1"/>
  <c r="H64" i="2"/>
  <c r="I12" i="2"/>
  <c r="G64" i="2"/>
  <c r="I11" i="2"/>
  <c r="I66" i="2"/>
  <c r="K66" i="2" s="1"/>
  <c r="I67" i="2"/>
  <c r="K67" i="2" s="1"/>
  <c r="I68" i="2"/>
  <c r="K68" i="2" s="1"/>
  <c r="G32" i="2"/>
  <c r="G69" i="2" s="1"/>
  <c r="I17" i="2"/>
  <c r="K17" i="2" s="1"/>
  <c r="I18" i="2"/>
  <c r="K18" i="2" s="1"/>
  <c r="F64" i="2"/>
  <c r="I61" i="2"/>
  <c r="K61" i="2" s="1"/>
  <c r="I10" i="2"/>
  <c r="H32" i="2"/>
  <c r="E47" i="2"/>
  <c r="J47" i="2"/>
  <c r="J67" i="2"/>
  <c r="F69" i="2"/>
  <c r="E32" i="2"/>
  <c r="D69" i="2"/>
  <c r="K47" i="2"/>
  <c r="E64" i="2"/>
  <c r="J37" i="2"/>
  <c r="E13" i="2"/>
  <c r="J22" i="2"/>
  <c r="E27" i="2"/>
  <c r="K37" i="2"/>
  <c r="K57" i="2"/>
  <c r="J17" i="2"/>
  <c r="E30" i="2"/>
  <c r="J36" i="2"/>
  <c r="E39" i="2"/>
  <c r="J56" i="2"/>
  <c r="E59" i="2"/>
  <c r="J21" i="2"/>
  <c r="I32" i="2"/>
  <c r="K32" i="2" s="1"/>
  <c r="K42" i="2"/>
  <c r="K51" i="2"/>
  <c r="K60" i="2"/>
  <c r="J61" i="2"/>
  <c r="J43" i="2"/>
  <c r="J52" i="2"/>
  <c r="J57" i="2"/>
  <c r="J18" i="2"/>
  <c r="J28" i="2"/>
  <c r="K43" i="2"/>
  <c r="K52" i="2"/>
  <c r="J62" i="2"/>
  <c r="E12" i="2"/>
  <c r="E45" i="2"/>
  <c r="E54" i="2"/>
  <c r="J29" i="2"/>
  <c r="E37" i="2"/>
  <c r="J38" i="2"/>
  <c r="J44" i="2"/>
  <c r="J53" i="2"/>
  <c r="J58" i="2"/>
  <c r="K19" i="1"/>
  <c r="L12" i="1"/>
  <c r="L16" i="1"/>
  <c r="L18" i="1"/>
  <c r="L14" i="1"/>
  <c r="L17" i="1"/>
  <c r="F19" i="1"/>
  <c r="C20" i="1"/>
  <c r="F20" i="1" s="1"/>
  <c r="C21" i="1"/>
  <c r="G19" i="1"/>
  <c r="E20" i="1"/>
  <c r="H20" i="1" s="1"/>
  <c r="E21" i="1"/>
  <c r="D19" i="1"/>
  <c r="J14" i="2" l="1"/>
  <c r="J32" i="2"/>
  <c r="H69" i="2"/>
  <c r="G70" i="2"/>
  <c r="G71" i="2"/>
  <c r="D70" i="2"/>
  <c r="D71" i="2"/>
  <c r="J69" i="2"/>
  <c r="J10" i="2"/>
  <c r="K10" i="2"/>
  <c r="K11" i="2"/>
  <c r="J11" i="2"/>
  <c r="F70" i="2"/>
  <c r="F71" i="2"/>
  <c r="I69" i="2"/>
  <c r="K69" i="2" s="1"/>
  <c r="I64" i="2"/>
  <c r="J66" i="2"/>
  <c r="J68" i="2"/>
  <c r="K12" i="2"/>
  <c r="J12" i="2"/>
  <c r="N12" i="1"/>
  <c r="M12" i="1"/>
  <c r="K20" i="1"/>
  <c r="L20" i="1" s="1"/>
  <c r="L19" i="1"/>
  <c r="F21" i="1"/>
  <c r="M17" i="1"/>
  <c r="N17" i="1"/>
  <c r="M14" i="1"/>
  <c r="N14" i="1"/>
  <c r="M16" i="1"/>
  <c r="N16" i="1"/>
  <c r="D20" i="1"/>
  <c r="G20" i="1" s="1"/>
  <c r="G21" i="1" s="1"/>
  <c r="N18" i="1"/>
  <c r="M18" i="1"/>
  <c r="D21" i="1" l="1"/>
  <c r="I71" i="2"/>
  <c r="K71" i="2" s="1"/>
  <c r="I70" i="2"/>
  <c r="K70" i="2" s="1"/>
  <c r="K64" i="2"/>
  <c r="J64" i="2"/>
  <c r="H70" i="2"/>
  <c r="H71" i="2"/>
  <c r="K21" i="1"/>
  <c r="L21" i="1" s="1"/>
  <c r="N19" i="1"/>
  <c r="M19" i="1"/>
  <c r="M20" i="1"/>
  <c r="N20" i="1"/>
  <c r="J71" i="2" l="1"/>
  <c r="J70" i="2"/>
  <c r="M21" i="1"/>
  <c r="N21" i="1"/>
</calcChain>
</file>

<file path=xl/comments1.xml><?xml version="1.0" encoding="utf-8"?>
<comments xmlns="http://schemas.openxmlformats.org/spreadsheetml/2006/main">
  <authors>
    <author>KMARCELIN</author>
  </authors>
  <commentList>
    <comment ref="C11" authorId="0" shapeId="0">
      <text>
        <r>
          <rPr>
            <b/>
            <sz val="9"/>
            <color indexed="81"/>
            <rFont val="Tahoma"/>
            <family val="2"/>
          </rPr>
          <t>KMARCELIN:</t>
        </r>
        <r>
          <rPr>
            <sz val="9"/>
            <color indexed="81"/>
            <rFont val="Tahoma"/>
            <family val="2"/>
          </rPr>
          <t xml:space="preserve">
CAHD juillet
</t>
        </r>
      </text>
    </comment>
    <comment ref="C18" authorId="0" shapeId="0">
      <text>
        <r>
          <rPr>
            <b/>
            <sz val="9"/>
            <color indexed="81"/>
            <rFont val="Tahoma"/>
            <family val="2"/>
          </rPr>
          <t>KMARCELIN:</t>
        </r>
        <r>
          <rPr>
            <sz val="9"/>
            <color indexed="81"/>
            <rFont val="Tahoma"/>
            <family val="2"/>
          </rPr>
          <t xml:space="preserve">
CAHD aout sept</t>
        </r>
      </text>
    </comment>
    <comment ref="C21" authorId="0" shapeId="0">
      <text>
        <r>
          <rPr>
            <b/>
            <sz val="9"/>
            <color indexed="81"/>
            <rFont val="Tahoma"/>
            <family val="2"/>
          </rPr>
          <t>KMARCELIN:</t>
        </r>
        <r>
          <rPr>
            <sz val="9"/>
            <color indexed="81"/>
            <rFont val="Tahoma"/>
            <family val="2"/>
          </rPr>
          <t xml:space="preserve">
CAHD aout sept</t>
        </r>
      </text>
    </comment>
  </commentList>
</comments>
</file>

<file path=xl/sharedStrings.xml><?xml version="1.0" encoding="utf-8"?>
<sst xmlns="http://schemas.openxmlformats.org/spreadsheetml/2006/main" count="175" uniqueCount="170">
  <si>
    <t>DONOR NAME</t>
  </si>
  <si>
    <t>UNDP/UNPBF</t>
  </si>
  <si>
    <t>MPTFO Project ID</t>
  </si>
  <si>
    <t>Project Implementer</t>
  </si>
  <si>
    <t>Care International UK</t>
  </si>
  <si>
    <t>Project Name</t>
  </si>
  <si>
    <t>Mobilisation des Jeunes Engagés pour la Consolidation de la Paix en Côte d’Ivoire « MOJEC »</t>
  </si>
  <si>
    <t>Project Duration</t>
  </si>
  <si>
    <t>Jan 2019  to June 2020</t>
  </si>
  <si>
    <t>Billing Limit</t>
  </si>
  <si>
    <r>
      <t xml:space="preserve">USD </t>
    </r>
    <r>
      <rPr>
        <b/>
        <sz val="12"/>
        <color theme="1"/>
        <rFont val="Calibri"/>
        <family val="2"/>
        <scheme val="minor"/>
      </rPr>
      <t>1,100,000</t>
    </r>
  </si>
  <si>
    <t>Current report period</t>
  </si>
  <si>
    <t>July to September 2019</t>
  </si>
  <si>
    <t>AID</t>
  </si>
  <si>
    <t>CATEGORIES</t>
  </si>
  <si>
    <t>Agence Recipiendiaire 
CARE International</t>
  </si>
  <si>
    <t>Total tranche 1</t>
  </si>
  <si>
    <t>Total tranche 2</t>
  </si>
  <si>
    <t xml:space="preserve"> TOTAL PROJET(USD)</t>
  </si>
  <si>
    <t xml:space="preserve">PREVIOUS EXPENSES </t>
  </si>
  <si>
    <t>EXPENSES July-Sept 2019(USD)</t>
  </si>
  <si>
    <t>TOTAL EXPENSES</t>
  </si>
  <si>
    <t>BALANCE</t>
  </si>
  <si>
    <t>BURN RATE</t>
  </si>
  <si>
    <t>Tranche 1 (35%)</t>
  </si>
  <si>
    <t>Tranche 2 (35%)</t>
  </si>
  <si>
    <t>Tranche 3 (30%)</t>
  </si>
  <si>
    <t>1. Personnel et autres employés</t>
  </si>
  <si>
    <t>2. Fournitures, produits de base, matériels</t>
  </si>
  <si>
    <t>3. Équipement, véhicules et mobilier (compte tenu de la dépréciation)</t>
  </si>
  <si>
    <t>4. Services contractuels</t>
  </si>
  <si>
    <t>5. Frais de déplacement et Suivi et Evaluation</t>
  </si>
  <si>
    <t>6. Transferts et subventions aux homologues</t>
  </si>
  <si>
    <t>7. Frais généraux de fonctionnement et autres coûts directs</t>
  </si>
  <si>
    <t>Sous-total</t>
  </si>
  <si>
    <t xml:space="preserve">8. Coûts indirects*  </t>
  </si>
  <si>
    <t>TOTAL</t>
  </si>
  <si>
    <t>Annexe D - Budget du projet PBF</t>
  </si>
  <si>
    <t>Note: S'il s'agit de revision de projet, veuillez inclure colonnes additionnelles pour montrer le changement.</t>
  </si>
  <si>
    <t>Tableau 1 - Budget du projet PBF par resultat, produit et activite</t>
  </si>
  <si>
    <t>AID detaillé</t>
  </si>
  <si>
    <t>Nombre de resultat/ produit</t>
  </si>
  <si>
    <t>Formulation du resultat/ produit/ activite</t>
  </si>
  <si>
    <t>Budget par agence recipiendiaire en USD - Veuillez ajouter une nouvelle colonne par agence recipiendiaire</t>
  </si>
  <si>
    <t xml:space="preserve">Pourcentage du budget pour chaque produit ou activite reserve pour action directe sur le genre (cas echeant) </t>
  </si>
  <si>
    <t>EXPENSES January-March 2019(USD)</t>
  </si>
  <si>
    <t>EXPENSES April-June 2019(USD)</t>
  </si>
  <si>
    <t>Niveau de depense/ engagement actuel en USD (a remplir au moment des rapports de projet)</t>
  </si>
  <si>
    <t>Notes quelconque le cas echeant (.e.g sur types des entrants ou justification du budget)</t>
  </si>
  <si>
    <t>Resultat 1: L’action citoyenne des jeunes dans la surveillance des actions politiques qui promeuvent les divisions et clivages politiques identitaires est augmentée.</t>
  </si>
  <si>
    <t>Produit 1.1:</t>
  </si>
  <si>
    <t>L’action catalyseur de 5 collectifs et/ou mouvements de jeunes de l’engagement civique des jeunes dans le dialogue politique est renforcé</t>
  </si>
  <si>
    <t>Activite 1.1.1:</t>
  </si>
  <si>
    <t>Formation ou renforcement de capacités des collectifs/mouvements identifiés sur l’action citoyen de contrôle de l’espace démocratique</t>
  </si>
  <si>
    <t>Organisation de 5 ateliers de renforcement des capacités des jeunes (1 atelier par région)</t>
  </si>
  <si>
    <t>Activite 1.1.2:</t>
  </si>
  <si>
    <t>Formation des collectifs/mouvements identifiés sur les techniques de sensibilisation et de mobilisation de l’action civique inclusive</t>
  </si>
  <si>
    <t>Organisation d'un atelier par région avec les mouvements de jeunes dans les régions</t>
  </si>
  <si>
    <t>Activite 1.1.3:</t>
  </si>
  <si>
    <t xml:space="preserve">Organisation de séances de dialogue et expression politique libre </t>
  </si>
  <si>
    <t>Une discussion trimestrielle par région d'intervention entre les différents acteurs sur les sujets d'actualité</t>
  </si>
  <si>
    <t>Activite 1.1.4:</t>
  </si>
  <si>
    <t>Appui aux initiatives citoyennes de suivi des actions, slogans et messages politiques des partis politiques</t>
  </si>
  <si>
    <t>Organisation de 2 séminaires de formation par région et d'élaboration d'activité</t>
  </si>
  <si>
    <t>Activite 1.1.5:</t>
  </si>
  <si>
    <t xml:space="preserve">Appuyer la participation des jeunes dans le suivi et rapportage des actions, slogans et messages politiques d’incitation à la division et tension politique.  </t>
  </si>
  <si>
    <t>Recrutement d'un spécialiste pour l'engagement politique de la jeunesse</t>
  </si>
  <si>
    <t>Produit 1.2:</t>
  </si>
  <si>
    <t>Les collectifs/mouvement de jeunes des partis politiques et ceux de la société civile collaborent sur les actions collectives citoyennes des jeunes pour la prévention des violences politiques et la consolidation de la paix</t>
  </si>
  <si>
    <t>Activite 1.2.1:</t>
  </si>
  <si>
    <t>Formation des collectifs/mouvements politiques et de la société civile sur les thématiques de civisme, de la surveillance des violences politiques ; et traçabilités et rapportage des incidents de violences politiques ; etc.</t>
  </si>
  <si>
    <t>Organisation de 5 ateliers de renforcement des capacités des jeunes (1 atelier par région) animées par des experts</t>
  </si>
  <si>
    <t>Activite 1.2.2:</t>
  </si>
  <si>
    <t>Organiser des espaces/cadres de dialogue et concertation entre les collectifs/mouvements de jeunes</t>
  </si>
  <si>
    <t xml:space="preserve">Organisation des rencontres des cadres de concertation dans les régions d'intervention </t>
  </si>
  <si>
    <t>Activite 1.2.3:</t>
  </si>
  <si>
    <t>Appuyer les initiatives d’actions collectives citoyennes des organisations des jeunes cibles.</t>
  </si>
  <si>
    <t>Soutenir financièrement des initiatives organisées par les mouvements de jeunesses</t>
  </si>
  <si>
    <t>Activite 1.2.4:</t>
  </si>
  <si>
    <t xml:space="preserve">Organiser les journées nationales de citoyenneté et de volontariat par les mouvements de jeunesse </t>
  </si>
  <si>
    <t>Appuyer les activités du Ministère en charge de la Jeunesse et du Service Civique</t>
  </si>
  <si>
    <t>Activite 1.2.6:</t>
  </si>
  <si>
    <t>Formation à la prévention et résolution pacifique des conflits</t>
  </si>
  <si>
    <t>Organisation de 5 séminaires de formations sous l'égide de l'observatoire de la Solidairté et de la Cohésion Sociale</t>
  </si>
  <si>
    <t>Activite 1.2.7:</t>
  </si>
  <si>
    <t>Formation des collectifs/mouvements des jeunnes au suivi et tracabilites des actions et messages politique</t>
  </si>
  <si>
    <t>Produit 1.3:</t>
  </si>
  <si>
    <t>Un mécanisme des jeunes pour le suivi des actions politiques est en place et fonctionnel</t>
  </si>
  <si>
    <t>Activite 1.3.1:</t>
  </si>
  <si>
    <t>Sensibiliser et mobiliser les mouvements de jeunesse pour le Recensement sur la Liste Electorale</t>
  </si>
  <si>
    <t>Utilisation des médias, production d'affiches, de dépliants, de Kakémonos et appui à l'organisation d'activité de masse par les associations de Jeunesse</t>
  </si>
  <si>
    <t>Activite 1.3.2:</t>
  </si>
  <si>
    <t>Former les mouvements de jeunesse de la société civile sur l’observation du processus électoral</t>
  </si>
  <si>
    <t>organisation de 5 atelier (1 atelier par Région) sur l'observation du processus électoral</t>
  </si>
  <si>
    <t>Activite 1.3.3:</t>
  </si>
  <si>
    <t xml:space="preserve">Mise en place du système d’alerte précoce </t>
  </si>
  <si>
    <t>Appui à l'OSCS pour la mise en place de mécanisme d'alerte précoce national à travers l'utilisation des TIC et l'implication des femmes</t>
  </si>
  <si>
    <t>Activite 1.3.4:</t>
  </si>
  <si>
    <t>Organiser des dialogues politiques impliquant les différents mouvements de jeunesse politique faciliter par les jeunes de la société civile</t>
  </si>
  <si>
    <t>Activite 1.3.5:</t>
  </si>
  <si>
    <t>Faire la promotion des articles pacifiques de presse sur l’actualité politique à travers des publication presse et dans les médias sociaux</t>
  </si>
  <si>
    <t>Activite 1.3.6:</t>
  </si>
  <si>
    <t>Appui à la réhabilitation d'infrastructures sociocommunautaires favorisant les rencontres entre les mouvements de jeunesse</t>
  </si>
  <si>
    <t>Réhabilitation de foyer des jeunes, salles de réunion des chefferies dans les zones d'intervention</t>
  </si>
  <si>
    <t>TOTAL $ pour Resultat 1:</t>
  </si>
  <si>
    <t xml:space="preserve">Resultat 2: 5 plateformes régionales de jeunes pour la promotion Du dilague politique et l’expression libre parmi les jeunes militent contre l’engagement des jeunes dans les violences politiques.   </t>
  </si>
  <si>
    <t>Produit 2.1:</t>
  </si>
  <si>
    <t>Les débats et dialogues politiques entre jeunes sont libres, inclusif et soutenus par des évidences dans les zones cibles du projet</t>
  </si>
  <si>
    <t>Activite 2.1.1:</t>
  </si>
  <si>
    <t xml:space="preserve">• Former les représentants des collectifs/mouvement de jeunes sur la création et animation des plateformes de dialogue politique et action civique </t>
  </si>
  <si>
    <t>Activite 2.1.2:</t>
  </si>
  <si>
    <t>• Appuyer les actions citoyennes à travers les blogs et capsules sur l’engagement politique des jeunes dans le processus électoral</t>
  </si>
  <si>
    <t>Recrutement d'un consultant pour la mise en place d'un code qui sera validé par l'ensemble des acteurs</t>
  </si>
  <si>
    <t>Activite 2.1.3:</t>
  </si>
  <si>
    <t>Sensibilisation et vulgarisation du code de déontologie et de bonne conduite des partis politiques</t>
  </si>
  <si>
    <t>Activite 2.1.5:</t>
  </si>
  <si>
    <t>Renforcement des capacités des jeunes à l'evaluation et suivi du dialogue politique</t>
  </si>
  <si>
    <t>Organisation d'un atelier de formation des organisations et movements féminins</t>
  </si>
  <si>
    <t>Produit 2.2:</t>
  </si>
  <si>
    <t>Le mécanisme de coordination des actions citoyennes des jeunes des différentes formations est en place et fonctionnel dans les zones cibles du projet</t>
  </si>
  <si>
    <t>Activite 2.2.1:</t>
  </si>
  <si>
    <t>Mise en place d’un système de rapportage sur le suivi des promesses électorale à temps réel</t>
  </si>
  <si>
    <t>Activite 2.2.2:</t>
  </si>
  <si>
    <t>Former les jeunes à l’utilisation de la plateforme digitale</t>
  </si>
  <si>
    <t>Activite 2.2.3:</t>
  </si>
  <si>
    <t>Organiser et assurer la collaboration avec les plateformes existantes (YALI network, U-report, Active Ta Voix, WANEP, OSCS, etc.)</t>
  </si>
  <si>
    <t>Activite 2.2.4:</t>
  </si>
  <si>
    <t>Organiser des séances de suivi des plateformes et rapportage</t>
  </si>
  <si>
    <t>TOTAL $ pour Resultat 2:</t>
  </si>
  <si>
    <t>Resultat 3: La redevabilité politique envers la participation inclusive et l’action civique des jeunes renforcés.</t>
  </si>
  <si>
    <t>Produit 3.1:</t>
  </si>
  <si>
    <t>Les autorités et leaders des partis politiques ont augmenté leurs interactions et dialogue inclusif avec les jeunes dans les zones cibles du projet.</t>
  </si>
  <si>
    <t>Activite 3.1.1:</t>
  </si>
  <si>
    <t>• Organiser des forums de dialogues politiques inclusif entre les mouvements des jeunes et les représentants des partis politiques.</t>
  </si>
  <si>
    <t>Activite 3.1.2:</t>
  </si>
  <si>
    <t>Appuyer l'OSCS pour l’organisation des rencontres de sensibilisation avec les mouvements de jeunesse</t>
  </si>
  <si>
    <t>Activite 3.1.3:</t>
  </si>
  <si>
    <t xml:space="preserve"> • Organisation de journées et/ou foire de citoyenneté à l’intention des jeunes en collaboration par les formations politiques. </t>
  </si>
  <si>
    <t>Activite 3.1.4:</t>
  </si>
  <si>
    <t xml:space="preserve">• Organiser sur les réseaux sociaux des débats croisés entre les jeunes et les leaders politiques. </t>
  </si>
  <si>
    <t>Produit 3.2:</t>
  </si>
  <si>
    <t>Les mouvements des jeunes sont actifs dans les mécanismes d’alertes précoces et de plaidoyer politiques pour la prévention des violences politiques dans les zones cibles du projet.</t>
  </si>
  <si>
    <t>Activite 3.2.1:</t>
  </si>
  <si>
    <t>• Organiser des séances de travail citoyens entre les partis politiques et la population</t>
  </si>
  <si>
    <t>Recrutement d'un consultant pour l'évaluation et l'élaboration d'un draft de charte</t>
  </si>
  <si>
    <t>Activite 3.2.2:</t>
  </si>
  <si>
    <t xml:space="preserve">Organiser des séances de sensibilisation au sein des partis politiques par la plateforme des jeunes sur le pluralisme et à l’abstinence, et à l’achat des voix et l'acceptation du principe des opinions dissidentes </t>
  </si>
  <si>
    <t>Organiser une rencontre de sensibilisation trimestrielle dans chaque région d'intervention</t>
  </si>
  <si>
    <t>Activite 3.2.3:</t>
  </si>
  <si>
    <t>Mise en place d’un prix dénommé "la plume de la paix", pour les médias affiliés aux parties politiques</t>
  </si>
  <si>
    <t xml:space="preserve">Définition d'un prix pour inciter la presse écrite à s'engager pour la consolidation de la paix et de la sécurité. </t>
  </si>
  <si>
    <t>Activite 3.2.4:</t>
  </si>
  <si>
    <t xml:space="preserve">• Appuyer la promotion de l’action civique citoyenne des jeunes à travers les médias sociaux. </t>
  </si>
  <si>
    <t>Prise en compte des activités de lancement du prix</t>
  </si>
  <si>
    <t>Activite 3.2.5:</t>
  </si>
  <si>
    <t>• Partager des rapports ciblés sur les incidents et actions politiques d’incitation au division et polarisation du dialogue politiques</t>
  </si>
  <si>
    <t>10 mois de prestations pour les radios de proximités dans les régions d'intervention</t>
  </si>
  <si>
    <t>Activite 3.2.6:</t>
  </si>
  <si>
    <t>Appui technique des capacités des structures de jeunesse dans les actions de plaidoyer et de GENRE</t>
  </si>
  <si>
    <t>Activite 3.2.7:</t>
  </si>
  <si>
    <t>• Vulgarisation des résolutions 2250 et 2419 et 1325 auprès des associations de jeunesse et des autorités</t>
  </si>
  <si>
    <t>Appui aux activités de mobilisation des femmes et des jeunes filles à l'échelle nationale</t>
  </si>
  <si>
    <t>TOTAL $ pour Resultat 3:</t>
  </si>
  <si>
    <t>Cout de personnel du projet si pas inclus dans les activites si-dessus</t>
  </si>
  <si>
    <t xml:space="preserve">Couts operationnels </t>
  </si>
  <si>
    <t>Budget S&amp;E du projet</t>
  </si>
  <si>
    <t xml:space="preserve"> </t>
  </si>
  <si>
    <t>SOUS TOTAL DU BUDGET DE PROJET:</t>
  </si>
  <si>
    <t>Couts indirects (7%):</t>
  </si>
  <si>
    <t>BUDGET TOTAL DU PROJET: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</si>
</sst>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 _€_-;\-* #,##0.00\ _€_-;_-* &quot;-&quot;??\ _€_-;_-@_-"/>
    <numFmt numFmtId="165" formatCode="_-* #,##0\ _€_-;\-* #,##0\ _€_-;_-* &quot;-&quot;??\ _€_-;_-@_-"/>
    <numFmt numFmtId="166" formatCode="_-* #,##0.00_-;\-* #,##0.00_-;_-* &quot;-&quot;??_-;_-@_-"/>
    <numFmt numFmtId="167" formatCode="_-* #,##0\ _C_F_A_-;\-* #,##0\ _C_F_A_-;_-* &quot;-&quot;\ _C_F_A_-;_-@_-"/>
    <numFmt numFmtId="168" formatCode="_-* #,##0.00\ _C_F_A_-;\-* #,##0.00\ _C_F_A_-;_-* &quot;-&quot;\ _C_F_A_-;_-@_-"/>
    <numFmt numFmtId="169" formatCode="_-* #,##0.000\ _€_-;\-* #,##0.000\ _€_-;_-* &quot;-&quot;??\ _€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b/>
      <sz val="12"/>
      <color rgb="FF000000"/>
      <name val="Calibri"/>
      <family val="2"/>
      <scheme val="minor"/>
    </font>
    <font>
      <b/>
      <sz val="12"/>
      <color theme="1"/>
      <name val="Calibri"/>
      <family val="2"/>
      <scheme val="minor"/>
    </font>
    <font>
      <b/>
      <sz val="10"/>
      <color theme="1"/>
      <name val="Calibri"/>
      <family val="2"/>
    </font>
    <font>
      <sz val="10"/>
      <color theme="1"/>
      <name val="Times New Roman"/>
      <family val="1"/>
    </font>
    <font>
      <sz val="10"/>
      <color theme="1"/>
      <name val="Calibri"/>
      <family val="2"/>
    </font>
    <font>
      <b/>
      <sz val="10"/>
      <color theme="1"/>
      <name val="Times New Roman"/>
      <family val="1"/>
    </font>
    <font>
      <b/>
      <sz val="16"/>
      <color theme="1"/>
      <name val="Calibri"/>
      <family val="2"/>
      <scheme val="minor"/>
    </font>
    <font>
      <b/>
      <sz val="14"/>
      <color theme="1"/>
      <name val="Calibri"/>
      <family val="2"/>
      <scheme val="minor"/>
    </font>
    <font>
      <b/>
      <sz val="12"/>
      <color theme="1"/>
      <name val="Times New Roman"/>
      <family val="1"/>
    </font>
    <font>
      <sz val="12"/>
      <color theme="1"/>
      <name val="Times New Roman"/>
      <family val="1"/>
    </font>
    <font>
      <b/>
      <sz val="9"/>
      <color indexed="81"/>
      <name val="Tahoma"/>
      <family val="2"/>
    </font>
    <font>
      <sz val="9"/>
      <color indexed="81"/>
      <name val="Tahoma"/>
      <family val="2"/>
    </font>
  </fonts>
  <fills count="11">
    <fill>
      <patternFill patternType="none"/>
    </fill>
    <fill>
      <patternFill patternType="gray125"/>
    </fill>
    <fill>
      <patternFill patternType="solid">
        <fgColor rgb="FFFCD5B4"/>
        <bgColor indexed="64"/>
      </patternFill>
    </fill>
    <fill>
      <patternFill patternType="solid">
        <fgColor rgb="FFB3B3B3"/>
        <bgColor indexed="64"/>
      </patternFill>
    </fill>
    <fill>
      <patternFill patternType="solid">
        <fgColor rgb="FFBFBFBF"/>
        <bgColor indexed="64"/>
      </patternFill>
    </fill>
    <fill>
      <patternFill patternType="solid">
        <fgColor theme="5" tint="0.79998168889431442"/>
        <bgColor indexed="64"/>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top/>
      <bottom style="medium">
        <color indexed="64"/>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5">
    <xf numFmtId="0" fontId="0" fillId="0" borderId="0"/>
    <xf numFmtId="164"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cellStyleXfs>
  <cellXfs count="139">
    <xf numFmtId="0" fontId="0" fillId="0" borderId="0" xfId="0"/>
    <xf numFmtId="0" fontId="3" fillId="2" borderId="1" xfId="0" applyFont="1" applyFill="1" applyBorder="1" applyAlignment="1">
      <alignment vertical="center"/>
    </xf>
    <xf numFmtId="0" fontId="0" fillId="0" borderId="2" xfId="0" applyBorder="1"/>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4" xfId="0" applyFont="1" applyFill="1" applyBorder="1" applyAlignment="1">
      <alignment vertical="center"/>
    </xf>
    <xf numFmtId="0" fontId="0" fillId="0" borderId="0" xfId="0" applyBorder="1"/>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0" borderId="6" xfId="0" applyBorder="1"/>
    <xf numFmtId="17" fontId="4" fillId="2"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165" fontId="6" fillId="0" borderId="1" xfId="1" applyNumberFormat="1" applyFont="1" applyFill="1" applyBorder="1" applyAlignment="1">
      <alignment horizontal="right" vertical="center" wrapText="1"/>
    </xf>
    <xf numFmtId="0" fontId="7" fillId="0" borderId="19" xfId="0" applyFont="1" applyBorder="1" applyAlignment="1">
      <alignment vertical="center" wrapText="1"/>
    </xf>
    <xf numFmtId="165" fontId="6" fillId="0" borderId="16" xfId="4" applyNumberFormat="1" applyFont="1" applyBorder="1" applyAlignment="1">
      <alignment horizontal="right" vertical="center" wrapText="1"/>
    </xf>
    <xf numFmtId="164" fontId="6" fillId="0" borderId="20" xfId="0" applyNumberFormat="1" applyFont="1" applyBorder="1" applyAlignment="1">
      <alignment horizontal="right" vertical="center" wrapText="1"/>
    </xf>
    <xf numFmtId="9" fontId="6" fillId="0" borderId="21" xfId="3" applyFont="1" applyBorder="1" applyAlignment="1">
      <alignment horizontal="right" vertical="center" wrapText="1"/>
    </xf>
    <xf numFmtId="0" fontId="7" fillId="5" borderId="19" xfId="0" applyFont="1" applyFill="1" applyBorder="1" applyAlignment="1">
      <alignment vertical="center" wrapText="1"/>
    </xf>
    <xf numFmtId="165" fontId="8" fillId="5" borderId="16" xfId="4" applyNumberFormat="1" applyFont="1" applyFill="1" applyBorder="1" applyAlignment="1">
      <alignment horizontal="right" vertical="center" wrapText="1"/>
    </xf>
    <xf numFmtId="165" fontId="6" fillId="5" borderId="20" xfId="0" applyNumberFormat="1" applyFont="1" applyFill="1" applyBorder="1" applyAlignment="1">
      <alignment horizontal="right" vertical="center" wrapText="1"/>
    </xf>
    <xf numFmtId="164" fontId="6" fillId="5" borderId="20" xfId="0" applyNumberFormat="1" applyFont="1" applyFill="1" applyBorder="1" applyAlignment="1">
      <alignment horizontal="right" vertical="center" wrapText="1"/>
    </xf>
    <xf numFmtId="9" fontId="6" fillId="5" borderId="21" xfId="3" applyFont="1" applyFill="1" applyBorder="1" applyAlignment="1">
      <alignment horizontal="right" vertical="center" wrapText="1"/>
    </xf>
    <xf numFmtId="165" fontId="8" fillId="0" borderId="16" xfId="4" applyNumberFormat="1" applyFont="1" applyBorder="1" applyAlignment="1">
      <alignment horizontal="right" vertical="center" wrapText="1"/>
    </xf>
    <xf numFmtId="43" fontId="8" fillId="0" borderId="16" xfId="4" applyNumberFormat="1" applyFont="1" applyBorder="1" applyAlignment="1">
      <alignment horizontal="right" vertical="center" wrapText="1"/>
    </xf>
    <xf numFmtId="0" fontId="0" fillId="0" borderId="1" xfId="0" applyBorder="1"/>
    <xf numFmtId="0" fontId="9" fillId="6" borderId="19" xfId="0" applyFont="1" applyFill="1" applyBorder="1" applyAlignment="1">
      <alignment vertical="center" wrapText="1"/>
    </xf>
    <xf numFmtId="165" fontId="6" fillId="6" borderId="16" xfId="4" applyNumberFormat="1" applyFont="1" applyFill="1" applyBorder="1" applyAlignment="1">
      <alignment horizontal="right" vertical="center" wrapText="1"/>
    </xf>
    <xf numFmtId="165" fontId="6" fillId="6" borderId="20" xfId="4" applyNumberFormat="1" applyFont="1" applyFill="1" applyBorder="1" applyAlignment="1">
      <alignment horizontal="right" vertical="center" wrapText="1"/>
    </xf>
    <xf numFmtId="168" fontId="6" fillId="6" borderId="20" xfId="2" applyNumberFormat="1" applyFont="1" applyFill="1" applyBorder="1" applyAlignment="1">
      <alignment horizontal="right" vertical="center" wrapText="1"/>
    </xf>
    <xf numFmtId="9" fontId="6" fillId="6" borderId="21" xfId="3" applyFont="1" applyFill="1" applyBorder="1" applyAlignment="1">
      <alignment horizontal="right" vertical="center" wrapText="1"/>
    </xf>
    <xf numFmtId="165" fontId="8" fillId="0" borderId="20" xfId="0" applyNumberFormat="1" applyFont="1" applyBorder="1" applyAlignment="1">
      <alignment horizontal="right" vertical="center" wrapText="1"/>
    </xf>
    <xf numFmtId="169" fontId="8" fillId="0" borderId="20" xfId="0" applyNumberFormat="1" applyFont="1" applyBorder="1" applyAlignment="1">
      <alignment horizontal="right" vertical="center" wrapText="1"/>
    </xf>
    <xf numFmtId="9" fontId="8" fillId="0" borderId="21" xfId="3" applyFont="1" applyBorder="1" applyAlignment="1">
      <alignment horizontal="right" vertical="center" wrapText="1"/>
    </xf>
    <xf numFmtId="0" fontId="0" fillId="0" borderId="22" xfId="0" applyBorder="1"/>
    <xf numFmtId="0" fontId="9" fillId="6" borderId="23" xfId="0" applyFont="1" applyFill="1" applyBorder="1" applyAlignment="1">
      <alignment vertical="center" wrapText="1"/>
    </xf>
    <xf numFmtId="165" fontId="6" fillId="6" borderId="24" xfId="0" applyNumberFormat="1" applyFont="1" applyFill="1" applyBorder="1" applyAlignment="1">
      <alignment horizontal="right" vertical="center" wrapText="1"/>
    </xf>
    <xf numFmtId="165" fontId="6" fillId="6" borderId="25" xfId="0" applyNumberFormat="1" applyFont="1" applyFill="1" applyBorder="1" applyAlignment="1">
      <alignment horizontal="right" vertical="center" wrapText="1"/>
    </xf>
    <xf numFmtId="168" fontId="6" fillId="6" borderId="25" xfId="2" applyNumberFormat="1" applyFont="1" applyFill="1" applyBorder="1" applyAlignment="1">
      <alignment horizontal="right" vertical="center" wrapText="1"/>
    </xf>
    <xf numFmtId="9" fontId="6" fillId="6" borderId="26" xfId="3" applyFont="1" applyFill="1" applyBorder="1" applyAlignment="1">
      <alignment horizontal="right" vertical="center" wrapText="1"/>
    </xf>
    <xf numFmtId="165" fontId="0" fillId="0" borderId="0" xfId="0" applyNumberFormat="1"/>
    <xf numFmtId="0" fontId="10" fillId="0" borderId="0" xfId="0" applyFont="1"/>
    <xf numFmtId="0" fontId="11" fillId="0" borderId="0" xfId="0" applyFont="1"/>
    <xf numFmtId="0" fontId="2" fillId="0" borderId="0" xfId="0" applyFont="1"/>
    <xf numFmtId="0" fontId="5" fillId="0" borderId="0" xfId="0" applyFont="1"/>
    <xf numFmtId="0" fontId="2" fillId="0" borderId="0" xfId="0" applyFont="1" applyAlignment="1">
      <alignment wrapText="1"/>
    </xf>
    <xf numFmtId="0" fontId="12" fillId="7" borderId="27" xfId="0" applyFont="1" applyFill="1" applyBorder="1" applyAlignment="1">
      <alignment vertical="center" wrapText="1"/>
    </xf>
    <xf numFmtId="0" fontId="12" fillId="7" borderId="28" xfId="0" applyFont="1" applyFill="1" applyBorder="1" applyAlignment="1">
      <alignment vertical="center" wrapText="1"/>
    </xf>
    <xf numFmtId="0" fontId="12" fillId="7" borderId="29" xfId="0" applyFont="1" applyFill="1" applyBorder="1" applyAlignment="1">
      <alignment vertical="center" wrapText="1"/>
    </xf>
    <xf numFmtId="0" fontId="12" fillId="0" borderId="30" xfId="0" applyFont="1" applyBorder="1" applyAlignment="1">
      <alignment vertical="center" wrapText="1"/>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vertical="center" wrapText="1"/>
    </xf>
    <xf numFmtId="0" fontId="12" fillId="0" borderId="31" xfId="0" applyFont="1" applyBorder="1" applyAlignment="1">
      <alignment vertical="center" wrapText="1"/>
    </xf>
    <xf numFmtId="0" fontId="13" fillId="0" borderId="31" xfId="0" applyFont="1" applyBorder="1" applyAlignment="1">
      <alignment vertical="center" wrapText="1"/>
    </xf>
    <xf numFmtId="0" fontId="13" fillId="0" borderId="31" xfId="0" applyFont="1" applyBorder="1" applyAlignment="1">
      <alignment horizontal="center" vertical="center" wrapText="1"/>
    </xf>
    <xf numFmtId="0" fontId="12" fillId="0" borderId="31" xfId="0" applyFont="1" applyBorder="1" applyAlignment="1">
      <alignment horizontal="center" vertical="center" wrapText="1"/>
    </xf>
    <xf numFmtId="0" fontId="13" fillId="0" borderId="32" xfId="0" applyFont="1" applyBorder="1" applyAlignment="1">
      <alignment vertical="center" wrapText="1"/>
    </xf>
    <xf numFmtId="0" fontId="13" fillId="8" borderId="30" xfId="0" applyFont="1" applyFill="1" applyBorder="1" applyAlignment="1">
      <alignment vertical="center" wrapText="1"/>
    </xf>
    <xf numFmtId="0" fontId="13" fillId="8" borderId="31" xfId="0" applyFont="1" applyFill="1" applyBorder="1" applyAlignment="1">
      <alignment vertical="center" wrapText="1"/>
    </xf>
    <xf numFmtId="165" fontId="13" fillId="0" borderId="31" xfId="1" applyNumberFormat="1" applyFont="1" applyBorder="1" applyAlignment="1">
      <alignment vertical="center" wrapText="1"/>
    </xf>
    <xf numFmtId="9" fontId="13" fillId="0" borderId="31" xfId="3" applyFont="1" applyBorder="1" applyAlignment="1">
      <alignment horizontal="center" vertical="center" wrapText="1"/>
    </xf>
    <xf numFmtId="4" fontId="13" fillId="0" borderId="31" xfId="3" applyNumberFormat="1" applyFont="1" applyBorder="1" applyAlignment="1">
      <alignment horizontal="center" vertical="center" wrapText="1"/>
    </xf>
    <xf numFmtId="3" fontId="12" fillId="0" borderId="31" xfId="3" applyNumberFormat="1" applyFont="1" applyBorder="1" applyAlignment="1">
      <alignment horizontal="center" vertical="center" wrapText="1"/>
    </xf>
    <xf numFmtId="3" fontId="13" fillId="0" borderId="31" xfId="3" applyNumberFormat="1" applyFont="1" applyBorder="1" applyAlignment="1">
      <alignment horizontal="center" vertical="center" wrapText="1"/>
    </xf>
    <xf numFmtId="164" fontId="13" fillId="0" borderId="31" xfId="1" applyFont="1" applyBorder="1" applyAlignment="1">
      <alignment vertical="center" wrapText="1"/>
    </xf>
    <xf numFmtId="4" fontId="12" fillId="0" borderId="31" xfId="3" applyNumberFormat="1" applyFont="1" applyBorder="1" applyAlignment="1">
      <alignment horizontal="center" vertical="center" wrapText="1"/>
    </xf>
    <xf numFmtId="165" fontId="13" fillId="8" borderId="31" xfId="1" applyNumberFormat="1" applyFont="1" applyFill="1" applyBorder="1" applyAlignment="1">
      <alignment vertical="center" wrapText="1"/>
    </xf>
    <xf numFmtId="9" fontId="13" fillId="8" borderId="31" xfId="3" applyFont="1" applyFill="1" applyBorder="1" applyAlignment="1">
      <alignment horizontal="center" vertical="center" wrapText="1"/>
    </xf>
    <xf numFmtId="4" fontId="13" fillId="8" borderId="31" xfId="3" applyNumberFormat="1" applyFont="1" applyFill="1" applyBorder="1" applyAlignment="1">
      <alignment horizontal="center" vertical="center" wrapText="1"/>
    </xf>
    <xf numFmtId="4" fontId="12" fillId="8" borderId="31" xfId="3" applyNumberFormat="1" applyFont="1" applyFill="1" applyBorder="1" applyAlignment="1">
      <alignment horizontal="center" vertical="center" wrapText="1"/>
    </xf>
    <xf numFmtId="3" fontId="13" fillId="8" borderId="31" xfId="3" applyNumberFormat="1" applyFont="1" applyFill="1" applyBorder="1" applyAlignment="1">
      <alignment horizontal="center" vertical="center" wrapText="1"/>
    </xf>
    <xf numFmtId="164" fontId="13" fillId="8" borderId="31" xfId="1" applyFont="1" applyFill="1" applyBorder="1" applyAlignment="1">
      <alignment vertical="center" wrapText="1"/>
    </xf>
    <xf numFmtId="0" fontId="13" fillId="8" borderId="32" xfId="0" applyFont="1" applyFill="1" applyBorder="1" applyAlignment="1">
      <alignment vertical="center" wrapText="1"/>
    </xf>
    <xf numFmtId="0" fontId="0" fillId="8" borderId="0" xfId="0" applyFill="1"/>
    <xf numFmtId="0" fontId="13" fillId="0" borderId="30" xfId="0" applyFont="1" applyBorder="1" applyAlignment="1">
      <alignment vertical="center" wrapText="1"/>
    </xf>
    <xf numFmtId="165" fontId="13" fillId="0" borderId="31" xfId="1" applyNumberFormat="1" applyFont="1" applyBorder="1" applyAlignment="1">
      <alignment horizontal="center" vertical="center" wrapText="1"/>
    </xf>
    <xf numFmtId="4" fontId="13" fillId="0" borderId="31" xfId="1" applyNumberFormat="1" applyFont="1" applyBorder="1" applyAlignment="1">
      <alignment horizontal="center" vertical="center" wrapText="1"/>
    </xf>
    <xf numFmtId="4" fontId="12" fillId="0" borderId="31" xfId="1" applyNumberFormat="1" applyFont="1" applyBorder="1" applyAlignment="1">
      <alignment horizontal="center" vertical="center" wrapText="1"/>
    </xf>
    <xf numFmtId="3" fontId="13" fillId="0" borderId="31" xfId="1" applyNumberFormat="1" applyFont="1" applyBorder="1" applyAlignment="1">
      <alignment horizontal="center" vertical="center" wrapText="1"/>
    </xf>
    <xf numFmtId="0" fontId="12" fillId="0" borderId="32" xfId="0" applyFont="1" applyBorder="1" applyAlignment="1">
      <alignment horizontal="left" vertical="center" wrapText="1"/>
    </xf>
    <xf numFmtId="0" fontId="12" fillId="0" borderId="33" xfId="0" applyFont="1" applyBorder="1" applyAlignment="1">
      <alignment horizontal="left" vertical="center" wrapText="1"/>
    </xf>
    <xf numFmtId="0" fontId="13" fillId="0" borderId="31" xfId="0" applyFont="1" applyFill="1" applyBorder="1" applyAlignment="1">
      <alignment vertical="center" wrapText="1"/>
    </xf>
    <xf numFmtId="4" fontId="13" fillId="0" borderId="31" xfId="3" applyNumberFormat="1" applyFont="1" applyFill="1" applyBorder="1" applyAlignment="1">
      <alignment horizontal="center" vertical="center" wrapText="1"/>
    </xf>
    <xf numFmtId="0" fontId="12" fillId="8" borderId="32" xfId="0" applyFont="1" applyFill="1" applyBorder="1" applyAlignment="1">
      <alignment horizontal="left" vertical="center" wrapText="1"/>
    </xf>
    <xf numFmtId="0" fontId="12" fillId="8" borderId="33" xfId="0" applyFont="1" applyFill="1" applyBorder="1" applyAlignment="1">
      <alignment horizontal="left" vertical="center" wrapText="1"/>
    </xf>
    <xf numFmtId="0" fontId="12" fillId="9" borderId="30" xfId="0" applyFont="1" applyFill="1" applyBorder="1" applyAlignment="1">
      <alignment vertical="center" wrapText="1"/>
    </xf>
    <xf numFmtId="0" fontId="12" fillId="9" borderId="31" xfId="0" applyFont="1" applyFill="1" applyBorder="1" applyAlignment="1">
      <alignment vertical="center" wrapText="1"/>
    </xf>
    <xf numFmtId="164" fontId="12" fillId="9" borderId="31" xfId="1" applyFont="1" applyFill="1" applyBorder="1" applyAlignment="1">
      <alignment vertical="center" wrapText="1"/>
    </xf>
    <xf numFmtId="9" fontId="12" fillId="9" borderId="31" xfId="3" applyFont="1" applyFill="1" applyBorder="1" applyAlignment="1">
      <alignment horizontal="center" vertical="center" wrapText="1"/>
    </xf>
    <xf numFmtId="3" fontId="12" fillId="9" borderId="31" xfId="3" applyNumberFormat="1" applyFont="1" applyFill="1" applyBorder="1" applyAlignment="1">
      <alignment horizontal="center" vertical="center" wrapText="1"/>
    </xf>
    <xf numFmtId="4" fontId="12" fillId="9" borderId="31" xfId="3" applyNumberFormat="1" applyFont="1" applyFill="1" applyBorder="1" applyAlignment="1">
      <alignment horizontal="center" vertical="center" wrapText="1"/>
    </xf>
    <xf numFmtId="164" fontId="12" fillId="9" borderId="31" xfId="0" applyNumberFormat="1" applyFont="1" applyFill="1" applyBorder="1" applyAlignment="1">
      <alignment vertical="center" wrapText="1"/>
    </xf>
    <xf numFmtId="165" fontId="12" fillId="9" borderId="32" xfId="1" applyNumberFormat="1" applyFont="1" applyFill="1" applyBorder="1" applyAlignment="1">
      <alignment vertical="center" wrapText="1"/>
    </xf>
    <xf numFmtId="0" fontId="12" fillId="0" borderId="32" xfId="0" applyFont="1" applyBorder="1" applyAlignment="1">
      <alignment vertical="center" wrapText="1"/>
    </xf>
    <xf numFmtId="164" fontId="13" fillId="0" borderId="31" xfId="0" applyNumberFormat="1" applyFont="1" applyBorder="1" applyAlignment="1">
      <alignment vertical="center" wrapText="1"/>
    </xf>
    <xf numFmtId="164" fontId="13" fillId="0" borderId="31" xfId="1" applyFont="1" applyBorder="1" applyAlignment="1">
      <alignment horizontal="center" vertical="center" wrapText="1"/>
    </xf>
    <xf numFmtId="164" fontId="12" fillId="0" borderId="32" xfId="1" applyFont="1" applyBorder="1" applyAlignment="1">
      <alignment vertical="center" wrapText="1"/>
    </xf>
    <xf numFmtId="164" fontId="12" fillId="0" borderId="31" xfId="1" applyFont="1" applyBorder="1" applyAlignment="1">
      <alignment vertical="center" wrapText="1"/>
    </xf>
    <xf numFmtId="164" fontId="13" fillId="0" borderId="31" xfId="1" applyNumberFormat="1" applyFont="1" applyBorder="1" applyAlignment="1">
      <alignment vertical="center" wrapText="1"/>
    </xf>
    <xf numFmtId="4" fontId="13" fillId="0" borderId="31" xfId="1" applyNumberFormat="1" applyFont="1" applyBorder="1" applyAlignment="1">
      <alignment vertical="center" wrapText="1"/>
    </xf>
    <xf numFmtId="4" fontId="12" fillId="0" borderId="31" xfId="1" applyNumberFormat="1" applyFont="1" applyBorder="1" applyAlignment="1">
      <alignment vertical="center" wrapText="1"/>
    </xf>
    <xf numFmtId="4" fontId="12" fillId="0" borderId="31" xfId="0" applyNumberFormat="1" applyFont="1" applyBorder="1" applyAlignment="1">
      <alignment vertical="center" wrapText="1"/>
    </xf>
    <xf numFmtId="165" fontId="12" fillId="0" borderId="31" xfId="1" applyNumberFormat="1" applyFont="1" applyBorder="1" applyAlignment="1">
      <alignment vertical="center" wrapText="1"/>
    </xf>
    <xf numFmtId="9" fontId="12" fillId="0" borderId="31" xfId="3" applyFont="1" applyBorder="1" applyAlignment="1">
      <alignment vertical="center" wrapText="1"/>
    </xf>
    <xf numFmtId="167" fontId="12" fillId="0" borderId="31" xfId="2" applyFont="1" applyBorder="1" applyAlignment="1">
      <alignment vertical="center" wrapText="1"/>
    </xf>
    <xf numFmtId="167" fontId="13" fillId="0" borderId="31" xfId="2" applyFont="1" applyBorder="1" applyAlignment="1">
      <alignment vertical="center" wrapText="1"/>
    </xf>
    <xf numFmtId="9" fontId="13" fillId="0" borderId="31" xfId="3" applyFont="1" applyBorder="1" applyAlignment="1">
      <alignment vertical="center" wrapText="1"/>
    </xf>
    <xf numFmtId="0" fontId="12" fillId="10" borderId="30" xfId="0" applyFont="1" applyFill="1" applyBorder="1" applyAlignment="1">
      <alignment horizontal="left" vertical="center" wrapText="1"/>
    </xf>
    <xf numFmtId="0" fontId="12" fillId="10" borderId="31" xfId="0" applyFont="1" applyFill="1" applyBorder="1" applyAlignment="1">
      <alignment horizontal="left" vertical="center" wrapText="1"/>
    </xf>
    <xf numFmtId="165" fontId="12" fillId="10" borderId="31" xfId="0" applyNumberFormat="1" applyFont="1" applyFill="1" applyBorder="1" applyAlignment="1">
      <alignment vertical="center" wrapText="1"/>
    </xf>
    <xf numFmtId="164" fontId="12" fillId="10" borderId="31" xfId="1" applyFont="1" applyFill="1" applyBorder="1" applyAlignment="1">
      <alignment vertical="center" wrapText="1"/>
    </xf>
    <xf numFmtId="164" fontId="12" fillId="10" borderId="31" xfId="1" applyNumberFormat="1" applyFont="1" applyFill="1" applyBorder="1" applyAlignment="1">
      <alignment vertical="center" wrapText="1"/>
    </xf>
    <xf numFmtId="3" fontId="12" fillId="10" borderId="31" xfId="1" applyNumberFormat="1" applyFont="1" applyFill="1" applyBorder="1" applyAlignment="1">
      <alignment vertical="center" wrapText="1"/>
    </xf>
    <xf numFmtId="9" fontId="12" fillId="10" borderId="31" xfId="3" applyFont="1" applyFill="1" applyBorder="1" applyAlignment="1">
      <alignment vertical="center" wrapText="1"/>
    </xf>
    <xf numFmtId="0" fontId="12" fillId="10" borderId="31" xfId="0" applyFont="1" applyFill="1" applyBorder="1" applyAlignment="1">
      <alignment vertical="center" wrapText="1"/>
    </xf>
    <xf numFmtId="0" fontId="12" fillId="10" borderId="32" xfId="0" applyFont="1" applyFill="1" applyBorder="1" applyAlignment="1">
      <alignment vertical="center" wrapText="1"/>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12" fillId="10" borderId="34" xfId="0" applyFont="1" applyFill="1" applyBorder="1" applyAlignment="1">
      <alignment horizontal="left" vertical="center" wrapText="1"/>
    </xf>
    <xf numFmtId="0" fontId="12" fillId="10" borderId="35" xfId="0" applyFont="1" applyFill="1" applyBorder="1" applyAlignment="1">
      <alignment horizontal="left" vertical="center" wrapText="1"/>
    </xf>
    <xf numFmtId="165" fontId="12" fillId="10" borderId="35" xfId="0" applyNumberFormat="1" applyFont="1" applyFill="1" applyBorder="1" applyAlignment="1">
      <alignment vertical="center" wrapText="1"/>
    </xf>
    <xf numFmtId="0" fontId="12" fillId="10" borderId="35" xfId="0" applyFont="1" applyFill="1" applyBorder="1" applyAlignment="1">
      <alignment vertical="center" wrapText="1"/>
    </xf>
    <xf numFmtId="164" fontId="12" fillId="10" borderId="35" xfId="1" applyFont="1" applyFill="1" applyBorder="1" applyAlignment="1">
      <alignment vertical="center" wrapText="1"/>
    </xf>
    <xf numFmtId="9" fontId="12" fillId="10" borderId="35" xfId="3" applyFont="1" applyFill="1" applyBorder="1" applyAlignment="1">
      <alignment vertical="center" wrapText="1"/>
    </xf>
    <xf numFmtId="0" fontId="12" fillId="10" borderId="36" xfId="0" applyFont="1" applyFill="1" applyBorder="1" applyAlignment="1">
      <alignment vertical="center" wrapText="1"/>
    </xf>
  </cellXfs>
  <cellStyles count="5">
    <cellStyle name="Comma" xfId="1" builtinId="3"/>
    <cellStyle name="Comma [0]" xfId="2" builtinId="6"/>
    <cellStyle name="Comma 3" xf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Projects\West%20Africa\Active%20projects\Cote%20D'Ivoire\GB733%20MOJEC%20-%20UNPBF\3.%20Finance\3.2%20Financial%20Reports\3.2.3%20Interim%20Donor%20Report%20+%20QTR\Donor%20UNPBF%20%20Fin%20Report%201-%20CARE%20PBF%20MOJEC%20-Jan-March19%20Transmis%20CARE%20U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LOSSENI/AppData/Local/Microsoft/Windows/INetCache/Content.Outlook/MT7NQYRF/Q3%20UNPBF%20Financial%20Report-RF%20CARE%20CIV%20MOJEC%20-%20Annex%20D%20-%20Oct.19%20(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coulibaly/Documents/CARE%202019/MOJEC/Finance/PBF%20MOJEC%20Budget%20-%20Annex%20D%20_final%2002.11.18%20Sources%20Typ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PBF Global"/>
      <sheetName val="Allocation GENRE"/>
      <sheetName val="Personnel et Coût opérationnel"/>
      <sheetName val="Budget PBF"/>
      <sheetName val="PBF Categorie base"/>
      <sheetName val="Summary"/>
      <sheetName val="PBF Categorie"/>
      <sheetName val="Pivot table Janv-Mars19"/>
      <sheetName val="Translist Jan-March19"/>
      <sheetName val="GL DATE2 JAN-MARCH19"/>
    </sheetNames>
    <sheetDataSet>
      <sheetData sheetId="0" refreshError="1"/>
      <sheetData sheetId="1" refreshError="1"/>
      <sheetData sheetId="2">
        <row r="28">
          <cell r="F28">
            <v>19478.99469047791</v>
          </cell>
        </row>
        <row r="35">
          <cell r="F35">
            <v>50400</v>
          </cell>
        </row>
      </sheetData>
      <sheetData sheetId="3">
        <row r="32">
          <cell r="C32">
            <v>436874.51000000013</v>
          </cell>
        </row>
        <row r="47">
          <cell r="C47">
            <v>56363.636363636368</v>
          </cell>
        </row>
        <row r="66">
          <cell r="C66">
            <v>218613.6610255799</v>
          </cell>
        </row>
        <row r="68">
          <cell r="C68">
            <v>74495.454545454544</v>
          </cell>
        </row>
      </sheetData>
      <sheetData sheetId="4" refreshError="1"/>
      <sheetData sheetId="5" refreshError="1"/>
      <sheetData sheetId="6" refreshError="1"/>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UNPBFQ3"/>
      <sheetName val="RF-UNPBFQ3 detail"/>
      <sheetName val="Pivot July-Sept19"/>
      <sheetName val="Pivot table July-Sept19-detail"/>
      <sheetName val="Translist July-Sept19"/>
      <sheetName val="Feuil4"/>
      <sheetName val="Pivot table April-june19-detail"/>
      <sheetName val="Feuil7"/>
      <sheetName val="Pivote table April-June 2019"/>
      <sheetName val="Translist April-June 2019"/>
      <sheetName val="Allocation GENRE"/>
      <sheetName val="Personnel et Coût opérationnel"/>
      <sheetName val="Budget PBF"/>
      <sheetName val="PBF Categorie base"/>
      <sheetName val="Summary"/>
      <sheetName val="PBF Categorie"/>
      <sheetName val="Pivot table jan-march-detail"/>
      <sheetName val="Pivot table Janv-Mars19"/>
      <sheetName val="Translist Jan-March19"/>
      <sheetName val="Pivot table Jan-Sept19"/>
      <sheetName val="Translist Jan-Sept19"/>
      <sheetName val="GL DATE2 JAN-SEPT19"/>
    </sheetNames>
    <sheetDataSet>
      <sheetData sheetId="0"/>
      <sheetData sheetId="1"/>
      <sheetData sheetId="2">
        <row r="3">
          <cell r="A3" t="str">
            <v>Étiquettes de lignes</v>
          </cell>
        </row>
      </sheetData>
      <sheetData sheetId="3">
        <row r="3">
          <cell r="A3" t="str">
            <v>Étiquettes de lignes</v>
          </cell>
        </row>
      </sheetData>
      <sheetData sheetId="4"/>
      <sheetData sheetId="5"/>
      <sheetData sheetId="6">
        <row r="3">
          <cell r="A3" t="str">
            <v>Étiquettes de lignes</v>
          </cell>
        </row>
      </sheetData>
      <sheetData sheetId="7"/>
      <sheetData sheetId="8"/>
      <sheetData sheetId="9"/>
      <sheetData sheetId="10"/>
      <sheetData sheetId="11"/>
      <sheetData sheetId="12"/>
      <sheetData sheetId="13"/>
      <sheetData sheetId="14"/>
      <sheetData sheetId="15"/>
      <sheetData sheetId="16">
        <row r="3">
          <cell r="A3" t="str">
            <v>Étiquettes de lignes</v>
          </cell>
        </row>
      </sheetData>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PBF"/>
      <sheetName val="PBF Categorie"/>
      <sheetName val="Allocation GENRE"/>
      <sheetName val="Personnel et Coût opérationnel"/>
    </sheetNames>
    <sheetDataSet>
      <sheetData sheetId="0">
        <row r="32">
          <cell r="C32">
            <v>436874.51000000013</v>
          </cell>
        </row>
      </sheetData>
      <sheetData sheetId="1"/>
      <sheetData sheetId="2"/>
      <sheetData sheetId="3">
        <row r="20">
          <cell r="F20">
            <v>7200</v>
          </cell>
        </row>
        <row r="22">
          <cell r="F22">
            <v>218613.6610255799</v>
          </cell>
        </row>
        <row r="37">
          <cell r="F37">
            <v>69878.994690477906</v>
          </cell>
        </row>
        <row r="44">
          <cell r="F44">
            <v>74495.454545454544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2"/>
  <sheetViews>
    <sheetView tabSelected="1" topLeftCell="A6" workbookViewId="0">
      <selection activeCell="P14" sqref="P14"/>
    </sheetView>
  </sheetViews>
  <sheetFormatPr defaultColWidth="9.1796875" defaultRowHeight="14.5" x14ac:dyDescent="0.35"/>
  <cols>
    <col min="2" max="2" width="28.81640625" customWidth="1"/>
    <col min="3" max="4" width="13.453125" hidden="1" customWidth="1"/>
    <col min="5" max="5" width="14" hidden="1" customWidth="1"/>
    <col min="6" max="7" width="10.81640625" hidden="1" customWidth="1"/>
    <col min="8" max="8" width="9.81640625" hidden="1" customWidth="1"/>
    <col min="9" max="9" width="16.453125" customWidth="1"/>
    <col min="10" max="10" width="14" customWidth="1"/>
    <col min="11" max="11" width="14.7265625" customWidth="1"/>
    <col min="12" max="14" width="14" customWidth="1"/>
    <col min="15" max="15" width="12.6328125" bestFit="1" customWidth="1"/>
    <col min="16" max="16" width="11.1796875" bestFit="1" customWidth="1"/>
  </cols>
  <sheetData>
    <row r="1" spans="1:14" ht="15" thickBot="1" x14ac:dyDescent="0.4"/>
    <row r="2" spans="1:14" ht="16" thickBot="1" x14ac:dyDescent="0.4">
      <c r="B2" s="1" t="s">
        <v>0</v>
      </c>
      <c r="C2" s="2"/>
      <c r="D2" s="2"/>
      <c r="E2" s="2"/>
      <c r="F2" s="2"/>
      <c r="G2" s="2"/>
      <c r="H2" s="2"/>
      <c r="I2" s="3" t="s">
        <v>1</v>
      </c>
      <c r="J2" s="3"/>
      <c r="K2" s="3"/>
      <c r="L2" s="3"/>
      <c r="M2" s="3"/>
      <c r="N2" s="4"/>
    </row>
    <row r="3" spans="1:14" ht="16" thickBot="1" x14ac:dyDescent="0.4">
      <c r="B3" s="5" t="s">
        <v>2</v>
      </c>
      <c r="C3" s="6"/>
      <c r="D3" s="6"/>
      <c r="E3" s="6"/>
      <c r="F3" s="6"/>
      <c r="G3" s="6"/>
      <c r="H3" s="6"/>
      <c r="I3" s="7">
        <v>113420</v>
      </c>
      <c r="J3" s="7"/>
      <c r="K3" s="7"/>
      <c r="L3" s="7"/>
      <c r="M3" s="7"/>
      <c r="N3" s="8"/>
    </row>
    <row r="4" spans="1:14" ht="16" thickBot="1" x14ac:dyDescent="0.4">
      <c r="B4" s="5" t="s">
        <v>3</v>
      </c>
      <c r="C4" s="6"/>
      <c r="D4" s="6"/>
      <c r="E4" s="6"/>
      <c r="F4" s="6"/>
      <c r="G4" s="6"/>
      <c r="H4" s="6"/>
      <c r="I4" s="7" t="s">
        <v>4</v>
      </c>
      <c r="J4" s="7"/>
      <c r="K4" s="7"/>
      <c r="L4" s="7"/>
      <c r="M4" s="7"/>
      <c r="N4" s="8"/>
    </row>
    <row r="5" spans="1:14" ht="16" thickBot="1" x14ac:dyDescent="0.4">
      <c r="B5" s="5" t="s">
        <v>5</v>
      </c>
      <c r="C5" s="6"/>
      <c r="D5" s="6"/>
      <c r="E5" s="6"/>
      <c r="F5" s="6"/>
      <c r="G5" s="6"/>
      <c r="H5" s="6"/>
      <c r="I5" s="7" t="s">
        <v>6</v>
      </c>
      <c r="J5" s="7"/>
      <c r="K5" s="7"/>
      <c r="L5" s="7"/>
      <c r="M5" s="7"/>
      <c r="N5" s="8"/>
    </row>
    <row r="6" spans="1:14" ht="16" thickBot="1" x14ac:dyDescent="0.4">
      <c r="B6" s="5" t="s">
        <v>7</v>
      </c>
      <c r="C6" s="6"/>
      <c r="D6" s="6"/>
      <c r="E6" s="6"/>
      <c r="F6" s="6"/>
      <c r="G6" s="6"/>
      <c r="H6" s="6"/>
      <c r="I6" s="7" t="s">
        <v>8</v>
      </c>
      <c r="J6" s="7"/>
      <c r="K6" s="7"/>
      <c r="L6" s="7"/>
      <c r="M6" s="7"/>
      <c r="N6" s="8"/>
    </row>
    <row r="7" spans="1:14" ht="16" thickBot="1" x14ac:dyDescent="0.4">
      <c r="B7" s="5" t="s">
        <v>9</v>
      </c>
      <c r="C7" s="6"/>
      <c r="D7" s="6"/>
      <c r="E7" s="6"/>
      <c r="F7" s="6"/>
      <c r="G7" s="6"/>
      <c r="H7" s="6"/>
      <c r="I7" s="7" t="s">
        <v>10</v>
      </c>
      <c r="J7" s="7"/>
      <c r="K7" s="7"/>
      <c r="L7" s="7"/>
      <c r="M7" s="7"/>
      <c r="N7" s="8"/>
    </row>
    <row r="8" spans="1:14" ht="16" thickBot="1" x14ac:dyDescent="0.4">
      <c r="B8" s="5" t="s">
        <v>11</v>
      </c>
      <c r="C8" s="9"/>
      <c r="D8" s="9"/>
      <c r="E8" s="9"/>
      <c r="F8" s="9"/>
      <c r="G8" s="9"/>
      <c r="H8" s="9"/>
      <c r="I8" s="10" t="s">
        <v>12</v>
      </c>
      <c r="J8" s="11"/>
      <c r="K8" s="11"/>
      <c r="L8" s="11"/>
      <c r="M8" s="11"/>
      <c r="N8" s="12"/>
    </row>
    <row r="9" spans="1:14" ht="15" thickBot="1" x14ac:dyDescent="0.4"/>
    <row r="10" spans="1:14" ht="15" thickBot="1" x14ac:dyDescent="0.4">
      <c r="A10" s="13" t="s">
        <v>13</v>
      </c>
      <c r="B10" s="14" t="s">
        <v>14</v>
      </c>
      <c r="C10" s="15" t="s">
        <v>15</v>
      </c>
      <c r="D10" s="15"/>
      <c r="E10" s="16"/>
      <c r="F10" s="17" t="s">
        <v>16</v>
      </c>
      <c r="G10" s="18"/>
      <c r="H10" s="17" t="s">
        <v>17</v>
      </c>
      <c r="I10" s="17" t="s">
        <v>18</v>
      </c>
      <c r="J10" s="17" t="s">
        <v>19</v>
      </c>
      <c r="K10" s="17" t="s">
        <v>20</v>
      </c>
      <c r="L10" s="17" t="s">
        <v>21</v>
      </c>
      <c r="M10" s="17" t="s">
        <v>22</v>
      </c>
      <c r="N10" s="19" t="s">
        <v>23</v>
      </c>
    </row>
    <row r="11" spans="1:14" ht="15" thickBot="1" x14ac:dyDescent="0.4">
      <c r="A11" s="20"/>
      <c r="B11" s="21"/>
      <c r="C11" s="22" t="s">
        <v>24</v>
      </c>
      <c r="D11" s="22" t="s">
        <v>25</v>
      </c>
      <c r="E11" s="22" t="s">
        <v>26</v>
      </c>
      <c r="F11" s="23"/>
      <c r="G11" s="24"/>
      <c r="H11" s="23"/>
      <c r="I11" s="23"/>
      <c r="J11" s="23"/>
      <c r="K11" s="23"/>
      <c r="L11" s="23"/>
      <c r="M11" s="23"/>
      <c r="N11" s="25"/>
    </row>
    <row r="12" spans="1:14" ht="15" thickBot="1" x14ac:dyDescent="0.4">
      <c r="A12" s="26">
        <v>1</v>
      </c>
      <c r="B12" s="27" t="s">
        <v>27</v>
      </c>
      <c r="C12" s="28">
        <f>'[1]Budget PBF'!C66*35%</f>
        <v>76514.781358952954</v>
      </c>
      <c r="D12" s="28">
        <f>'[1]Budget PBF'!C66*35%</f>
        <v>76514.781358952954</v>
      </c>
      <c r="E12" s="28">
        <f>+'[1]Budget PBF'!C66*0.3</f>
        <v>65584.098307673965</v>
      </c>
      <c r="F12" s="28">
        <f>+C12</f>
        <v>76514.781358952954</v>
      </c>
      <c r="G12" s="28">
        <f>+D12</f>
        <v>76514.781358952954</v>
      </c>
      <c r="H12" s="28">
        <f>+E12</f>
        <v>65584.098307673965</v>
      </c>
      <c r="I12" s="29">
        <v>218613.66</v>
      </c>
      <c r="J12" s="29">
        <v>72481.739999999991</v>
      </c>
      <c r="K12" s="29">
        <f>GETPIVOTDATA("BU Amount",'[2]Pivot July-Sept19'!$A$3,"Activity ID Reviewed",1)</f>
        <v>38685.290000000015</v>
      </c>
      <c r="L12" s="29">
        <f>+J12+K12</f>
        <v>111167.03</v>
      </c>
      <c r="M12" s="29">
        <f>I12-L12</f>
        <v>107446.63</v>
      </c>
      <c r="N12" s="30">
        <f>L12/I12</f>
        <v>0.50850907486750829</v>
      </c>
    </row>
    <row r="13" spans="1:14" ht="26.5" thickBot="1" x14ac:dyDescent="0.4">
      <c r="A13" s="26">
        <v>2</v>
      </c>
      <c r="B13" s="31" t="s">
        <v>28</v>
      </c>
      <c r="C13" s="32"/>
      <c r="D13" s="32"/>
      <c r="E13" s="32"/>
      <c r="F13" s="32">
        <f t="shared" ref="F13:G18" si="0">+C13</f>
        <v>0</v>
      </c>
      <c r="G13" s="32"/>
      <c r="H13" s="32">
        <f t="shared" ref="H13:H18" si="1">+E13</f>
        <v>0</v>
      </c>
      <c r="I13" s="33">
        <v>0</v>
      </c>
      <c r="J13" s="33">
        <v>0</v>
      </c>
      <c r="K13" s="33"/>
      <c r="L13" s="34">
        <f t="shared" ref="L13:L21" si="2">+J13+K13</f>
        <v>0</v>
      </c>
      <c r="M13" s="34">
        <f t="shared" ref="M13:M21" si="3">I13-L13</f>
        <v>0</v>
      </c>
      <c r="N13" s="35"/>
    </row>
    <row r="14" spans="1:14" ht="26.5" thickBot="1" x14ac:dyDescent="0.4">
      <c r="A14" s="26">
        <v>3</v>
      </c>
      <c r="B14" s="27" t="s">
        <v>29</v>
      </c>
      <c r="C14" s="36">
        <f>'[1]Personnel et Coût opérationnel'!F35*35%</f>
        <v>17640</v>
      </c>
      <c r="D14" s="36">
        <f>'[1]Personnel et Coût opérationnel'!F35*35%</f>
        <v>17640</v>
      </c>
      <c r="E14" s="36">
        <f>'[1]Personnel et Coût opérationnel'!F35*30%</f>
        <v>15120</v>
      </c>
      <c r="F14" s="36">
        <f t="shared" si="0"/>
        <v>17640</v>
      </c>
      <c r="G14" s="36">
        <f t="shared" si="0"/>
        <v>17640</v>
      </c>
      <c r="H14" s="36">
        <f t="shared" si="1"/>
        <v>15120</v>
      </c>
      <c r="I14" s="29">
        <v>50400</v>
      </c>
      <c r="J14" s="29">
        <v>47686.270000000019</v>
      </c>
      <c r="K14" s="29">
        <f>GETPIVOTDATA("BU Amount",'[2]Pivot July-Sept19'!$A$3,"Activity ID Reviewed",3)</f>
        <v>2856.1200000000003</v>
      </c>
      <c r="L14" s="29">
        <f t="shared" si="2"/>
        <v>50542.390000000021</v>
      </c>
      <c r="M14" s="29">
        <f t="shared" si="3"/>
        <v>-142.39000000002125</v>
      </c>
      <c r="N14" s="30">
        <f t="shared" ref="N14:N21" si="4">L14/I14</f>
        <v>1.0028251984126988</v>
      </c>
    </row>
    <row r="15" spans="1:14" ht="15" thickBot="1" x14ac:dyDescent="0.4">
      <c r="A15" s="26">
        <v>4</v>
      </c>
      <c r="B15" s="31" t="s">
        <v>30</v>
      </c>
      <c r="C15" s="32"/>
      <c r="D15" s="32"/>
      <c r="E15" s="32"/>
      <c r="F15" s="32">
        <f t="shared" si="0"/>
        <v>0</v>
      </c>
      <c r="G15" s="32"/>
      <c r="H15" s="32">
        <f t="shared" si="1"/>
        <v>0</v>
      </c>
      <c r="I15" s="34">
        <v>0</v>
      </c>
      <c r="J15" s="34">
        <v>0</v>
      </c>
      <c r="K15" s="34"/>
      <c r="L15" s="34">
        <f t="shared" si="2"/>
        <v>0</v>
      </c>
      <c r="M15" s="34">
        <f t="shared" si="3"/>
        <v>0</v>
      </c>
      <c r="N15" s="35"/>
    </row>
    <row r="16" spans="1:14" ht="26.5" thickBot="1" x14ac:dyDescent="0.4">
      <c r="A16" s="26">
        <v>5</v>
      </c>
      <c r="B16" s="27" t="s">
        <v>31</v>
      </c>
      <c r="C16" s="36">
        <f>'[1]Budget PBF'!C68*35%</f>
        <v>26073.409090909088</v>
      </c>
      <c r="D16" s="36">
        <f>'[1]Budget PBF'!C68*35%</f>
        <v>26073.409090909088</v>
      </c>
      <c r="E16" s="36">
        <f>'[1]Budget PBF'!C68*30%</f>
        <v>22348.636363636364</v>
      </c>
      <c r="F16" s="36">
        <f t="shared" si="0"/>
        <v>26073.409090909088</v>
      </c>
      <c r="G16" s="36">
        <f t="shared" si="0"/>
        <v>26073.409090909088</v>
      </c>
      <c r="H16" s="36">
        <f t="shared" si="1"/>
        <v>22348.636363636364</v>
      </c>
      <c r="I16" s="29">
        <v>74495.45</v>
      </c>
      <c r="J16" s="29">
        <v>6069</v>
      </c>
      <c r="K16" s="29">
        <f>GETPIVOTDATA("BU Amount",'[2]Pivot July-Sept19'!$A$3,"Activity ID Reviewed",5)</f>
        <v>1589.4399999999996</v>
      </c>
      <c r="L16" s="29">
        <f t="shared" si="2"/>
        <v>7658.44</v>
      </c>
      <c r="M16" s="29">
        <f t="shared" si="3"/>
        <v>66837.009999999995</v>
      </c>
      <c r="N16" s="30">
        <f t="shared" si="4"/>
        <v>0.10280413099055043</v>
      </c>
    </row>
    <row r="17" spans="1:14" ht="26.5" thickBot="1" x14ac:dyDescent="0.4">
      <c r="A17" s="26">
        <v>6</v>
      </c>
      <c r="B17" s="27" t="s">
        <v>32</v>
      </c>
      <c r="C17" s="37">
        <f>('[1]Budget PBF'!C32+'[1]Budget PBF'!C47)*35%+60134</f>
        <v>232767.35122727277</v>
      </c>
      <c r="D17" s="36">
        <f>('[1]Budget PBF'!C32+'[1]Budget PBF'!C47)*35%+60134</f>
        <v>232767.35122727277</v>
      </c>
      <c r="E17" s="36">
        <f>('[1]Budget PBF'!C32+'[1]Budget PBF'!C47)*30%+51543</f>
        <v>199514.44390909094</v>
      </c>
      <c r="F17" s="36">
        <f t="shared" si="0"/>
        <v>232767.35122727277</v>
      </c>
      <c r="G17" s="36">
        <f t="shared" si="0"/>
        <v>232767.35122727277</v>
      </c>
      <c r="H17" s="36">
        <f t="shared" si="1"/>
        <v>199514.44390909094</v>
      </c>
      <c r="I17" s="29">
        <v>665049.15</v>
      </c>
      <c r="J17" s="29">
        <v>30441.590000000004</v>
      </c>
      <c r="K17" s="29">
        <f>GETPIVOTDATA("BU Amount",'[2]Pivot July-Sept19'!$A$3,"Activity ID Reviewed",6)</f>
        <v>83687.409999999931</v>
      </c>
      <c r="L17" s="29">
        <f t="shared" si="2"/>
        <v>114128.99999999994</v>
      </c>
      <c r="M17" s="29">
        <f t="shared" si="3"/>
        <v>550920.15000000014</v>
      </c>
      <c r="N17" s="30">
        <f t="shared" si="4"/>
        <v>0.17160987274399184</v>
      </c>
    </row>
    <row r="18" spans="1:14" ht="26.5" thickBot="1" x14ac:dyDescent="0.4">
      <c r="A18" s="26">
        <v>7</v>
      </c>
      <c r="B18" s="27" t="s">
        <v>33</v>
      </c>
      <c r="C18" s="36">
        <f>'[1]Personnel et Coût opérationnel'!F28*35%</f>
        <v>6817.6481416672677</v>
      </c>
      <c r="D18" s="36">
        <f>'[1]Personnel et Coût opérationnel'!F28*35%</f>
        <v>6817.6481416672677</v>
      </c>
      <c r="E18" s="36">
        <f>'[1]Personnel et Coût opérationnel'!F28*30%</f>
        <v>5843.6984071433726</v>
      </c>
      <c r="F18" s="36">
        <f t="shared" si="0"/>
        <v>6817.6481416672677</v>
      </c>
      <c r="G18" s="36">
        <f t="shared" si="0"/>
        <v>6817.6481416672677</v>
      </c>
      <c r="H18" s="36">
        <f t="shared" si="1"/>
        <v>5843.6984071433726</v>
      </c>
      <c r="I18" s="29">
        <v>19478.990000000002</v>
      </c>
      <c r="J18" s="29">
        <v>8222.3899999999958</v>
      </c>
      <c r="K18" s="29">
        <f>GETPIVOTDATA("BU Amount",'[2]Pivot July-Sept19'!$A$3,"Activity ID Reviewed",7)</f>
        <v>7501.199999999998</v>
      </c>
      <c r="L18" s="29">
        <f t="shared" si="2"/>
        <v>15723.589999999993</v>
      </c>
      <c r="M18" s="29">
        <f t="shared" si="3"/>
        <v>3755.4000000000087</v>
      </c>
      <c r="N18" s="30">
        <f t="shared" si="4"/>
        <v>0.80720766323099868</v>
      </c>
    </row>
    <row r="19" spans="1:14" ht="15" thickBot="1" x14ac:dyDescent="0.4">
      <c r="A19" s="38"/>
      <c r="B19" s="39" t="s">
        <v>34</v>
      </c>
      <c r="C19" s="40">
        <f t="shared" ref="C19:G19" si="5">SUM(C12:C18)</f>
        <v>359813.18981880206</v>
      </c>
      <c r="D19" s="40">
        <f>SUM(D12:D18)</f>
        <v>359813.18981880206</v>
      </c>
      <c r="E19" s="40">
        <f t="shared" si="5"/>
        <v>308410.87698754465</v>
      </c>
      <c r="F19" s="40">
        <f t="shared" si="5"/>
        <v>359813.18981880206</v>
      </c>
      <c r="G19" s="40">
        <f t="shared" si="5"/>
        <v>359813.18981880206</v>
      </c>
      <c r="H19" s="40">
        <f>SUM(H12:H18)</f>
        <v>308410.87698754465</v>
      </c>
      <c r="I19" s="41">
        <v>1028037.25</v>
      </c>
      <c r="J19" s="41">
        <v>164900.99</v>
      </c>
      <c r="K19" s="41">
        <f>SUM(K12:K18)</f>
        <v>134319.45999999996</v>
      </c>
      <c r="L19" s="42">
        <f t="shared" si="2"/>
        <v>299220.44999999995</v>
      </c>
      <c r="M19" s="41">
        <f t="shared" si="3"/>
        <v>728816.8</v>
      </c>
      <c r="N19" s="43">
        <f t="shared" si="4"/>
        <v>0.29105992997821817</v>
      </c>
    </row>
    <row r="20" spans="1:14" ht="15" thickBot="1" x14ac:dyDescent="0.4">
      <c r="A20" s="26">
        <v>8</v>
      </c>
      <c r="B20" s="27" t="s">
        <v>35</v>
      </c>
      <c r="C20" s="36">
        <f>+C19*7%</f>
        <v>25186.923287316145</v>
      </c>
      <c r="D20" s="36">
        <f>+D19*7%</f>
        <v>25186.923287316145</v>
      </c>
      <c r="E20" s="36">
        <f>+E19*7%</f>
        <v>21588.761389128129</v>
      </c>
      <c r="F20" s="36">
        <f>+C20</f>
        <v>25186.923287316145</v>
      </c>
      <c r="G20" s="36">
        <f>+D20</f>
        <v>25186.923287316145</v>
      </c>
      <c r="H20" s="36">
        <f>+E20</f>
        <v>21588.761389128129</v>
      </c>
      <c r="I20" s="44">
        <v>71962.607500000013</v>
      </c>
      <c r="J20" s="44">
        <v>11543.069300000001</v>
      </c>
      <c r="K20" s="45">
        <f>+K19*7%</f>
        <v>9402.3621999999978</v>
      </c>
      <c r="L20" s="44">
        <f t="shared" si="2"/>
        <v>20945.431499999999</v>
      </c>
      <c r="M20" s="44">
        <f t="shared" si="3"/>
        <v>51017.176000000014</v>
      </c>
      <c r="N20" s="46">
        <f t="shared" si="4"/>
        <v>0.29105992997821811</v>
      </c>
    </row>
    <row r="21" spans="1:14" ht="15" thickBot="1" x14ac:dyDescent="0.4">
      <c r="A21" s="47"/>
      <c r="B21" s="48" t="s">
        <v>36</v>
      </c>
      <c r="C21" s="49">
        <f t="shared" ref="C21:H21" si="6">+C19+C20</f>
        <v>385000.11310611822</v>
      </c>
      <c r="D21" s="49">
        <f t="shared" si="6"/>
        <v>385000.11310611822</v>
      </c>
      <c r="E21" s="49">
        <f t="shared" si="6"/>
        <v>329999.63837667275</v>
      </c>
      <c r="F21" s="49">
        <f t="shared" si="6"/>
        <v>385000.11310611822</v>
      </c>
      <c r="G21" s="49">
        <f t="shared" si="6"/>
        <v>385000.11310611822</v>
      </c>
      <c r="H21" s="49">
        <f t="shared" si="6"/>
        <v>329999.63837667275</v>
      </c>
      <c r="I21" s="50">
        <v>1099999.8574999999</v>
      </c>
      <c r="J21" s="50">
        <v>176444.05929999999</v>
      </c>
      <c r="K21" s="50">
        <f>K19+K20</f>
        <v>143721.82219999997</v>
      </c>
      <c r="L21" s="51">
        <f t="shared" si="2"/>
        <v>320165.88149999996</v>
      </c>
      <c r="M21" s="50">
        <f t="shared" si="3"/>
        <v>779833.97600000002</v>
      </c>
      <c r="N21" s="52">
        <f t="shared" si="4"/>
        <v>0.29105992997821817</v>
      </c>
    </row>
    <row r="22" spans="1:14" x14ac:dyDescent="0.35">
      <c r="I22" s="53"/>
    </row>
  </sheetData>
  <mergeCells count="18">
    <mergeCell ref="M10:M11"/>
    <mergeCell ref="N10:N11"/>
    <mergeCell ref="I8:N8"/>
    <mergeCell ref="A10:A11"/>
    <mergeCell ref="B10:B11"/>
    <mergeCell ref="C10:E10"/>
    <mergeCell ref="F10:F11"/>
    <mergeCell ref="H10:H11"/>
    <mergeCell ref="I10:I11"/>
    <mergeCell ref="J10:J11"/>
    <mergeCell ref="K10:K11"/>
    <mergeCell ref="L10:L11"/>
    <mergeCell ref="I2:N2"/>
    <mergeCell ref="I3:N3"/>
    <mergeCell ref="I4:N4"/>
    <mergeCell ref="I5:N5"/>
    <mergeCell ref="I6:N6"/>
    <mergeCell ref="I7:N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M71"/>
  <sheetViews>
    <sheetView view="pageBreakPreview" topLeftCell="A53" zoomScale="51" zoomScaleNormal="50" zoomScaleSheetLayoutView="51" workbookViewId="0">
      <selection activeCell="C67" sqref="C67"/>
    </sheetView>
  </sheetViews>
  <sheetFormatPr defaultColWidth="9.1796875" defaultRowHeight="14.5" x14ac:dyDescent="0.35"/>
  <cols>
    <col min="1" max="1" width="7.81640625" customWidth="1"/>
    <col min="2" max="2" width="21.54296875" customWidth="1"/>
    <col min="3" max="3" width="62.1796875" customWidth="1"/>
    <col min="4" max="4" width="25.54296875" customWidth="1"/>
    <col min="5" max="5" width="17.453125" hidden="1" customWidth="1"/>
    <col min="6" max="6" width="20.6328125" customWidth="1"/>
    <col min="7" max="7" width="23.08984375" customWidth="1"/>
    <col min="8" max="8" width="14.7265625" customWidth="1"/>
    <col min="9" max="9" width="16.1796875" style="56" customWidth="1"/>
    <col min="10" max="10" width="21.08984375" customWidth="1"/>
    <col min="11" max="11" width="10.7265625" customWidth="1"/>
    <col min="12" max="12" width="14.81640625" customWidth="1"/>
    <col min="13" max="13" width="41.453125" customWidth="1"/>
  </cols>
  <sheetData>
    <row r="1" spans="1:13" ht="21" x14ac:dyDescent="0.5">
      <c r="B1" s="54" t="s">
        <v>37</v>
      </c>
      <c r="C1" s="55"/>
    </row>
    <row r="2" spans="1:13" ht="15.5" x14ac:dyDescent="0.35">
      <c r="B2" s="57"/>
      <c r="C2" s="57"/>
    </row>
    <row r="3" spans="1:13" ht="15.5" x14ac:dyDescent="0.35">
      <c r="B3" s="57" t="s">
        <v>38</v>
      </c>
      <c r="C3" s="57"/>
    </row>
    <row r="5" spans="1:13" ht="15.5" x14ac:dyDescent="0.35">
      <c r="B5" s="57" t="s">
        <v>39</v>
      </c>
    </row>
    <row r="6" spans="1:13" ht="15" thickBot="1" x14ac:dyDescent="0.4"/>
    <row r="7" spans="1:13" ht="120" x14ac:dyDescent="0.35">
      <c r="A7" s="58" t="s">
        <v>40</v>
      </c>
      <c r="B7" s="59" t="s">
        <v>41</v>
      </c>
      <c r="C7" s="60" t="s">
        <v>42</v>
      </c>
      <c r="D7" s="60" t="s">
        <v>43</v>
      </c>
      <c r="E7" s="60" t="s">
        <v>44</v>
      </c>
      <c r="F7" s="60" t="s">
        <v>45</v>
      </c>
      <c r="G7" s="60" t="s">
        <v>46</v>
      </c>
      <c r="H7" s="60" t="s">
        <v>20</v>
      </c>
      <c r="I7" s="60" t="s">
        <v>21</v>
      </c>
      <c r="J7" s="60" t="s">
        <v>22</v>
      </c>
      <c r="K7" s="60" t="s">
        <v>23</v>
      </c>
      <c r="L7" s="60" t="s">
        <v>47</v>
      </c>
      <c r="M7" s="61" t="s">
        <v>48</v>
      </c>
    </row>
    <row r="8" spans="1:13" ht="38.5" customHeight="1" x14ac:dyDescent="0.35">
      <c r="A8" s="56"/>
      <c r="B8" s="62" t="s">
        <v>49</v>
      </c>
      <c r="C8" s="63"/>
      <c r="D8" s="63"/>
      <c r="E8" s="63"/>
      <c r="F8" s="63"/>
      <c r="G8" s="63"/>
      <c r="H8" s="63"/>
      <c r="I8" s="63"/>
      <c r="J8" s="63"/>
      <c r="K8" s="63"/>
      <c r="L8" s="63"/>
      <c r="M8" s="64"/>
    </row>
    <row r="9" spans="1:13" ht="45" x14ac:dyDescent="0.35">
      <c r="A9" s="56"/>
      <c r="B9" s="65" t="s">
        <v>50</v>
      </c>
      <c r="C9" s="66" t="s">
        <v>51</v>
      </c>
      <c r="D9" s="67"/>
      <c r="E9" s="68"/>
      <c r="F9" s="68"/>
      <c r="G9" s="68"/>
      <c r="H9" s="68"/>
      <c r="I9" s="69"/>
      <c r="J9" s="68"/>
      <c r="K9" s="68"/>
      <c r="L9" s="67"/>
      <c r="M9" s="70"/>
    </row>
    <row r="10" spans="1:13" ht="31" x14ac:dyDescent="0.35">
      <c r="A10" s="56">
        <v>1</v>
      </c>
      <c r="B10" s="71" t="s">
        <v>52</v>
      </c>
      <c r="C10" s="72" t="s">
        <v>53</v>
      </c>
      <c r="D10" s="73">
        <f>(2500000*5)/550</f>
        <v>22727.272727272728</v>
      </c>
      <c r="E10" s="74">
        <f>10092/D10</f>
        <v>0.444048</v>
      </c>
      <c r="F10" s="74"/>
      <c r="G10" s="74"/>
      <c r="H10" s="75">
        <f>+GETPIVOTDATA("BU Amount",'[2]Pivot table July-Sept19-detail'!$A$3,"Activity ID reviewed detailed",1)</f>
        <v>19504.419999999998</v>
      </c>
      <c r="I10" s="76">
        <f>SUM(F10:H10)</f>
        <v>19504.419999999998</v>
      </c>
      <c r="J10" s="77">
        <f>D10-I10</f>
        <v>3222.8527272727297</v>
      </c>
      <c r="K10" s="74">
        <f>I10/D10</f>
        <v>0.85819447999999987</v>
      </c>
      <c r="L10" s="78"/>
      <c r="M10" s="70" t="s">
        <v>54</v>
      </c>
    </row>
    <row r="11" spans="1:13" ht="31" x14ac:dyDescent="0.35">
      <c r="A11" s="56">
        <f>+A10+1</f>
        <v>2</v>
      </c>
      <c r="B11" s="71" t="s">
        <v>55</v>
      </c>
      <c r="C11" s="72" t="s">
        <v>56</v>
      </c>
      <c r="D11" s="73">
        <f>(2000000*5)/550</f>
        <v>18181.81818181818</v>
      </c>
      <c r="E11" s="74">
        <f>9091/D11</f>
        <v>0.50000500000000003</v>
      </c>
      <c r="F11" s="74"/>
      <c r="G11" s="74"/>
      <c r="H11" s="75">
        <f>+GETPIVOTDATA("BU Amount",'[2]Pivot table July-Sept19-detail'!$A$3,"Activity ID reviewed detailed",2)</f>
        <v>6286.93</v>
      </c>
      <c r="I11" s="79">
        <f t="shared" ref="I11:I30" si="0">SUM(F11:H11)</f>
        <v>6286.93</v>
      </c>
      <c r="J11" s="77">
        <f>D11-I11</f>
        <v>11894.88818181818</v>
      </c>
      <c r="K11" s="74">
        <f>I11/D11</f>
        <v>0.34578115000000004</v>
      </c>
      <c r="L11" s="78"/>
      <c r="M11" s="70" t="s">
        <v>57</v>
      </c>
    </row>
    <row r="12" spans="1:13" ht="46.5" x14ac:dyDescent="0.35">
      <c r="A12" s="56">
        <f t="shared" ref="A12:A68" si="1">+A11+1</f>
        <v>3</v>
      </c>
      <c r="B12" s="71" t="s">
        <v>58</v>
      </c>
      <c r="C12" s="72" t="s">
        <v>59</v>
      </c>
      <c r="D12" s="73">
        <f>(1500000*4*5)/550</f>
        <v>54545.454545454544</v>
      </c>
      <c r="E12" s="74">
        <f>35000/D12</f>
        <v>0.64166666666666672</v>
      </c>
      <c r="F12" s="74"/>
      <c r="G12" s="74"/>
      <c r="H12" s="75">
        <f>+GETPIVOTDATA("BU Amount",'[2]Pivot table July-Sept19-detail'!$A$3,"Activity ID reviewed detailed",3)</f>
        <v>16404.09</v>
      </c>
      <c r="I12" s="79">
        <f t="shared" si="0"/>
        <v>16404.09</v>
      </c>
      <c r="J12" s="77">
        <f>D12-I12</f>
        <v>38141.364545454548</v>
      </c>
      <c r="K12" s="74">
        <f>I12/D12</f>
        <v>0.30074165000000003</v>
      </c>
      <c r="L12" s="78"/>
      <c r="M12" s="70" t="s">
        <v>60</v>
      </c>
    </row>
    <row r="13" spans="1:13" s="87" customFormat="1" ht="31" x14ac:dyDescent="0.35">
      <c r="A13" s="56">
        <f t="shared" si="1"/>
        <v>4</v>
      </c>
      <c r="B13" s="71" t="s">
        <v>61</v>
      </c>
      <c r="C13" s="72" t="s">
        <v>62</v>
      </c>
      <c r="D13" s="80">
        <f>(1500000*4*5)/550</f>
        <v>54545.454545454544</v>
      </c>
      <c r="E13" s="81">
        <f>35000/D13</f>
        <v>0.64166666666666672</v>
      </c>
      <c r="F13" s="81"/>
      <c r="G13" s="81"/>
      <c r="H13" s="82"/>
      <c r="I13" s="83">
        <f t="shared" si="0"/>
        <v>0</v>
      </c>
      <c r="J13" s="84">
        <f>D13-I13</f>
        <v>54545.454545454544</v>
      </c>
      <c r="K13" s="81">
        <f>I13/D13</f>
        <v>0</v>
      </c>
      <c r="L13" s="85"/>
      <c r="M13" s="86" t="s">
        <v>63</v>
      </c>
    </row>
    <row r="14" spans="1:13" ht="46.5" x14ac:dyDescent="0.35">
      <c r="A14" s="56">
        <f t="shared" si="1"/>
        <v>5</v>
      </c>
      <c r="B14" s="71" t="s">
        <v>64</v>
      </c>
      <c r="C14" s="72" t="s">
        <v>65</v>
      </c>
      <c r="D14" s="73">
        <f>41874.51</f>
        <v>41874.51</v>
      </c>
      <c r="E14" s="74">
        <f>25000/D14</f>
        <v>0.59702191142057537</v>
      </c>
      <c r="F14" s="74"/>
      <c r="G14" s="74"/>
      <c r="H14" s="75">
        <f>+GETPIVOTDATA("BU Amount",'[2]Pivot table July-Sept19-detail'!$A$3,"Activity ID reviewed detailed",5)</f>
        <v>6564.6100000000051</v>
      </c>
      <c r="I14" s="79">
        <f t="shared" si="0"/>
        <v>6564.6100000000051</v>
      </c>
      <c r="J14" s="77">
        <f>D14-I14</f>
        <v>35309.899999999994</v>
      </c>
      <c r="K14" s="74">
        <f>I14/D14</f>
        <v>0.15676864039722507</v>
      </c>
      <c r="L14" s="78"/>
      <c r="M14" s="70" t="s">
        <v>66</v>
      </c>
    </row>
    <row r="15" spans="1:13" ht="20.5" customHeight="1" x14ac:dyDescent="0.35">
      <c r="A15" s="56"/>
      <c r="B15" s="88"/>
      <c r="C15" s="67"/>
      <c r="D15" s="73"/>
      <c r="E15" s="89"/>
      <c r="F15" s="89"/>
      <c r="G15" s="89"/>
      <c r="H15" s="90"/>
      <c r="I15" s="91"/>
      <c r="J15" s="92"/>
      <c r="K15" s="89"/>
      <c r="L15" s="78"/>
      <c r="M15" s="70"/>
    </row>
    <row r="16" spans="1:13" ht="60" customHeight="1" x14ac:dyDescent="0.35">
      <c r="A16" s="56"/>
      <c r="B16" s="65" t="s">
        <v>67</v>
      </c>
      <c r="C16" s="93" t="s">
        <v>68</v>
      </c>
      <c r="D16" s="94"/>
      <c r="E16" s="89"/>
      <c r="F16" s="89"/>
      <c r="G16" s="89"/>
      <c r="H16" s="90"/>
      <c r="I16" s="91"/>
      <c r="J16" s="92"/>
      <c r="K16" s="89"/>
      <c r="L16" s="78"/>
      <c r="M16" s="70"/>
    </row>
    <row r="17" spans="1:13" ht="62.5" customHeight="1" x14ac:dyDescent="0.35">
      <c r="A17" s="56">
        <f>+A14+1</f>
        <v>6</v>
      </c>
      <c r="B17" s="88" t="s">
        <v>69</v>
      </c>
      <c r="C17" s="95" t="s">
        <v>70</v>
      </c>
      <c r="D17" s="78">
        <f>(5000000*5)/550</f>
        <v>45454.545454545456</v>
      </c>
      <c r="E17" s="74">
        <f>25000/D17</f>
        <v>0.54999999999999993</v>
      </c>
      <c r="F17" s="74"/>
      <c r="G17" s="96">
        <f>+GETPIVOTDATA("BU Amount",'[2]Pivot table April-june19-detail'!$A$3,"Activity ID reviewed detailed",6)</f>
        <v>9150.6800000000021</v>
      </c>
      <c r="H17" s="75">
        <f>+GETPIVOTDATA("BU Amount",'[2]Pivot table July-Sept19-detail'!$A$3,"Activity ID reviewed detailed",6)</f>
        <v>4951.5400000000009</v>
      </c>
      <c r="I17" s="79">
        <f t="shared" si="0"/>
        <v>14102.220000000003</v>
      </c>
      <c r="J17" s="77">
        <f t="shared" ref="J17:J22" si="2">D17-I17</f>
        <v>31352.325454545455</v>
      </c>
      <c r="K17" s="74">
        <f t="shared" ref="K17:K22" si="3">I17/D17</f>
        <v>0.31024884000000008</v>
      </c>
      <c r="L17" s="78"/>
      <c r="M17" s="70" t="s">
        <v>71</v>
      </c>
    </row>
    <row r="18" spans="1:13" ht="31" x14ac:dyDescent="0.35">
      <c r="A18" s="56">
        <f t="shared" si="1"/>
        <v>7</v>
      </c>
      <c r="B18" s="88" t="s">
        <v>72</v>
      </c>
      <c r="C18" s="72" t="s">
        <v>73</v>
      </c>
      <c r="D18" s="78">
        <f>(1000000*5*3)/550</f>
        <v>27272.727272727272</v>
      </c>
      <c r="E18" s="74">
        <f>15000/D18</f>
        <v>0.55000000000000004</v>
      </c>
      <c r="F18" s="74"/>
      <c r="G18" s="75"/>
      <c r="H18" s="75">
        <f>+GETPIVOTDATA("BU Amount",'[2]Pivot table July-Sept19-detail'!$A$3,"Activity ID reviewed detailed",7)</f>
        <v>29975.820000000014</v>
      </c>
      <c r="I18" s="79">
        <f t="shared" si="0"/>
        <v>29975.820000000014</v>
      </c>
      <c r="J18" s="77">
        <f t="shared" si="2"/>
        <v>-2703.0927272727422</v>
      </c>
      <c r="K18" s="74">
        <f t="shared" si="3"/>
        <v>1.0991134000000005</v>
      </c>
      <c r="L18" s="78"/>
      <c r="M18" s="70" t="s">
        <v>74</v>
      </c>
    </row>
    <row r="19" spans="1:13" ht="31" x14ac:dyDescent="0.35">
      <c r="A19" s="56">
        <f t="shared" si="1"/>
        <v>8</v>
      </c>
      <c r="B19" s="88" t="s">
        <v>75</v>
      </c>
      <c r="C19" s="72" t="s">
        <v>76</v>
      </c>
      <c r="D19" s="78">
        <f>(7500000*5)/550</f>
        <v>68181.818181818177</v>
      </c>
      <c r="E19" s="74">
        <f>30000/D19</f>
        <v>0.44000000000000006</v>
      </c>
      <c r="F19" s="74"/>
      <c r="G19" s="75"/>
      <c r="H19" s="75"/>
      <c r="I19" s="79">
        <f t="shared" si="0"/>
        <v>0</v>
      </c>
      <c r="J19" s="77">
        <f t="shared" si="2"/>
        <v>68181.818181818177</v>
      </c>
      <c r="K19" s="74">
        <f t="shared" si="3"/>
        <v>0</v>
      </c>
      <c r="L19" s="78"/>
      <c r="M19" s="70" t="s">
        <v>77</v>
      </c>
    </row>
    <row r="20" spans="1:13" ht="31" x14ac:dyDescent="0.35">
      <c r="A20" s="56">
        <f t="shared" si="1"/>
        <v>9</v>
      </c>
      <c r="B20" s="88" t="s">
        <v>78</v>
      </c>
      <c r="C20" s="72" t="s">
        <v>79</v>
      </c>
      <c r="D20" s="78">
        <f>(500000*5)/550</f>
        <v>4545.454545454545</v>
      </c>
      <c r="E20" s="74">
        <f>3545/D20</f>
        <v>0.77990000000000004</v>
      </c>
      <c r="F20" s="74"/>
      <c r="G20" s="75"/>
      <c r="H20" s="75"/>
      <c r="I20" s="79">
        <f t="shared" si="0"/>
        <v>0</v>
      </c>
      <c r="J20" s="77">
        <f t="shared" si="2"/>
        <v>4545.454545454545</v>
      </c>
      <c r="K20" s="74">
        <f t="shared" si="3"/>
        <v>0</v>
      </c>
      <c r="L20" s="78"/>
      <c r="M20" s="70" t="s">
        <v>80</v>
      </c>
    </row>
    <row r="21" spans="1:13" ht="46.5" x14ac:dyDescent="0.35">
      <c r="A21" s="56">
        <f t="shared" si="1"/>
        <v>10</v>
      </c>
      <c r="B21" s="88" t="s">
        <v>81</v>
      </c>
      <c r="C21" s="72" t="s">
        <v>82</v>
      </c>
      <c r="D21" s="78">
        <f>5000000/550</f>
        <v>9090.9090909090901</v>
      </c>
      <c r="E21" s="74">
        <f>4546/D21</f>
        <v>0.50006000000000006</v>
      </c>
      <c r="F21" s="74"/>
      <c r="G21" s="75"/>
      <c r="H21" s="75"/>
      <c r="I21" s="79">
        <f t="shared" si="0"/>
        <v>0</v>
      </c>
      <c r="J21" s="77">
        <f t="shared" si="2"/>
        <v>9090.9090909090901</v>
      </c>
      <c r="K21" s="74">
        <f t="shared" si="3"/>
        <v>0</v>
      </c>
      <c r="L21" s="78"/>
      <c r="M21" s="70" t="s">
        <v>83</v>
      </c>
    </row>
    <row r="22" spans="1:13" ht="46.5" x14ac:dyDescent="0.35">
      <c r="A22" s="56">
        <f t="shared" si="1"/>
        <v>11</v>
      </c>
      <c r="B22" s="88" t="s">
        <v>84</v>
      </c>
      <c r="C22" s="72" t="s">
        <v>85</v>
      </c>
      <c r="D22" s="78">
        <f>5000000/550</f>
        <v>9090.9090909090901</v>
      </c>
      <c r="E22" s="74">
        <f>4546/D22</f>
        <v>0.50006000000000006</v>
      </c>
      <c r="F22" s="74"/>
      <c r="G22" s="75"/>
      <c r="H22" s="75"/>
      <c r="I22" s="79">
        <f t="shared" si="0"/>
        <v>0</v>
      </c>
      <c r="J22" s="77">
        <f t="shared" si="2"/>
        <v>9090.9090909090901</v>
      </c>
      <c r="K22" s="74">
        <f t="shared" si="3"/>
        <v>0</v>
      </c>
      <c r="L22" s="78"/>
      <c r="M22" s="70" t="s">
        <v>83</v>
      </c>
    </row>
    <row r="23" spans="1:13" ht="15.5" x14ac:dyDescent="0.35">
      <c r="A23" s="56"/>
      <c r="B23" s="88"/>
      <c r="C23" s="72"/>
      <c r="D23" s="67"/>
      <c r="E23" s="89"/>
      <c r="F23" s="89"/>
      <c r="G23" s="90"/>
      <c r="H23" s="90"/>
      <c r="I23" s="91"/>
      <c r="J23" s="92"/>
      <c r="K23" s="89"/>
      <c r="L23" s="78"/>
      <c r="M23" s="70"/>
    </row>
    <row r="24" spans="1:13" ht="30" customHeight="1" x14ac:dyDescent="0.35">
      <c r="A24" s="56"/>
      <c r="B24" s="65" t="s">
        <v>86</v>
      </c>
      <c r="C24" s="97" t="s">
        <v>87</v>
      </c>
      <c r="D24" s="98"/>
      <c r="E24" s="89"/>
      <c r="F24" s="89"/>
      <c r="G24" s="90"/>
      <c r="H24" s="90"/>
      <c r="I24" s="91"/>
      <c r="J24" s="92"/>
      <c r="K24" s="89"/>
      <c r="L24" s="78"/>
      <c r="M24" s="70"/>
    </row>
    <row r="25" spans="1:13" ht="62" x14ac:dyDescent="0.35">
      <c r="A25" s="56">
        <f>+A22+1</f>
        <v>12</v>
      </c>
      <c r="B25" s="88" t="s">
        <v>88</v>
      </c>
      <c r="C25" s="72" t="s">
        <v>89</v>
      </c>
      <c r="D25" s="78">
        <f>+(500000*5)/550</f>
        <v>4545.454545454545</v>
      </c>
      <c r="E25" s="74">
        <f>3518/D25</f>
        <v>0.77396000000000009</v>
      </c>
      <c r="F25" s="74"/>
      <c r="G25" s="75"/>
      <c r="H25" s="75"/>
      <c r="I25" s="79">
        <f t="shared" si="0"/>
        <v>0</v>
      </c>
      <c r="J25" s="77">
        <f t="shared" ref="J25:J30" si="4">D25-I25</f>
        <v>4545.454545454545</v>
      </c>
      <c r="K25" s="74">
        <f t="shared" ref="K25:K30" si="5">I25/D25</f>
        <v>0</v>
      </c>
      <c r="L25" s="78"/>
      <c r="M25" s="70" t="s">
        <v>90</v>
      </c>
    </row>
    <row r="26" spans="1:13" ht="46.5" x14ac:dyDescent="0.35">
      <c r="A26" s="56">
        <f t="shared" si="1"/>
        <v>13</v>
      </c>
      <c r="B26" s="88" t="s">
        <v>91</v>
      </c>
      <c r="C26" s="72" t="s">
        <v>92</v>
      </c>
      <c r="D26" s="78">
        <f>3500000/550</f>
        <v>6363.636363636364</v>
      </c>
      <c r="E26" s="74">
        <f>2545/D26</f>
        <v>0.39992857142857141</v>
      </c>
      <c r="F26" s="74"/>
      <c r="G26" s="75"/>
      <c r="H26" s="75"/>
      <c r="I26" s="79">
        <f t="shared" si="0"/>
        <v>0</v>
      </c>
      <c r="J26" s="77">
        <f t="shared" si="4"/>
        <v>6363.636363636364</v>
      </c>
      <c r="K26" s="74">
        <f t="shared" si="5"/>
        <v>0</v>
      </c>
      <c r="L26" s="78"/>
      <c r="M26" s="70" t="s">
        <v>93</v>
      </c>
    </row>
    <row r="27" spans="1:13" ht="62" x14ac:dyDescent="0.35">
      <c r="A27" s="56">
        <f t="shared" si="1"/>
        <v>14</v>
      </c>
      <c r="B27" s="88" t="s">
        <v>94</v>
      </c>
      <c r="C27" s="72" t="s">
        <v>95</v>
      </c>
      <c r="D27" s="78">
        <f>5000000/550</f>
        <v>9090.9090909090901</v>
      </c>
      <c r="E27" s="74">
        <f>4500/D27</f>
        <v>0.49500000000000005</v>
      </c>
      <c r="F27" s="74"/>
      <c r="G27" s="75"/>
      <c r="H27" s="75"/>
      <c r="I27" s="79">
        <f t="shared" si="0"/>
        <v>0</v>
      </c>
      <c r="J27" s="77">
        <f t="shared" si="4"/>
        <v>9090.9090909090901</v>
      </c>
      <c r="K27" s="74">
        <f t="shared" si="5"/>
        <v>0</v>
      </c>
      <c r="L27" s="78"/>
      <c r="M27" s="70" t="s">
        <v>96</v>
      </c>
    </row>
    <row r="28" spans="1:13" ht="46.5" x14ac:dyDescent="0.35">
      <c r="A28" s="56">
        <f t="shared" si="1"/>
        <v>15</v>
      </c>
      <c r="B28" s="88" t="s">
        <v>97</v>
      </c>
      <c r="C28" s="95" t="s">
        <v>98</v>
      </c>
      <c r="D28" s="78">
        <f>(750000*5)/550</f>
        <v>6818.181818181818</v>
      </c>
      <c r="E28" s="74">
        <f>5545/D28</f>
        <v>0.81326666666666669</v>
      </c>
      <c r="F28" s="74"/>
      <c r="G28" s="75"/>
      <c r="H28" s="75"/>
      <c r="I28" s="79">
        <f t="shared" si="0"/>
        <v>0</v>
      </c>
      <c r="J28" s="77">
        <f t="shared" si="4"/>
        <v>6818.181818181818</v>
      </c>
      <c r="K28" s="74">
        <f t="shared" si="5"/>
        <v>0</v>
      </c>
      <c r="L28" s="78"/>
      <c r="M28" s="70"/>
    </row>
    <row r="29" spans="1:13" ht="31" x14ac:dyDescent="0.35">
      <c r="A29" s="56">
        <f t="shared" si="1"/>
        <v>16</v>
      </c>
      <c r="B29" s="88" t="s">
        <v>99</v>
      </c>
      <c r="C29" s="95" t="s">
        <v>100</v>
      </c>
      <c r="D29" s="78">
        <f>+(500000*10)/550</f>
        <v>9090.9090909090901</v>
      </c>
      <c r="E29" s="74">
        <v>0.1</v>
      </c>
      <c r="F29" s="74"/>
      <c r="G29" s="75"/>
      <c r="H29" s="75"/>
      <c r="I29" s="79">
        <f t="shared" si="0"/>
        <v>0</v>
      </c>
      <c r="J29" s="77">
        <f t="shared" si="4"/>
        <v>9090.9090909090901</v>
      </c>
      <c r="K29" s="74">
        <f t="shared" si="5"/>
        <v>0</v>
      </c>
      <c r="L29" s="78"/>
      <c r="M29" s="70"/>
    </row>
    <row r="30" spans="1:13" ht="46.5" x14ac:dyDescent="0.35">
      <c r="A30" s="56">
        <f t="shared" si="1"/>
        <v>17</v>
      </c>
      <c r="B30" s="88" t="s">
        <v>101</v>
      </c>
      <c r="C30" s="72" t="s">
        <v>102</v>
      </c>
      <c r="D30" s="78">
        <f>(5000000*5)/550</f>
        <v>45454.545454545456</v>
      </c>
      <c r="E30" s="74">
        <f>18182/D30</f>
        <v>0.40000399999999997</v>
      </c>
      <c r="F30" s="74"/>
      <c r="G30" s="75"/>
      <c r="H30" s="75"/>
      <c r="I30" s="79">
        <f t="shared" si="0"/>
        <v>0</v>
      </c>
      <c r="J30" s="77">
        <f t="shared" si="4"/>
        <v>45454.545454545456</v>
      </c>
      <c r="K30" s="74">
        <f t="shared" si="5"/>
        <v>0</v>
      </c>
      <c r="L30" s="78"/>
      <c r="M30" s="70" t="s">
        <v>103</v>
      </c>
    </row>
    <row r="31" spans="1:13" ht="15.5" x14ac:dyDescent="0.35">
      <c r="A31" s="56"/>
      <c r="B31" s="88"/>
      <c r="C31" s="67"/>
      <c r="D31" s="67"/>
      <c r="E31" s="89"/>
      <c r="F31" s="89"/>
      <c r="G31" s="90"/>
      <c r="H31" s="90"/>
      <c r="I31" s="91"/>
      <c r="J31" s="92"/>
      <c r="K31" s="89"/>
      <c r="L31" s="67"/>
      <c r="M31" s="70"/>
    </row>
    <row r="32" spans="1:13" ht="15" customHeight="1" x14ac:dyDescent="0.35">
      <c r="A32" s="56"/>
      <c r="B32" s="99" t="s">
        <v>104</v>
      </c>
      <c r="C32" s="100"/>
      <c r="D32" s="101">
        <f>SUM(D10:D31)</f>
        <v>436874.51000000013</v>
      </c>
      <c r="E32" s="102">
        <f>232019/D32</f>
        <v>0.53108843544110629</v>
      </c>
      <c r="F32" s="103">
        <f t="shared" ref="F32:H32" si="6">SUM(F10:F31)</f>
        <v>0</v>
      </c>
      <c r="G32" s="103">
        <f t="shared" si="6"/>
        <v>9150.6800000000021</v>
      </c>
      <c r="H32" s="104">
        <f t="shared" si="6"/>
        <v>83687.410000000033</v>
      </c>
      <c r="I32" s="104">
        <f>SUM(F32:H32)</f>
        <v>92838.09000000004</v>
      </c>
      <c r="J32" s="103">
        <f>D32-I32</f>
        <v>344036.4200000001</v>
      </c>
      <c r="K32" s="102">
        <f>I32/D32</f>
        <v>0.21250516538490655</v>
      </c>
      <c r="L32" s="105"/>
      <c r="M32" s="106"/>
    </row>
    <row r="33" spans="1:13" ht="15" x14ac:dyDescent="0.35">
      <c r="A33" s="56"/>
      <c r="B33" s="65"/>
      <c r="C33" s="66"/>
      <c r="D33" s="66"/>
      <c r="E33" s="66"/>
      <c r="F33" s="66"/>
      <c r="G33" s="66"/>
      <c r="H33" s="66"/>
      <c r="I33" s="66"/>
      <c r="J33" s="66"/>
      <c r="K33" s="66"/>
      <c r="L33" s="66"/>
      <c r="M33" s="107"/>
    </row>
    <row r="34" spans="1:13" ht="34" customHeight="1" x14ac:dyDescent="0.35">
      <c r="A34" s="56"/>
      <c r="B34" s="62" t="s">
        <v>105</v>
      </c>
      <c r="C34" s="63"/>
      <c r="D34" s="63"/>
      <c r="E34" s="63"/>
      <c r="F34" s="63"/>
      <c r="G34" s="63"/>
      <c r="H34" s="63"/>
      <c r="I34" s="63"/>
      <c r="J34" s="63"/>
      <c r="K34" s="63"/>
      <c r="L34" s="63"/>
      <c r="M34" s="64"/>
    </row>
    <row r="35" spans="1:13" ht="45" x14ac:dyDescent="0.35">
      <c r="A35" s="56"/>
      <c r="B35" s="65" t="s">
        <v>106</v>
      </c>
      <c r="C35" s="66" t="s">
        <v>107</v>
      </c>
      <c r="D35" s="67"/>
      <c r="E35" s="68"/>
      <c r="F35" s="68"/>
      <c r="G35" s="68"/>
      <c r="H35" s="68"/>
      <c r="I35" s="69"/>
      <c r="J35" s="68"/>
      <c r="K35" s="68"/>
      <c r="L35" s="67"/>
      <c r="M35" s="70"/>
    </row>
    <row r="36" spans="1:13" ht="46.5" x14ac:dyDescent="0.35">
      <c r="A36" s="56">
        <f>+A30+1</f>
        <v>18</v>
      </c>
      <c r="B36" s="88" t="s">
        <v>108</v>
      </c>
      <c r="C36" s="95" t="s">
        <v>109</v>
      </c>
      <c r="D36" s="78">
        <f>4500000/550</f>
        <v>8181.818181818182</v>
      </c>
      <c r="E36" s="74">
        <f>5000/D36</f>
        <v>0.61111111111111105</v>
      </c>
      <c r="F36" s="74"/>
      <c r="G36" s="74"/>
      <c r="H36" s="74"/>
      <c r="I36" s="79">
        <f t="shared" ref="I36:I47" si="7">SUM(F36:H36)</f>
        <v>0</v>
      </c>
      <c r="J36" s="77">
        <f>D36-I36</f>
        <v>8181.818181818182</v>
      </c>
      <c r="K36" s="74">
        <f>I36/D36</f>
        <v>0</v>
      </c>
      <c r="L36" s="108"/>
      <c r="M36" s="70"/>
    </row>
    <row r="37" spans="1:13" ht="46.5" x14ac:dyDescent="0.35">
      <c r="A37" s="56">
        <f t="shared" si="1"/>
        <v>19</v>
      </c>
      <c r="B37" s="88" t="s">
        <v>110</v>
      </c>
      <c r="C37" s="95" t="s">
        <v>111</v>
      </c>
      <c r="D37" s="78">
        <f>5000000/550</f>
        <v>9090.9090909090901</v>
      </c>
      <c r="E37" s="74">
        <f>5000/D37</f>
        <v>0.55000000000000004</v>
      </c>
      <c r="F37" s="74"/>
      <c r="G37" s="74"/>
      <c r="H37" s="74"/>
      <c r="I37" s="79">
        <f t="shared" si="7"/>
        <v>0</v>
      </c>
      <c r="J37" s="77">
        <f>D37-I37</f>
        <v>9090.9090909090901</v>
      </c>
      <c r="K37" s="74">
        <f>I37/D37</f>
        <v>0</v>
      </c>
      <c r="L37" s="78"/>
      <c r="M37" s="70" t="s">
        <v>112</v>
      </c>
    </row>
    <row r="38" spans="1:13" ht="31" customHeight="1" x14ac:dyDescent="0.35">
      <c r="A38" s="56">
        <f t="shared" si="1"/>
        <v>20</v>
      </c>
      <c r="B38" s="88" t="s">
        <v>113</v>
      </c>
      <c r="C38" s="72" t="s">
        <v>114</v>
      </c>
      <c r="D38" s="78">
        <f>3500000/550</f>
        <v>6363.636363636364</v>
      </c>
      <c r="E38" s="74">
        <f>3000/D38</f>
        <v>0.47142857142857142</v>
      </c>
      <c r="F38" s="74"/>
      <c r="G38" s="74"/>
      <c r="H38" s="74"/>
      <c r="I38" s="79">
        <f t="shared" si="7"/>
        <v>0</v>
      </c>
      <c r="J38" s="77">
        <f>D38-I38</f>
        <v>6363.636363636364</v>
      </c>
      <c r="K38" s="74">
        <f>I38/D38</f>
        <v>0</v>
      </c>
      <c r="L38" s="78"/>
      <c r="M38" s="70"/>
    </row>
    <row r="39" spans="1:13" ht="31" customHeight="1" x14ac:dyDescent="0.35">
      <c r="A39" s="56">
        <f t="shared" si="1"/>
        <v>21</v>
      </c>
      <c r="B39" s="88" t="s">
        <v>115</v>
      </c>
      <c r="C39" s="72" t="s">
        <v>116</v>
      </c>
      <c r="D39" s="78">
        <f>8000000/550</f>
        <v>14545.454545454546</v>
      </c>
      <c r="E39" s="74">
        <f>9000/D39</f>
        <v>0.61875000000000002</v>
      </c>
      <c r="F39" s="74"/>
      <c r="G39" s="74"/>
      <c r="H39" s="74"/>
      <c r="I39" s="79">
        <f t="shared" si="7"/>
        <v>0</v>
      </c>
      <c r="J39" s="77">
        <f>D39-I39</f>
        <v>14545.454545454546</v>
      </c>
      <c r="K39" s="74">
        <f>I39/D39</f>
        <v>0</v>
      </c>
      <c r="L39" s="78"/>
      <c r="M39" s="70" t="s">
        <v>117</v>
      </c>
    </row>
    <row r="40" spans="1:13" ht="12" customHeight="1" x14ac:dyDescent="0.35">
      <c r="A40" s="56"/>
      <c r="B40" s="88"/>
      <c r="C40" s="67"/>
      <c r="D40" s="78"/>
      <c r="E40" s="74"/>
      <c r="F40" s="74"/>
      <c r="G40" s="74"/>
      <c r="H40" s="74"/>
      <c r="I40" s="79"/>
      <c r="J40" s="77"/>
      <c r="K40" s="74"/>
      <c r="L40" s="78"/>
      <c r="M40" s="70"/>
    </row>
    <row r="41" spans="1:13" ht="45" x14ac:dyDescent="0.35">
      <c r="A41" s="56"/>
      <c r="B41" s="65" t="s">
        <v>118</v>
      </c>
      <c r="C41" s="66" t="s">
        <v>119</v>
      </c>
      <c r="D41" s="67"/>
      <c r="E41" s="74"/>
      <c r="F41" s="74"/>
      <c r="G41" s="74"/>
      <c r="H41" s="74"/>
      <c r="I41" s="79"/>
      <c r="J41" s="77"/>
      <c r="K41" s="74"/>
      <c r="L41" s="78"/>
      <c r="M41" s="70"/>
    </row>
    <row r="42" spans="1:13" ht="31" x14ac:dyDescent="0.35">
      <c r="A42" s="56">
        <f>+A39+1</f>
        <v>22</v>
      </c>
      <c r="B42" s="88" t="s">
        <v>120</v>
      </c>
      <c r="C42" s="95" t="s">
        <v>121</v>
      </c>
      <c r="D42" s="78">
        <f>3000000/550</f>
        <v>5454.545454545455</v>
      </c>
      <c r="E42" s="74">
        <f>2500/D42</f>
        <v>0.45833333333333331</v>
      </c>
      <c r="F42" s="74"/>
      <c r="G42" s="74"/>
      <c r="H42" s="74"/>
      <c r="I42" s="79">
        <f t="shared" si="7"/>
        <v>0</v>
      </c>
      <c r="J42" s="77">
        <f>D42-I42</f>
        <v>5454.545454545455</v>
      </c>
      <c r="K42" s="74">
        <f>I42/D42</f>
        <v>0</v>
      </c>
      <c r="L42" s="78"/>
      <c r="M42" s="70"/>
    </row>
    <row r="43" spans="1:13" ht="15.5" x14ac:dyDescent="0.35">
      <c r="A43" s="56">
        <f t="shared" si="1"/>
        <v>23</v>
      </c>
      <c r="B43" s="88" t="s">
        <v>122</v>
      </c>
      <c r="C43" s="95" t="s">
        <v>123</v>
      </c>
      <c r="D43" s="78">
        <f>2500000/550</f>
        <v>4545.454545454545</v>
      </c>
      <c r="E43" s="74">
        <f>2000/D43</f>
        <v>0.44000000000000006</v>
      </c>
      <c r="F43" s="74"/>
      <c r="G43" s="74"/>
      <c r="H43" s="74"/>
      <c r="I43" s="79">
        <f t="shared" si="7"/>
        <v>0</v>
      </c>
      <c r="J43" s="77">
        <f>D43-I43</f>
        <v>4545.454545454545</v>
      </c>
      <c r="K43" s="74">
        <f>I43/D43</f>
        <v>0</v>
      </c>
      <c r="L43" s="78"/>
      <c r="M43" s="70"/>
    </row>
    <row r="44" spans="1:13" ht="31" x14ac:dyDescent="0.35">
      <c r="A44" s="56">
        <f t="shared" si="1"/>
        <v>24</v>
      </c>
      <c r="B44" s="88" t="s">
        <v>124</v>
      </c>
      <c r="C44" s="95" t="s">
        <v>125</v>
      </c>
      <c r="D44" s="78">
        <f>2000000/550</f>
        <v>3636.3636363636365</v>
      </c>
      <c r="E44" s="74">
        <f>1500/D44</f>
        <v>0.41249999999999998</v>
      </c>
      <c r="F44" s="74"/>
      <c r="G44" s="74"/>
      <c r="H44" s="74"/>
      <c r="I44" s="79">
        <f t="shared" si="7"/>
        <v>0</v>
      </c>
      <c r="J44" s="77">
        <f>D44-I44</f>
        <v>3636.3636363636365</v>
      </c>
      <c r="K44" s="74">
        <f>I44/D44</f>
        <v>0</v>
      </c>
      <c r="L44" s="78"/>
      <c r="M44" s="70"/>
    </row>
    <row r="45" spans="1:13" ht="15.5" x14ac:dyDescent="0.35">
      <c r="A45" s="56">
        <f t="shared" si="1"/>
        <v>25</v>
      </c>
      <c r="B45" s="88" t="s">
        <v>126</v>
      </c>
      <c r="C45" s="95" t="s">
        <v>127</v>
      </c>
      <c r="D45" s="78">
        <f>2500000/550</f>
        <v>4545.454545454545</v>
      </c>
      <c r="E45" s="74">
        <f>2000/D45</f>
        <v>0.44000000000000006</v>
      </c>
      <c r="F45" s="74"/>
      <c r="G45" s="74"/>
      <c r="H45" s="74"/>
      <c r="I45" s="79">
        <f t="shared" si="7"/>
        <v>0</v>
      </c>
      <c r="J45" s="77">
        <f>D45-I45</f>
        <v>4545.454545454545</v>
      </c>
      <c r="K45" s="74">
        <f>I45/D45</f>
        <v>0</v>
      </c>
      <c r="L45" s="78"/>
      <c r="M45" s="70"/>
    </row>
    <row r="46" spans="1:13" ht="15.5" x14ac:dyDescent="0.35">
      <c r="A46" s="56"/>
      <c r="B46" s="88"/>
      <c r="C46" s="67"/>
      <c r="D46" s="67"/>
      <c r="E46" s="109"/>
      <c r="F46" s="109"/>
      <c r="G46" s="109"/>
      <c r="H46" s="109"/>
      <c r="I46" s="91"/>
      <c r="J46" s="92"/>
      <c r="K46" s="109"/>
      <c r="L46" s="67"/>
      <c r="M46" s="70"/>
    </row>
    <row r="47" spans="1:13" ht="30" x14ac:dyDescent="0.35">
      <c r="A47" s="56"/>
      <c r="B47" s="99" t="s">
        <v>128</v>
      </c>
      <c r="C47" s="100"/>
      <c r="D47" s="101">
        <f>SUM(D35:D46)</f>
        <v>56363.636363636368</v>
      </c>
      <c r="E47" s="102">
        <f>30000/D47</f>
        <v>0.532258064516129</v>
      </c>
      <c r="F47" s="103">
        <f t="shared" ref="F47:H47" si="8">SUM(F35:F46)</f>
        <v>0</v>
      </c>
      <c r="G47" s="103">
        <f t="shared" si="8"/>
        <v>0</v>
      </c>
      <c r="H47" s="103">
        <f t="shared" si="8"/>
        <v>0</v>
      </c>
      <c r="I47" s="104">
        <f t="shared" si="7"/>
        <v>0</v>
      </c>
      <c r="J47" s="103">
        <f>D47-I47</f>
        <v>56363.636363636368</v>
      </c>
      <c r="K47" s="102">
        <f>I47/D47</f>
        <v>0</v>
      </c>
      <c r="L47" s="105"/>
      <c r="M47" s="106"/>
    </row>
    <row r="48" spans="1:13" ht="15" x14ac:dyDescent="0.35">
      <c r="A48" s="56"/>
      <c r="B48" s="65"/>
      <c r="C48" s="66"/>
      <c r="D48" s="66"/>
      <c r="E48" s="66"/>
      <c r="F48" s="66"/>
      <c r="G48" s="66"/>
      <c r="H48" s="66"/>
      <c r="I48" s="66"/>
      <c r="J48" s="66"/>
      <c r="K48" s="66"/>
      <c r="L48" s="66"/>
      <c r="M48" s="110"/>
    </row>
    <row r="49" spans="1:13" ht="35.5" customHeight="1" x14ac:dyDescent="0.35">
      <c r="A49" s="56"/>
      <c r="B49" s="62" t="s">
        <v>129</v>
      </c>
      <c r="C49" s="63"/>
      <c r="D49" s="63"/>
      <c r="E49" s="63"/>
      <c r="F49" s="66"/>
      <c r="G49" s="66"/>
      <c r="H49" s="66"/>
      <c r="I49" s="66"/>
      <c r="J49" s="66"/>
      <c r="K49" s="66"/>
      <c r="L49" s="66"/>
      <c r="M49" s="70"/>
    </row>
    <row r="50" spans="1:13" ht="45" customHeight="1" x14ac:dyDescent="0.35">
      <c r="A50" s="56"/>
      <c r="B50" s="65" t="s">
        <v>130</v>
      </c>
      <c r="C50" s="93" t="s">
        <v>131</v>
      </c>
      <c r="D50" s="94"/>
      <c r="E50" s="78"/>
      <c r="F50" s="78"/>
      <c r="G50" s="78"/>
      <c r="H50" s="78"/>
      <c r="I50" s="111"/>
      <c r="J50" s="78"/>
      <c r="K50" s="78"/>
      <c r="L50" s="67"/>
      <c r="M50" s="70"/>
    </row>
    <row r="51" spans="1:13" ht="31" x14ac:dyDescent="0.35">
      <c r="A51" s="56">
        <f>+A45+1</f>
        <v>26</v>
      </c>
      <c r="B51" s="88" t="s">
        <v>132</v>
      </c>
      <c r="C51" s="95" t="s">
        <v>133</v>
      </c>
      <c r="D51" s="78">
        <f>4500000/550</f>
        <v>8181.818181818182</v>
      </c>
      <c r="E51" s="74">
        <f>5000/D51</f>
        <v>0.61111111111111105</v>
      </c>
      <c r="F51" s="74"/>
      <c r="G51" s="75"/>
      <c r="H51" s="74"/>
      <c r="I51" s="79">
        <f t="shared" ref="I51:I68" si="9">SUM(F51:H51)</f>
        <v>0</v>
      </c>
      <c r="J51" s="77">
        <f>+D51-I51</f>
        <v>8181.818181818182</v>
      </c>
      <c r="K51" s="74">
        <f>I51/D51</f>
        <v>0</v>
      </c>
      <c r="L51" s="67"/>
      <c r="M51" s="70"/>
    </row>
    <row r="52" spans="1:13" ht="31" x14ac:dyDescent="0.35">
      <c r="A52" s="56">
        <f t="shared" si="1"/>
        <v>27</v>
      </c>
      <c r="B52" s="88" t="s">
        <v>134</v>
      </c>
      <c r="C52" s="95" t="s">
        <v>135</v>
      </c>
      <c r="D52" s="78">
        <f>2000000/550</f>
        <v>3636.3636363636365</v>
      </c>
      <c r="E52" s="74">
        <f>1500/D52</f>
        <v>0.41249999999999998</v>
      </c>
      <c r="F52" s="74"/>
      <c r="G52" s="75"/>
      <c r="H52" s="74"/>
      <c r="I52" s="79">
        <f t="shared" si="9"/>
        <v>0</v>
      </c>
      <c r="J52" s="77">
        <f>D52-I52</f>
        <v>3636.3636363636365</v>
      </c>
      <c r="K52" s="74">
        <f>I52/D52</f>
        <v>0</v>
      </c>
      <c r="L52" s="67"/>
      <c r="M52" s="70"/>
    </row>
    <row r="53" spans="1:13" ht="31" x14ac:dyDescent="0.35">
      <c r="A53" s="56">
        <f t="shared" si="1"/>
        <v>28</v>
      </c>
      <c r="B53" s="88" t="s">
        <v>136</v>
      </c>
      <c r="C53" s="95" t="s">
        <v>137</v>
      </c>
      <c r="D53" s="78">
        <f>3500000/550</f>
        <v>6363.636363636364</v>
      </c>
      <c r="E53" s="74">
        <f>4000/D53</f>
        <v>0.62857142857142856</v>
      </c>
      <c r="F53" s="74"/>
      <c r="G53" s="75"/>
      <c r="H53" s="74"/>
      <c r="I53" s="79">
        <f t="shared" si="9"/>
        <v>0</v>
      </c>
      <c r="J53" s="77">
        <f>D53-I53</f>
        <v>6363.636363636364</v>
      </c>
      <c r="K53" s="74">
        <f>I53/D53</f>
        <v>0</v>
      </c>
      <c r="L53" s="67"/>
      <c r="M53" s="70"/>
    </row>
    <row r="54" spans="1:13" ht="31" x14ac:dyDescent="0.35">
      <c r="A54" s="56">
        <f t="shared" si="1"/>
        <v>29</v>
      </c>
      <c r="B54" s="88" t="s">
        <v>138</v>
      </c>
      <c r="C54" s="72" t="s">
        <v>139</v>
      </c>
      <c r="D54" s="78">
        <f>2000000/550</f>
        <v>3636.3636363636365</v>
      </c>
      <c r="E54" s="74">
        <f>1500/D54</f>
        <v>0.41249999999999998</v>
      </c>
      <c r="F54" s="74"/>
      <c r="G54" s="75"/>
      <c r="H54" s="74"/>
      <c r="I54" s="79">
        <f t="shared" si="9"/>
        <v>0</v>
      </c>
      <c r="J54" s="77">
        <f>D54-I54</f>
        <v>3636.3636363636365</v>
      </c>
      <c r="K54" s="74">
        <f>I54/D54</f>
        <v>0</v>
      </c>
      <c r="L54" s="67"/>
      <c r="M54" s="70"/>
    </row>
    <row r="55" spans="1:13" ht="31" customHeight="1" x14ac:dyDescent="0.35">
      <c r="A55" s="56"/>
      <c r="B55" s="65" t="s">
        <v>140</v>
      </c>
      <c r="C55" s="97" t="s">
        <v>141</v>
      </c>
      <c r="D55" s="98"/>
      <c r="E55" s="74"/>
      <c r="F55" s="74"/>
      <c r="G55" s="75"/>
      <c r="H55" s="74"/>
      <c r="I55" s="79"/>
      <c r="J55" s="77"/>
      <c r="K55" s="74"/>
      <c r="L55" s="67"/>
      <c r="M55" s="70"/>
    </row>
    <row r="56" spans="1:13" ht="46.5" x14ac:dyDescent="0.35">
      <c r="A56" s="56">
        <f>+A54+1</f>
        <v>30</v>
      </c>
      <c r="B56" s="88" t="s">
        <v>142</v>
      </c>
      <c r="C56" s="72" t="s">
        <v>143</v>
      </c>
      <c r="D56" s="78">
        <f>15000000/550</f>
        <v>27272.727272727272</v>
      </c>
      <c r="E56" s="74">
        <f>15000/D56</f>
        <v>0.55000000000000004</v>
      </c>
      <c r="F56" s="74"/>
      <c r="G56" s="75"/>
      <c r="H56" s="74"/>
      <c r="I56" s="79">
        <f t="shared" si="9"/>
        <v>0</v>
      </c>
      <c r="J56" s="77">
        <f t="shared" ref="J56:J64" si="10">D56-I56</f>
        <v>27272.727272727272</v>
      </c>
      <c r="K56" s="74">
        <f t="shared" ref="K56:K62" si="11">I56/D56</f>
        <v>0</v>
      </c>
      <c r="L56" s="67"/>
      <c r="M56" s="70" t="s">
        <v>144</v>
      </c>
    </row>
    <row r="57" spans="1:13" ht="46.5" x14ac:dyDescent="0.35">
      <c r="A57" s="56">
        <f t="shared" si="1"/>
        <v>31</v>
      </c>
      <c r="B57" s="88" t="s">
        <v>145</v>
      </c>
      <c r="C57" s="72" t="s">
        <v>146</v>
      </c>
      <c r="D57" s="78">
        <f>10000000/550</f>
        <v>18181.81818181818</v>
      </c>
      <c r="E57" s="74">
        <f>9000/D57</f>
        <v>0.49500000000000005</v>
      </c>
      <c r="F57" s="74"/>
      <c r="G57" s="75"/>
      <c r="H57" s="74"/>
      <c r="I57" s="79">
        <f t="shared" si="9"/>
        <v>0</v>
      </c>
      <c r="J57" s="77">
        <f t="shared" si="10"/>
        <v>18181.81818181818</v>
      </c>
      <c r="K57" s="74">
        <f t="shared" si="11"/>
        <v>0</v>
      </c>
      <c r="L57" s="67"/>
      <c r="M57" s="70" t="s">
        <v>147</v>
      </c>
    </row>
    <row r="58" spans="1:13" ht="46.5" x14ac:dyDescent="0.35">
      <c r="A58" s="56">
        <f t="shared" si="1"/>
        <v>32</v>
      </c>
      <c r="B58" s="88" t="s">
        <v>148</v>
      </c>
      <c r="C58" s="72" t="s">
        <v>149</v>
      </c>
      <c r="D58" s="78">
        <f>7500000/550</f>
        <v>13636.363636363636</v>
      </c>
      <c r="E58" s="74">
        <f>5000/D58</f>
        <v>0.3666666666666667</v>
      </c>
      <c r="F58" s="74"/>
      <c r="G58" s="75"/>
      <c r="H58" s="74"/>
      <c r="I58" s="79">
        <f t="shared" si="9"/>
        <v>0</v>
      </c>
      <c r="J58" s="77">
        <f t="shared" si="10"/>
        <v>13636.363636363636</v>
      </c>
      <c r="K58" s="74">
        <f t="shared" si="11"/>
        <v>0</v>
      </c>
      <c r="L58" s="67"/>
      <c r="M58" s="70" t="s">
        <v>150</v>
      </c>
    </row>
    <row r="59" spans="1:13" ht="31" x14ac:dyDescent="0.35">
      <c r="A59" s="56">
        <f t="shared" si="1"/>
        <v>33</v>
      </c>
      <c r="B59" s="88" t="s">
        <v>151</v>
      </c>
      <c r="C59" s="72" t="s">
        <v>152</v>
      </c>
      <c r="D59" s="78">
        <f>5000000/550</f>
        <v>9090.9090909090901</v>
      </c>
      <c r="E59" s="74">
        <f>4500/D59</f>
        <v>0.49500000000000005</v>
      </c>
      <c r="F59" s="74"/>
      <c r="G59" s="75"/>
      <c r="H59" s="74"/>
      <c r="I59" s="79">
        <f t="shared" si="9"/>
        <v>0</v>
      </c>
      <c r="J59" s="77">
        <f t="shared" si="10"/>
        <v>9090.9090909090901</v>
      </c>
      <c r="K59" s="74">
        <f t="shared" si="11"/>
        <v>0</v>
      </c>
      <c r="L59" s="67"/>
      <c r="M59" s="70" t="s">
        <v>153</v>
      </c>
    </row>
    <row r="60" spans="1:13" ht="31" x14ac:dyDescent="0.35">
      <c r="A60" s="56">
        <f t="shared" si="1"/>
        <v>34</v>
      </c>
      <c r="B60" s="88" t="s">
        <v>154</v>
      </c>
      <c r="C60" s="72" t="s">
        <v>155</v>
      </c>
      <c r="D60" s="78">
        <f>(250000*5*10)/550</f>
        <v>22727.272727272728</v>
      </c>
      <c r="E60" s="74">
        <f>12000/D60</f>
        <v>0.52800000000000002</v>
      </c>
      <c r="F60" s="74"/>
      <c r="G60" s="75"/>
      <c r="H60" s="74"/>
      <c r="I60" s="79">
        <f t="shared" si="9"/>
        <v>0</v>
      </c>
      <c r="J60" s="77">
        <f t="shared" si="10"/>
        <v>22727.272727272728</v>
      </c>
      <c r="K60" s="74">
        <f t="shared" si="11"/>
        <v>0</v>
      </c>
      <c r="L60" s="67"/>
      <c r="M60" s="70" t="s">
        <v>156</v>
      </c>
    </row>
    <row r="61" spans="1:13" ht="31" x14ac:dyDescent="0.35">
      <c r="A61" s="56">
        <f t="shared" si="1"/>
        <v>35</v>
      </c>
      <c r="B61" s="88" t="s">
        <v>157</v>
      </c>
      <c r="C61" s="72" t="s">
        <v>158</v>
      </c>
      <c r="D61" s="78">
        <f>31305.88+505</f>
        <v>31810.880000000001</v>
      </c>
      <c r="E61" s="74">
        <f>31810/D61</f>
        <v>0.99997233650876682</v>
      </c>
      <c r="F61" s="77">
        <f>+GETPIVOTDATA("BU Amount",'[2]Pivot table jan-march-detail'!$A$3,"Activity ID reviewed detailed",35)</f>
        <v>2424.0999999999981</v>
      </c>
      <c r="G61" s="96">
        <f>+GETPIVOTDATA("BU Amount",'[2]Pivot table April-june19-detail'!$A$3,"Activity ID reviewed detailed",35)</f>
        <v>21409.72</v>
      </c>
      <c r="H61" s="75">
        <f>+GETPIVOTDATA("BU Amount",'[2]Pivot table July-Sept19-detail'!$A$3,"Activity ID reviewed detailed",35)</f>
        <v>5340.1500000000015</v>
      </c>
      <c r="I61" s="79">
        <f t="shared" si="9"/>
        <v>29173.97</v>
      </c>
      <c r="J61" s="77">
        <f t="shared" si="10"/>
        <v>2636.91</v>
      </c>
      <c r="K61" s="74">
        <f t="shared" si="11"/>
        <v>0.91710666287760667</v>
      </c>
      <c r="L61" s="67"/>
      <c r="M61" s="70"/>
    </row>
    <row r="62" spans="1:13" ht="46.5" x14ac:dyDescent="0.35">
      <c r="A62" s="56">
        <f t="shared" si="1"/>
        <v>36</v>
      </c>
      <c r="B62" s="88" t="s">
        <v>159</v>
      </c>
      <c r="C62" s="67" t="s">
        <v>160</v>
      </c>
      <c r="D62" s="112">
        <f>(1500000*2*5)/550</f>
        <v>27272.727272727272</v>
      </c>
      <c r="E62" s="74">
        <f>27272.73/D62</f>
        <v>1.0000001000000001</v>
      </c>
      <c r="F62" s="74"/>
      <c r="G62" s="96"/>
      <c r="H62" s="75"/>
      <c r="I62" s="79">
        <f t="shared" si="9"/>
        <v>0</v>
      </c>
      <c r="J62" s="77">
        <f t="shared" si="10"/>
        <v>27272.727272727272</v>
      </c>
      <c r="K62" s="74">
        <f t="shared" si="11"/>
        <v>0</v>
      </c>
      <c r="L62" s="67"/>
      <c r="M62" s="70" t="s">
        <v>161</v>
      </c>
    </row>
    <row r="63" spans="1:13" ht="15.5" x14ac:dyDescent="0.35">
      <c r="A63" s="56"/>
      <c r="B63" s="88"/>
      <c r="C63" s="67"/>
      <c r="D63" s="78"/>
      <c r="E63" s="78"/>
      <c r="F63" s="78"/>
      <c r="G63" s="113"/>
      <c r="H63" s="113"/>
      <c r="I63" s="114"/>
      <c r="J63" s="77">
        <f t="shared" si="10"/>
        <v>0</v>
      </c>
      <c r="K63" s="78"/>
      <c r="L63" s="67"/>
      <c r="M63" s="70"/>
    </row>
    <row r="64" spans="1:13" ht="30" x14ac:dyDescent="0.35">
      <c r="A64" s="56"/>
      <c r="B64" s="99" t="s">
        <v>162</v>
      </c>
      <c r="C64" s="100"/>
      <c r="D64" s="101">
        <f>SUM(D51:D62)</f>
        <v>171810.87999999998</v>
      </c>
      <c r="E64" s="102">
        <f>115082/D64</f>
        <v>0.66981788347746085</v>
      </c>
      <c r="F64" s="103">
        <f>SUM(F51:F62)</f>
        <v>2424.0999999999981</v>
      </c>
      <c r="G64" s="104">
        <f>SUM(G51:G62)</f>
        <v>21409.72</v>
      </c>
      <c r="H64" s="104">
        <f>SUM(H51:H62)</f>
        <v>5340.1500000000015</v>
      </c>
      <c r="I64" s="104">
        <f>SUM(F64:H64)</f>
        <v>29173.97</v>
      </c>
      <c r="J64" s="104">
        <f t="shared" si="10"/>
        <v>142636.90999999997</v>
      </c>
      <c r="K64" s="102">
        <f>I64/D64</f>
        <v>0.16980280876275125</v>
      </c>
      <c r="L64" s="101"/>
      <c r="M64" s="106"/>
    </row>
    <row r="65" spans="1:13" ht="15.5" x14ac:dyDescent="0.35">
      <c r="A65" s="56"/>
      <c r="B65" s="65"/>
      <c r="C65" s="66"/>
      <c r="D65" s="111"/>
      <c r="E65" s="66"/>
      <c r="F65" s="66"/>
      <c r="G65" s="66"/>
      <c r="H65" s="115"/>
      <c r="I65" s="66"/>
      <c r="J65" s="77"/>
      <c r="K65" s="66"/>
      <c r="L65" s="66"/>
      <c r="M65" s="107"/>
    </row>
    <row r="66" spans="1:13" ht="62" x14ac:dyDescent="0.35">
      <c r="A66" s="56">
        <f>+A62+1</f>
        <v>37</v>
      </c>
      <c r="B66" s="88" t="s">
        <v>163</v>
      </c>
      <c r="C66" s="66"/>
      <c r="D66" s="116">
        <f>'[3]Personnel et Coût opérationnel'!F22</f>
        <v>218613.6610255799</v>
      </c>
      <c r="E66" s="66"/>
      <c r="F66" s="111">
        <f>+GETPIVOTDATA("BU Amount",'[2]Pivot table jan-march-detail'!$A$3,"Activity ID reviewed detailed",37)</f>
        <v>35306.579999999973</v>
      </c>
      <c r="G66" s="111">
        <f>+GETPIVOTDATA("BU Amount",'[2]Pivot table April-june19-detail'!$A$3,"Activity ID reviewed detailed",37)</f>
        <v>34632.250000000022</v>
      </c>
      <c r="H66" s="114">
        <f>+GETPIVOTDATA("BU Amount",'[2]Pivot table July-Sept19-detail'!$A$3,"Activity ID reviewed detailed",37)</f>
        <v>33345.14</v>
      </c>
      <c r="I66" s="111">
        <f>SUM(F66:H66)</f>
        <v>103283.96999999999</v>
      </c>
      <c r="J66" s="77">
        <f t="shared" ref="J66:J71" si="12">D66-I66</f>
        <v>115329.69102557992</v>
      </c>
      <c r="K66" s="117">
        <f t="shared" ref="K66:K71" si="13">I66/D66</f>
        <v>0.47244975229573949</v>
      </c>
      <c r="L66" s="66"/>
      <c r="M66" s="107"/>
    </row>
    <row r="67" spans="1:13" ht="21.5" customHeight="1" x14ac:dyDescent="0.35">
      <c r="A67" s="56">
        <f t="shared" si="1"/>
        <v>38</v>
      </c>
      <c r="B67" s="88" t="s">
        <v>164</v>
      </c>
      <c r="C67" s="66"/>
      <c r="D67" s="116">
        <f>'[3]Personnel et Coût opérationnel'!F37</f>
        <v>69878.994690477906</v>
      </c>
      <c r="E67" s="66"/>
      <c r="F67" s="66">
        <f>+GETPIVOTDATA("BU Amount",'[2]Pivot table jan-march-detail'!$A$3,"Activity ID reviewed detailed",38)</f>
        <v>5482.4799999999959</v>
      </c>
      <c r="G67" s="118">
        <f>+GETPIVOTDATA("BU Amount",'[2]Pivot table April-june19-detail'!$A$3,"Activity ID reviewed detailed",38)</f>
        <v>50426.179999999993</v>
      </c>
      <c r="H67" s="118">
        <f>+GETPIVOTDATA("BU Amount",'[2]Pivot table July-Sept19-detail'!$A$3,"Activity ID reviewed detailed",38)</f>
        <v>10357.32</v>
      </c>
      <c r="I67" s="118">
        <f t="shared" si="9"/>
        <v>66265.979999999981</v>
      </c>
      <c r="J67" s="77">
        <f t="shared" si="12"/>
        <v>3613.0146904779249</v>
      </c>
      <c r="K67" s="117">
        <f t="shared" si="13"/>
        <v>0.94829612666178986</v>
      </c>
      <c r="L67" s="66"/>
      <c r="M67" s="107"/>
    </row>
    <row r="68" spans="1:13" ht="29.5" customHeight="1" x14ac:dyDescent="0.35">
      <c r="A68" s="56">
        <f t="shared" si="1"/>
        <v>39</v>
      </c>
      <c r="B68" s="88" t="s">
        <v>165</v>
      </c>
      <c r="C68" s="67" t="s">
        <v>166</v>
      </c>
      <c r="D68" s="116">
        <f>'[3]Personnel et Coût opérationnel'!F44</f>
        <v>74495.454545454544</v>
      </c>
      <c r="E68" s="67"/>
      <c r="F68" s="119">
        <f>+GETPIVOTDATA("BU Amount",'[2]Pivot table jan-march-detail'!$A$3,"Activity ID reviewed detailed",39)</f>
        <v>1091.1000000000001</v>
      </c>
      <c r="G68" s="119">
        <f>+GETPIVOTDATA("BU Amount",'[2]Pivot table April-june19-detail'!$A$3,"Activity ID reviewed detailed",39)</f>
        <v>4977.8999999999996</v>
      </c>
      <c r="H68" s="119">
        <f>+GETPIVOTDATA("BU Amount",'[2]Pivot table July-Sept19-detail'!$A$3,"Activity ID reviewed detailed",39)</f>
        <v>1589.4399999999996</v>
      </c>
      <c r="I68" s="118">
        <f t="shared" si="9"/>
        <v>7658.44</v>
      </c>
      <c r="J68" s="77">
        <f t="shared" si="12"/>
        <v>66837.014545454542</v>
      </c>
      <c r="K68" s="120">
        <f t="shared" si="13"/>
        <v>0.10280412471779853</v>
      </c>
      <c r="L68" s="67"/>
      <c r="M68" s="70"/>
    </row>
    <row r="69" spans="1:13" ht="25.5" customHeight="1" x14ac:dyDescent="0.35">
      <c r="A69" s="56"/>
      <c r="B69" s="121" t="s">
        <v>167</v>
      </c>
      <c r="C69" s="122"/>
      <c r="D69" s="123">
        <f>+D32+D47+D64+D66+D67+D68</f>
        <v>1028037.1366251488</v>
      </c>
      <c r="E69" s="124"/>
      <c r="F69" s="124">
        <f>+F32+F47+F64+F66+F67+F68</f>
        <v>44304.259999999966</v>
      </c>
      <c r="G69" s="125">
        <f>+G32+G47+G64+G66+G67+G68</f>
        <v>120596.73000000001</v>
      </c>
      <c r="H69" s="126">
        <f>+H32+H47+H64+H66+H67+H68</f>
        <v>134319.46000000002</v>
      </c>
      <c r="I69" s="124">
        <f>SUM(F69:H69)</f>
        <v>299220.45</v>
      </c>
      <c r="J69" s="124">
        <f t="shared" si="12"/>
        <v>728816.68662514887</v>
      </c>
      <c r="K69" s="127">
        <f t="shared" si="13"/>
        <v>0.29105996207713281</v>
      </c>
      <c r="L69" s="128"/>
      <c r="M69" s="129"/>
    </row>
    <row r="70" spans="1:13" ht="27.5" customHeight="1" x14ac:dyDescent="0.35">
      <c r="A70" s="56">
        <f>+A68+1</f>
        <v>40</v>
      </c>
      <c r="B70" s="130" t="s">
        <v>168</v>
      </c>
      <c r="C70" s="131"/>
      <c r="D70" s="111">
        <f>+D69*7%</f>
        <v>71962.599563760421</v>
      </c>
      <c r="E70" s="67"/>
      <c r="F70" s="78">
        <f>+F69*7%</f>
        <v>3101.2981999999979</v>
      </c>
      <c r="G70" s="78">
        <f>+G69*7%</f>
        <v>8441.7711000000018</v>
      </c>
      <c r="H70" s="78">
        <f>+H69*7%</f>
        <v>9402.3622000000032</v>
      </c>
      <c r="I70" s="111">
        <f>SUM(F70:H70)</f>
        <v>20945.431500000002</v>
      </c>
      <c r="J70" s="77">
        <f t="shared" si="12"/>
        <v>51017.168063760415</v>
      </c>
      <c r="K70" s="120">
        <f t="shared" si="13"/>
        <v>0.29105996207713281</v>
      </c>
      <c r="L70" s="67"/>
      <c r="M70" s="70"/>
    </row>
    <row r="71" spans="1:13" ht="15.65" customHeight="1" thickBot="1" x14ac:dyDescent="0.4">
      <c r="B71" s="132" t="s">
        <v>169</v>
      </c>
      <c r="C71" s="133"/>
      <c r="D71" s="134">
        <f>+D69+D70</f>
        <v>1099999.7361889093</v>
      </c>
      <c r="E71" s="135"/>
      <c r="F71" s="136">
        <f t="shared" ref="F71:H71" si="14">+F69+F70</f>
        <v>47405.558199999963</v>
      </c>
      <c r="G71" s="136">
        <f t="shared" si="14"/>
        <v>129038.50110000001</v>
      </c>
      <c r="H71" s="136">
        <f t="shared" si="14"/>
        <v>143721.82220000002</v>
      </c>
      <c r="I71" s="136">
        <f t="shared" ref="I71" si="15">SUM(F71:H71)</f>
        <v>320165.88150000002</v>
      </c>
      <c r="J71" s="136">
        <f t="shared" si="12"/>
        <v>779833.85468890925</v>
      </c>
      <c r="K71" s="137">
        <f t="shared" si="13"/>
        <v>0.29105996207713281</v>
      </c>
      <c r="L71" s="135"/>
      <c r="M71" s="138"/>
    </row>
  </sheetData>
  <mergeCells count="10">
    <mergeCell ref="C55:D55"/>
    <mergeCell ref="B69:C69"/>
    <mergeCell ref="B70:C70"/>
    <mergeCell ref="B71:C71"/>
    <mergeCell ref="B8:M8"/>
    <mergeCell ref="C16:D16"/>
    <mergeCell ref="C24:D24"/>
    <mergeCell ref="B34:M34"/>
    <mergeCell ref="B49:E49"/>
    <mergeCell ref="C50:D50"/>
  </mergeCells>
  <pageMargins left="0.70866141732283472" right="0.70866141732283472" top="0.74803149606299213" bottom="0.74803149606299213" header="0.31496062992125984" footer="0.31496062992125984"/>
  <pageSetup scale="39" orientation="landscape" horizontalDpi="4294967295" verticalDpi="4294967295" r:id="rId1"/>
  <rowBreaks count="2" manualBreakCount="2">
    <brk id="24" max="14" man="1"/>
    <brk id="48"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RF-UNPBFQ3</vt:lpstr>
      <vt:lpstr>RF-UNPBFQ3 detail</vt:lpstr>
      <vt:lpstr>'RF-UNPBFQ3 detail'!Print_Area</vt:lpstr>
      <vt:lpstr>'RF-UNPBFQ3 detail'!Print_Titles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CLOSSENI</dc:creator>
  <cp:lastModifiedBy>CLOSSENI</cp:lastModifiedBy>
  <dcterms:created xsi:type="dcterms:W3CDTF">2019-11-15T16:22:20Z</dcterms:created>
  <dcterms:modified xsi:type="dcterms:W3CDTF">2019-11-15T16:25:00Z</dcterms:modified>
</cp:coreProperties>
</file>