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ovo\Desktop\PBF\Appo Docs\Rapport du projet\Version final\"/>
    </mc:Choice>
  </mc:AlternateContent>
  <bookViews>
    <workbookView xWindow="0" yWindow="0" windowWidth="23040" windowHeight="9372"/>
  </bookViews>
  <sheets>
    <sheet name="Sheet1" sheetId="1" r:id="rId1"/>
    <sheet name="Sheet2 " sheetId="3"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7" i="1" l="1"/>
  <c r="F37" i="1"/>
  <c r="F32" i="1"/>
  <c r="F26" i="1"/>
  <c r="B11" i="3" l="1"/>
  <c r="D47" i="1" l="1"/>
  <c r="E47" i="1"/>
  <c r="D45" i="1"/>
  <c r="E45" i="1"/>
  <c r="C45" i="1"/>
  <c r="C46" i="1" s="1"/>
  <c r="C47" i="1" s="1"/>
  <c r="D41" i="1"/>
  <c r="E41" i="1"/>
  <c r="F41" i="1"/>
  <c r="C41" i="1"/>
  <c r="E37" i="1"/>
  <c r="D37" i="1"/>
  <c r="C37" i="1"/>
  <c r="E32" i="1"/>
  <c r="D32" i="1"/>
  <c r="C32" i="1"/>
  <c r="D22" i="1"/>
  <c r="E22" i="1"/>
  <c r="F22" i="1"/>
  <c r="F45" i="1" s="1"/>
  <c r="F46" i="1" s="1"/>
  <c r="F47" i="1" s="1"/>
  <c r="C22" i="1"/>
  <c r="E46" i="1"/>
  <c r="D46" i="1"/>
  <c r="I13" i="3" l="1"/>
  <c r="H13" i="3"/>
  <c r="F13" i="3"/>
  <c r="G13" i="3" s="1"/>
  <c r="E13" i="3"/>
  <c r="D13" i="3"/>
  <c r="B13" i="3"/>
  <c r="C13" i="3" s="1"/>
  <c r="K13" i="3" s="1"/>
  <c r="I12" i="3"/>
  <c r="H12" i="3"/>
  <c r="G12" i="3"/>
  <c r="F12" i="3"/>
  <c r="E12" i="3"/>
  <c r="D12" i="3"/>
  <c r="C12" i="3"/>
  <c r="K12" i="3" s="1"/>
  <c r="B12" i="3"/>
  <c r="J12" i="3" s="1"/>
  <c r="L12" i="3" s="1"/>
  <c r="H11" i="3"/>
  <c r="I11" i="3" s="1"/>
  <c r="G11" i="3"/>
  <c r="F11" i="3"/>
  <c r="D11" i="3"/>
  <c r="C11" i="3"/>
  <c r="K11" i="3" s="1"/>
  <c r="J11" i="3"/>
  <c r="L11" i="3" s="1"/>
  <c r="I10" i="3"/>
  <c r="H10" i="3"/>
  <c r="F10" i="3"/>
  <c r="G10" i="3" s="1"/>
  <c r="E10" i="3"/>
  <c r="D10" i="3"/>
  <c r="B10" i="3"/>
  <c r="C10" i="3" s="1"/>
  <c r="K10" i="3" s="1"/>
  <c r="E9" i="3"/>
  <c r="D9" i="3"/>
  <c r="C9" i="3"/>
  <c r="K9" i="3" s="1"/>
  <c r="B9" i="3"/>
  <c r="J9" i="3" s="1"/>
  <c r="L9" i="3" s="1"/>
  <c r="H8" i="3"/>
  <c r="I8" i="3" s="1"/>
  <c r="G8" i="3"/>
  <c r="F8" i="3"/>
  <c r="D8" i="3"/>
  <c r="E8" i="3" s="1"/>
  <c r="C8" i="3"/>
  <c r="B8" i="3"/>
  <c r="J8" i="3" s="1"/>
  <c r="I7" i="3"/>
  <c r="H7" i="3"/>
  <c r="H14" i="3" s="1"/>
  <c r="G7" i="3"/>
  <c r="G14" i="3" s="1"/>
  <c r="F7" i="3"/>
  <c r="F14" i="3" s="1"/>
  <c r="E7" i="3"/>
  <c r="D7" i="3"/>
  <c r="D14" i="3" s="1"/>
  <c r="B7" i="3"/>
  <c r="B14" i="3" s="1"/>
  <c r="B15" i="3" l="1"/>
  <c r="B16" i="3"/>
  <c r="G15" i="3"/>
  <c r="G16" i="3" s="1"/>
  <c r="K8" i="3"/>
  <c r="L8" i="3" s="1"/>
  <c r="F15" i="3"/>
  <c r="F16" i="3"/>
  <c r="D15" i="3"/>
  <c r="D16" i="3" s="1"/>
  <c r="H15" i="3"/>
  <c r="H16" i="3" s="1"/>
  <c r="E14" i="3"/>
  <c r="I14" i="3"/>
  <c r="J10" i="3"/>
  <c r="L10" i="3" s="1"/>
  <c r="J13" i="3"/>
  <c r="L13" i="3" s="1"/>
  <c r="C7" i="3"/>
  <c r="J7" i="3"/>
  <c r="J14" i="3" l="1"/>
  <c r="I15" i="3"/>
  <c r="I16" i="3"/>
  <c r="K7" i="3"/>
  <c r="K14" i="3" s="1"/>
  <c r="C14" i="3"/>
  <c r="E15" i="3"/>
  <c r="E16" i="3"/>
  <c r="C15" i="3" l="1"/>
  <c r="C16" i="3" s="1"/>
  <c r="L7" i="3"/>
  <c r="L14" i="3" s="1"/>
  <c r="K15" i="3"/>
  <c r="K16" i="3" s="1"/>
  <c r="J15" i="3"/>
  <c r="J16" i="3"/>
  <c r="L15" i="3" l="1"/>
  <c r="L16" i="3" s="1"/>
</calcChain>
</file>

<file path=xl/sharedStrings.xml><?xml version="1.0" encoding="utf-8"?>
<sst xmlns="http://schemas.openxmlformats.org/spreadsheetml/2006/main" count="110" uniqueCount="104">
  <si>
    <t xml:space="preserve"> </t>
  </si>
  <si>
    <t>CATEGORIES</t>
  </si>
  <si>
    <t>TOTAL</t>
  </si>
  <si>
    <t>Tranche 1 (70%)</t>
  </si>
  <si>
    <t>Tranche 2 (30%)</t>
  </si>
  <si>
    <t>Total tranche 1</t>
  </si>
  <si>
    <t>Total tranche 2</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</si>
  <si>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</si>
  <si>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</si>
  <si>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</si>
  <si>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</si>
  <si>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 Veuillez ajouter une nouvelle colonne par agence recipiendiaire</t>
  </si>
  <si>
    <t xml:space="preserve">Pourcentage du budget pour chaque produit ou activite reserve pour action directe sur le genre (cas echeant) </t>
  </si>
  <si>
    <t>Notes quelconque le cas echeant (.e.g sur types des entrants ou justification du budget)</t>
  </si>
  <si>
    <t>TOTAL $ FOR Resultat 1:</t>
  </si>
  <si>
    <t>TOTAL $ FOR Resultat 2:</t>
  </si>
  <si>
    <t>Produit 1.1:</t>
  </si>
  <si>
    <t>Produit 1.2:</t>
  </si>
  <si>
    <t>Produit 1.3:</t>
  </si>
  <si>
    <t>Produit 2.1:</t>
  </si>
  <si>
    <t>Produit 2.2:</t>
  </si>
  <si>
    <t>Produit 2.3:</t>
  </si>
  <si>
    <t>Activite 1.1.1:</t>
  </si>
  <si>
    <t>Activite 1.1.2:</t>
  </si>
  <si>
    <t>Activite 1.1.3:</t>
  </si>
  <si>
    <t>Activite 1.2.1:</t>
  </si>
  <si>
    <t>Activite 1.2.2:</t>
  </si>
  <si>
    <t>Activite 1.3.1:</t>
  </si>
  <si>
    <t>Activite 1.3.2:</t>
  </si>
  <si>
    <t>Activite 1.3.3:</t>
  </si>
  <si>
    <t>Activite 2.1.1:</t>
  </si>
  <si>
    <t>Activite 2.2.1:</t>
  </si>
  <si>
    <t>Activite 2.2.2:</t>
  </si>
  <si>
    <t>Activite 2.2.3:</t>
  </si>
  <si>
    <t>Activite 2.3.1:</t>
  </si>
  <si>
    <t>Activite 2.3.2:</t>
  </si>
  <si>
    <t>Activite 2.3.3:</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</si>
  <si>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</si>
  <si>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</si>
  <si>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</si>
  <si>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</si>
  <si>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</si>
  <si>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</si>
  <si>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</si>
  <si>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</si>
  <si>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</si>
  <si>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</si>
  <si>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</si>
  <si>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</si>
  <si>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</si>
  <si>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</si>
  <si>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</si>
  <si>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</si>
  <si>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</si>
  <si>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</si>
  <si>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Annexe - Budget du projet PBF</t>
  </si>
  <si>
    <t>Niveau de depenses/ engagements du budget jusqu'a present en %</t>
  </si>
  <si>
    <t xml:space="preserve">Agence Recipiendiaire PNUD Tchad </t>
  </si>
  <si>
    <t>Agence Recipiendiaire UNICEF Tchad</t>
  </si>
  <si>
    <t>Agence Recipiendiaire PNUD CMRN</t>
  </si>
  <si>
    <t>Agence Recipiendiaire UNICEF CMRN</t>
  </si>
  <si>
    <t>PNUD-TCD</t>
  </si>
  <si>
    <t>UNICEF-TCD</t>
  </si>
  <si>
    <t>PNUD-CMN</t>
  </si>
  <si>
    <t>UNICEF-CMN</t>
  </si>
  <si>
    <t>Resultat 1: Le renforcement des mécanismes transfrontaliers, inter et intracommunautaires et l’amélioration de la confiance entre les forces de sécurité et les populations contribuent à une détection précoce et à l’atténuation pacifique des conflits et de l’extrémisme violent dans les zones ciblées, avec une attention particulière portée à la participation des femmes et des jeunes.</t>
  </si>
  <si>
    <t>Les populations transfrontalières sont dotées des compétences requises pour prévenir l’extrémisme violent, en particulier via la participation des femmes et des jeunes</t>
  </si>
  <si>
    <t>Identifier les leaders émergents parmi les jeunes et les femmes, les membres des organisations communautaires et des organisations de la société civile locales et les former à la détection des signes avant-coureurs et à la prévention de l’extrémisme violent, et inciter les habitants, en tant qu’artisans de la paix communautaires, à prévenir l’extrémisme violent et les conflits</t>
  </si>
  <si>
    <t>Organiser des échanges entre les dirigeants et les organisations communautaires partenaires, y compris les femmes et les jeunes des deux pays, sur les menaces communes qui pèsent sur la cohésion sociale et sur les meilleures pratiques pour y remédier, ainsi que pour échanger des informations avec des communautés du Tchad et du Cameroun sur les meilleures pratiques mondiales/expériences positives en matière de prévention de l’extrémisme violent et des conflits</t>
  </si>
  <si>
    <t>Effectuer une analyse des risques sexospécifiques pour ce qui concerne l’extrémisme violent et former les participants aux mécanismes de paix communautaires aux aspects sexospécifiques de l’extrémisme violent</t>
  </si>
  <si>
    <t>Renforcer la confiance entre les chefs traditionnels et locaux et les acteurs de la sécurité pour améliorer les relations entre la population et les forces de sécurité</t>
  </si>
  <si>
    <t>Organiser le dialogue entre les leaders communautaires (jeunes, femmes, chefs religieux et traditionnels) et les acteurs de la sécurité pour améliorer la sécurité de la communauté, en tenant compte du rôle que jouent les femmes dans la sécurité; et les acteurs de la sécurité sur droits de l’homme, égalité homme/femme, protection de l’enfant.</t>
  </si>
  <si>
    <t>Organiser des activités conjointes, notamment ludiques, sportives, culturelles et bénévoles, réunissant les habitants des localités ciblées et les forces armées/acteurs de la sécurité, ainsi que des activités visant à prévenir le recrutement d’enfants</t>
  </si>
  <si>
    <t>Les mecanismes de paix communautaires sont mis en relation avec les mécanismes d'alerte précoce et de réponse rapide</t>
  </si>
  <si>
    <t>Améliorer les capacités des systèmes locaux d’alerte précoce et de réponse rapide tout en veillant à la participation des chefs traditionnels, des femmes et des jeunes grâce à une formation à l’analyse et à l’alerte</t>
  </si>
  <si>
    <t>Concevoir des supports et des guides dans les langues locales, faciles à utiliser pour la gestion des conflits et les mécanismes d’alerte précoce et de réponse rapide, qui seront produits et mis à la disposition des chefs traditionnels locaux et des services de l’État au niveau local (Tchad)</t>
  </si>
  <si>
    <t>Tester en situation réelle le tableau de bord du PNUD pour le risque de crise grâce à une cartographie des cas d’extrémisme violent dans les communautés cibles (par l'université de Maroua/Cameroun)</t>
  </si>
  <si>
    <t>Activite 1.3.4:</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</si>
  <si>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(deux colloques universitaires/PNUD Tchad et établissement d'un lien de cooperation entre l'Université de Maroua et et celui de Ndjamena/PNUD CMR)</t>
  </si>
  <si>
    <t>Amélioration de l’accès à d’autres opportunités socio-économiques pour les jeunes, hommes et femmes</t>
  </si>
  <si>
    <t>Mettre en place des activités génératrices de revenus sur la durée (agriculture, élevage, pêche) grâce à un appui sans faille à la création de capital (programmes « argent contre travail »), au recours aux établissements financiers, à la formation professionnelle et aux compétences pratiques, ainsi qu’au soutien aux petites entreprises (création/suivi)</t>
  </si>
  <si>
    <t xml:space="preserve"> Élargissement de l’espace de dialogue et de l’appui aux contre-discours/discours alternatifs, par exemple par le biais des radios communautaires, du théâtre, des séries télévisées</t>
  </si>
  <si>
    <t>Former les journalistes et autres acteurs des médias à la prévention des conflits et de l’extrémisme violent</t>
  </si>
  <si>
    <t>Organiser des émissions de radio sur la prévention des conflits et de l’extrémisme violent, ainsi que sur l’éducation à la paix, en ciblant notamment les enfants non scolarisés</t>
  </si>
  <si>
    <t>Former les responsables de clubs d’écoute radiophonique au management et aux activités du programme</t>
  </si>
  <si>
    <t>Activite 2.2.4:</t>
  </si>
  <si>
    <t>Organiser des  sceance de présentations théâtrales interactives, au niveau local, sur la prévention de l’extrémisme violent dans les écoles, en faisant participer les associations de jeunes et de parents d’élèves</t>
  </si>
  <si>
    <t>Activite 2.2.5:</t>
  </si>
  <si>
    <t>Aider les jeunes reporters des deux côtés de la frontière à élaborer des émissions de radio communautaires, à faciliter la diffusion de la parole des jeunes et d’un contre-discours</t>
  </si>
  <si>
    <t xml:space="preserve"> Les jeunes ont les moyens de prévenir et de réagir à la violence dans leur communauté, et de devenir des artisans de la paix</t>
  </si>
  <si>
    <t>Former les membres de la communauté et les organisations de la société civile à apporter un soutien psychosocial bien structuré, à dispenser un enseignement non formel et à mener des activités de renforcement des compétences pratiques des jeunes, y compris par le sport, à des fins de consolidation de la paix.</t>
  </si>
  <si>
    <t>Organiser des compétitions intercommunautaires destinées aux jeunes afin de les rapprocher et de renforcer le dialogue transfrontalier, tout en diffusant les messages positifs du sport auprès de l’ensemble de la communauté</t>
  </si>
  <si>
    <t>Former les jeunes et les responsables d’organisations communautaires et d’OSC à la conduite d’un dialogue intergénérationnel prônant des valeurs sociales positives, changer les normes relatives à la masculinité, et promouvoir la non-violence et l’égalité hommes-femmes auprès des jeunes et des chefs traditionnels et religieux</t>
  </si>
  <si>
    <t>Activite 2.3.4:</t>
  </si>
  <si>
    <t>Mobiliser les chefs traditionnels en faveur d’une participation active/obligatoire des jeunes et des femmes aux processus de consolidation de la paix et de gouvernance locale</t>
  </si>
  <si>
    <t>Produit 2.4:</t>
  </si>
  <si>
    <t>La capacité des établissements d’enseignement formel et des écoles coraniques à repérer et aider les enfants/jeunes vulnérables est renforcée</t>
  </si>
  <si>
    <t>Activite 2.4.1:</t>
  </si>
  <si>
    <t>Former les enseignants des écoles coraniques afin qu’ils puissent repérer et aider les jeunes vulnérables, de manière à prévenir l’extrémisme violent</t>
  </si>
  <si>
    <t>Activite 2.4.2:</t>
  </si>
  <si>
    <t>Former les enseignants des établissements d’enseignement formel au soutien psychosocial et aux méthodes de réduction des risques de conflit, de sorte à mettre en place des plans de sécurité pour les écoles et de créer un environnement d’apprentissage protecteur, et à intégrer l’éducation à la paix dans les programmes scolaires et l’enseignement</t>
  </si>
  <si>
    <t>Activite 2.4.3:</t>
  </si>
  <si>
    <t>Organiser des débats entre écoles sur la paix et l’éducation</t>
  </si>
  <si>
    <t>Resultat 2:  Le renforcement des capacités et des opportunités pour que les catégories de populations vulnérables, en particulier les jeunes et les femmes, contribue à la paix et à la stabilité</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</si>
</sst>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indexed="64"/>
      </left>
      <right/>
      <top/>
      <bottom/>
      <diagonal/>
    </border>
  </borders>
  <cellStyleXfs count="1">
    <xf numFmtId="0" fontId="0" fillId="0" borderId="0"/>
  </cellStyleXfs>
  <cellXfs count="6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5"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1" fillId="0" borderId="1"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3" fontId="5" fillId="4" borderId="10" xfId="0" applyNumberFormat="1" applyFont="1" applyFill="1" applyBorder="1" applyAlignment="1">
      <alignment horizontal="right" vertical="center" wrapText="1"/>
    </xf>
    <xf numFmtId="3" fontId="0" fillId="0" borderId="0" xfId="0" applyNumberFormat="1"/>
    <xf numFmtId="3" fontId="5" fillId="0" borderId="16"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1" fillId="0" borderId="1" xfId="0" applyNumberFormat="1" applyFont="1" applyBorder="1" applyAlignment="1">
      <alignment vertical="center" wrapText="1"/>
    </xf>
    <xf numFmtId="3" fontId="1" fillId="0" borderId="2" xfId="0" applyNumberFormat="1" applyFont="1" applyBorder="1" applyAlignment="1">
      <alignment vertical="center" wrapText="1"/>
    </xf>
    <xf numFmtId="0" fontId="1" fillId="0" borderId="2" xfId="0" applyFont="1" applyFill="1" applyBorder="1" applyAlignment="1">
      <alignment vertical="center" wrapText="1"/>
    </xf>
    <xf numFmtId="3" fontId="1" fillId="0" borderId="5" xfId="0" applyNumberFormat="1"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3" fontId="2" fillId="0" borderId="3" xfId="0" applyNumberFormat="1" applyFont="1" applyBorder="1" applyAlignment="1">
      <alignment vertical="center" wrapText="1"/>
    </xf>
    <xf numFmtId="3" fontId="1" fillId="0" borderId="3" xfId="0" applyNumberFormat="1" applyFont="1" applyBorder="1" applyAlignment="1">
      <alignment vertical="center" wrapText="1"/>
    </xf>
    <xf numFmtId="3" fontId="1" fillId="0" borderId="13" xfId="0" applyNumberFormat="1" applyFont="1" applyBorder="1" applyAlignment="1">
      <alignment vertical="center" wrapText="1"/>
    </xf>
    <xf numFmtId="3" fontId="2" fillId="0" borderId="14" xfId="0" applyNumberFormat="1" applyFont="1" applyBorder="1" applyAlignment="1">
      <alignment vertical="center" wrapText="1"/>
    </xf>
    <xf numFmtId="3" fontId="1" fillId="0" borderId="6" xfId="0" applyNumberFormat="1" applyFont="1" applyBorder="1" applyAlignment="1">
      <alignment vertical="center" wrapText="1"/>
    </xf>
    <xf numFmtId="3" fontId="1" fillId="0" borderId="17" xfId="0" applyNumberFormat="1" applyFont="1" applyBorder="1" applyAlignment="1">
      <alignment vertical="center" wrapText="1"/>
    </xf>
    <xf numFmtId="3" fontId="2" fillId="0" borderId="0" xfId="0" applyNumberFormat="1" applyFont="1" applyBorder="1" applyAlignment="1">
      <alignment vertical="center" wrapText="1"/>
    </xf>
    <xf numFmtId="9" fontId="1" fillId="0" borderId="4" xfId="0" applyNumberFormat="1" applyFont="1" applyBorder="1" applyAlignment="1">
      <alignment vertical="center" wrapText="1"/>
    </xf>
    <xf numFmtId="9" fontId="2" fillId="0" borderId="1" xfId="0" applyNumberFormat="1" applyFont="1" applyBorder="1" applyAlignment="1">
      <alignment vertical="center" wrapText="1"/>
    </xf>
    <xf numFmtId="9" fontId="2" fillId="0" borderId="2" xfId="0" applyNumberFormat="1" applyFont="1" applyBorder="1" applyAlignment="1">
      <alignment vertical="center" wrapText="1"/>
    </xf>
    <xf numFmtId="9" fontId="2" fillId="0" borderId="4" xfId="0" applyNumberFormat="1" applyFont="1" applyBorder="1" applyAlignment="1">
      <alignment vertical="center" wrapText="1"/>
    </xf>
    <xf numFmtId="9" fontId="2" fillId="0" borderId="3" xfId="0" applyNumberFormat="1" applyFont="1" applyBorder="1" applyAlignment="1">
      <alignment vertical="center" wrapText="1"/>
    </xf>
    <xf numFmtId="9" fontId="1" fillId="0" borderId="3" xfId="0" applyNumberFormat="1" applyFont="1" applyBorder="1" applyAlignment="1">
      <alignment vertical="center" wrapText="1"/>
    </xf>
    <xf numFmtId="9" fontId="1" fillId="0" borderId="1" xfId="0" applyNumberFormat="1" applyFont="1" applyBorder="1" applyAlignment="1">
      <alignment vertical="center" wrapText="1"/>
    </xf>
    <xf numFmtId="9" fontId="1" fillId="0" borderId="2" xfId="0" applyNumberFormat="1"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4" xfId="0" applyNumberFormat="1" applyFont="1" applyBorder="1" applyAlignment="1">
      <alignment horizontal="left" vertical="center" wrapText="1"/>
    </xf>
    <xf numFmtId="3" fontId="2" fillId="0" borderId="5" xfId="0" applyNumberFormat="1" applyFont="1" applyBorder="1" applyAlignment="1">
      <alignment horizontal="left" vertical="center" wrapText="1"/>
    </xf>
    <xf numFmtId="3" fontId="2" fillId="0" borderId="6" xfId="0" applyNumberFormat="1" applyFont="1" applyBorder="1" applyAlignment="1">
      <alignment horizontal="left" vertical="center" wrapText="1"/>
    </xf>
    <xf numFmtId="3" fontId="2" fillId="0" borderId="2" xfId="0" applyNumberFormat="1"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3" fontId="2" fillId="0" borderId="5" xfId="0" applyNumberFormat="1" applyFont="1" applyBorder="1" applyAlignment="1">
      <alignment vertical="center" wrapText="1"/>
    </xf>
    <xf numFmtId="3" fontId="2" fillId="0" borderId="6" xfId="0" applyNumberFormat="1" applyFont="1" applyBorder="1" applyAlignment="1">
      <alignment vertical="center" wrapText="1"/>
    </xf>
    <xf numFmtId="3" fontId="2" fillId="0" borderId="2" xfId="0" applyNumberFormat="1" applyFont="1" applyBorder="1" applyAlignment="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topLeftCell="A39" zoomScaleNormal="100" zoomScaleSheetLayoutView="100" workbookViewId="0">
      <selection activeCell="D50" sqref="D50"/>
    </sheetView>
  </sheetViews>
  <sheetFormatPr defaultColWidth="9.109375" defaultRowHeight="14.4" x14ac:dyDescent="0.3"/>
  <cols>
    <col min="1" max="1" width="19" customWidth="1"/>
    <col min="2" max="2" width="34.6640625" customWidth="1"/>
    <col min="3" max="3" width="13" customWidth="1"/>
    <col min="4" max="4" width="14.109375" customWidth="1"/>
    <col min="5" max="5" width="13.6640625" customWidth="1"/>
    <col min="6" max="6" width="15.109375" customWidth="1"/>
    <col min="7" max="8" width="22.5546875" customWidth="1"/>
    <col min="9" max="9" width="20.88671875" customWidth="1"/>
    <col min="10" max="10" width="22.6640625" customWidth="1"/>
    <col min="11" max="13" width="28.6640625" customWidth="1"/>
    <col min="14" max="14" width="34.109375" customWidth="1"/>
  </cols>
  <sheetData>
    <row r="1" spans="1:9" ht="21" x14ac:dyDescent="0.4">
      <c r="A1" s="9" t="s">
        <v>55</v>
      </c>
      <c r="B1" s="8"/>
      <c r="C1" s="8"/>
      <c r="D1" s="8"/>
      <c r="E1" s="8"/>
    </row>
    <row r="2" spans="1:9" ht="15.6" x14ac:dyDescent="0.3">
      <c r="A2" s="4"/>
      <c r="B2" s="4"/>
      <c r="C2" s="4"/>
      <c r="D2" s="4"/>
      <c r="E2" s="4"/>
    </row>
    <row r="3" spans="1:9" ht="15.6" x14ac:dyDescent="0.3">
      <c r="A3" s="4" t="s">
        <v>7</v>
      </c>
      <c r="B3" s="4"/>
      <c r="C3" s="4"/>
      <c r="D3" s="4"/>
      <c r="E3" s="4"/>
    </row>
    <row r="5" spans="1:9" ht="15.6" x14ac:dyDescent="0.3">
      <c r="A5" s="4" t="s">
        <v>8</v>
      </c>
    </row>
    <row r="6" spans="1:9" ht="15" thickBot="1" x14ac:dyDescent="0.35"/>
    <row r="7" spans="1:9" ht="94.5" customHeight="1" thickBot="1" x14ac:dyDescent="0.35">
      <c r="A7" s="1" t="s">
        <v>9</v>
      </c>
      <c r="B7" s="2" t="s">
        <v>10</v>
      </c>
      <c r="C7" s="44" t="s">
        <v>11</v>
      </c>
      <c r="D7" s="45"/>
      <c r="E7" s="45"/>
      <c r="F7" s="46"/>
      <c r="G7" s="2" t="s">
        <v>12</v>
      </c>
      <c r="H7" s="2" t="s">
        <v>13</v>
      </c>
      <c r="I7" s="13" t="s">
        <v>56</v>
      </c>
    </row>
    <row r="8" spans="1:9" ht="23.25" customHeight="1" thickBot="1" x14ac:dyDescent="0.35">
      <c r="A8" s="14"/>
      <c r="B8" s="15"/>
      <c r="C8" s="27" t="s">
        <v>61</v>
      </c>
      <c r="D8" s="27" t="s">
        <v>62</v>
      </c>
      <c r="E8" s="27" t="s">
        <v>63</v>
      </c>
      <c r="F8" s="28" t="s">
        <v>64</v>
      </c>
      <c r="G8" s="15"/>
      <c r="H8" s="15"/>
      <c r="I8" s="25"/>
    </row>
    <row r="9" spans="1:9" ht="43.5" customHeight="1" thickBot="1" x14ac:dyDescent="0.35">
      <c r="A9" s="52" t="s">
        <v>65</v>
      </c>
      <c r="B9" s="53"/>
      <c r="C9" s="53"/>
      <c r="D9" s="53"/>
      <c r="E9" s="53"/>
      <c r="F9" s="53"/>
      <c r="G9" s="53"/>
      <c r="H9" s="53"/>
      <c r="I9" s="54"/>
    </row>
    <row r="10" spans="1:9" ht="79.5" customHeight="1" thickBot="1" x14ac:dyDescent="0.35">
      <c r="A10" s="29" t="s">
        <v>16</v>
      </c>
      <c r="B10" s="21" t="s">
        <v>66</v>
      </c>
      <c r="C10" s="21">
        <v>107500</v>
      </c>
      <c r="D10" s="21">
        <v>29560</v>
      </c>
      <c r="E10" s="21">
        <v>83638</v>
      </c>
      <c r="F10" s="21">
        <v>0</v>
      </c>
      <c r="G10" s="36">
        <v>0.45</v>
      </c>
      <c r="H10" s="21"/>
      <c r="I10" s="36">
        <v>0.59</v>
      </c>
    </row>
    <row r="11" spans="1:9" ht="163.5" customHeight="1" thickBot="1" x14ac:dyDescent="0.35">
      <c r="A11" s="30" t="s">
        <v>22</v>
      </c>
      <c r="B11" s="21" t="s">
        <v>67</v>
      </c>
      <c r="C11" s="21">
        <v>60000</v>
      </c>
      <c r="D11" s="21">
        <v>15000</v>
      </c>
      <c r="E11" s="21">
        <v>34858</v>
      </c>
      <c r="F11" s="21">
        <v>0</v>
      </c>
      <c r="G11" s="21"/>
      <c r="H11" s="21"/>
      <c r="I11" s="21"/>
    </row>
    <row r="12" spans="1:9" ht="174" customHeight="1" thickBot="1" x14ac:dyDescent="0.35">
      <c r="A12" s="30" t="s">
        <v>23</v>
      </c>
      <c r="B12" s="21" t="s">
        <v>68</v>
      </c>
      <c r="C12" s="21">
        <v>27500</v>
      </c>
      <c r="D12" s="21">
        <v>10000</v>
      </c>
      <c r="E12" s="21">
        <v>17738</v>
      </c>
      <c r="F12" s="21">
        <v>0</v>
      </c>
      <c r="G12" s="21"/>
      <c r="H12" s="21"/>
      <c r="I12" s="21"/>
    </row>
    <row r="13" spans="1:9" ht="99" customHeight="1" thickBot="1" x14ac:dyDescent="0.35">
      <c r="A13" s="30" t="s">
        <v>24</v>
      </c>
      <c r="B13" s="21" t="s">
        <v>69</v>
      </c>
      <c r="C13" s="21">
        <v>20000</v>
      </c>
      <c r="D13" s="21">
        <v>4560</v>
      </c>
      <c r="E13" s="21">
        <v>31042</v>
      </c>
      <c r="F13" s="21">
        <v>0</v>
      </c>
      <c r="G13" s="21"/>
      <c r="H13" s="21"/>
      <c r="I13" s="21"/>
    </row>
    <row r="14" spans="1:9" ht="78.599999999999994" thickBot="1" x14ac:dyDescent="0.35">
      <c r="A14" s="29" t="s">
        <v>17</v>
      </c>
      <c r="B14" s="21" t="s">
        <v>70</v>
      </c>
      <c r="C14" s="21">
        <v>35000</v>
      </c>
      <c r="D14" s="21">
        <v>50000</v>
      </c>
      <c r="E14" s="21">
        <v>38765</v>
      </c>
      <c r="F14" s="21">
        <v>8750</v>
      </c>
      <c r="G14" s="36">
        <v>0.36</v>
      </c>
      <c r="H14" s="36"/>
      <c r="I14" s="36">
        <v>0.47</v>
      </c>
    </row>
    <row r="15" spans="1:9" ht="172.2" thickBot="1" x14ac:dyDescent="0.35">
      <c r="A15" s="30" t="s">
        <v>25</v>
      </c>
      <c r="B15" s="21" t="s">
        <v>71</v>
      </c>
      <c r="C15" s="21">
        <v>5000</v>
      </c>
      <c r="D15" s="21">
        <v>50000</v>
      </c>
      <c r="E15" s="21">
        <v>15143</v>
      </c>
      <c r="F15" s="21">
        <v>8750</v>
      </c>
      <c r="G15" s="21"/>
      <c r="H15" s="21"/>
      <c r="I15" s="21"/>
    </row>
    <row r="16" spans="1:9" ht="125.4" thickBot="1" x14ac:dyDescent="0.35">
      <c r="A16" s="30" t="s">
        <v>26</v>
      </c>
      <c r="B16" s="21" t="s">
        <v>72</v>
      </c>
      <c r="C16" s="21">
        <v>30000</v>
      </c>
      <c r="D16" s="21">
        <v>0</v>
      </c>
      <c r="E16" s="21">
        <v>23622</v>
      </c>
      <c r="F16" s="21">
        <v>0</v>
      </c>
      <c r="G16" s="21"/>
      <c r="H16" s="21"/>
      <c r="I16" s="21"/>
    </row>
    <row r="17" spans="1:9" ht="63" thickBot="1" x14ac:dyDescent="0.35">
      <c r="A17" s="29" t="s">
        <v>18</v>
      </c>
      <c r="B17" s="21" t="s">
        <v>73</v>
      </c>
      <c r="C17" s="21">
        <v>52500</v>
      </c>
      <c r="D17" s="21">
        <v>0</v>
      </c>
      <c r="E17" s="21">
        <v>82377</v>
      </c>
      <c r="F17" s="21">
        <v>0</v>
      </c>
      <c r="G17" s="36">
        <v>0.43</v>
      </c>
      <c r="H17" s="36"/>
      <c r="I17" s="36">
        <v>0.89</v>
      </c>
    </row>
    <row r="18" spans="1:9" ht="94.2" thickBot="1" x14ac:dyDescent="0.35">
      <c r="A18" s="30" t="s">
        <v>27</v>
      </c>
      <c r="B18" s="21" t="s">
        <v>74</v>
      </c>
      <c r="C18" s="21">
        <v>12500</v>
      </c>
      <c r="D18" s="21">
        <v>0</v>
      </c>
      <c r="E18" s="21">
        <v>12461</v>
      </c>
      <c r="F18" s="21">
        <v>0</v>
      </c>
      <c r="G18" s="21"/>
      <c r="H18" s="21"/>
      <c r="I18" s="21"/>
    </row>
    <row r="19" spans="1:9" ht="141" thickBot="1" x14ac:dyDescent="0.35">
      <c r="A19" s="30" t="s">
        <v>28</v>
      </c>
      <c r="B19" s="21" t="s">
        <v>75</v>
      </c>
      <c r="C19" s="21">
        <v>40000</v>
      </c>
      <c r="D19" s="21">
        <v>0</v>
      </c>
      <c r="E19" s="21">
        <v>0</v>
      </c>
      <c r="F19" s="21">
        <v>0</v>
      </c>
      <c r="G19" s="21"/>
      <c r="H19" s="21"/>
      <c r="I19" s="21"/>
    </row>
    <row r="20" spans="1:9" ht="94.2" thickBot="1" x14ac:dyDescent="0.35">
      <c r="A20" s="30" t="s">
        <v>29</v>
      </c>
      <c r="B20" s="21" t="s">
        <v>76</v>
      </c>
      <c r="C20" s="21">
        <v>0</v>
      </c>
      <c r="D20" s="21">
        <v>0</v>
      </c>
      <c r="E20" s="21">
        <v>60208</v>
      </c>
      <c r="F20" s="21">
        <v>0</v>
      </c>
      <c r="G20" s="21"/>
      <c r="H20" s="21"/>
      <c r="I20" s="21"/>
    </row>
    <row r="21" spans="1:9" ht="234.6" thickBot="1" x14ac:dyDescent="0.35">
      <c r="A21" s="30" t="s">
        <v>77</v>
      </c>
      <c r="B21" s="21" t="s">
        <v>78</v>
      </c>
      <c r="C21" s="21">
        <v>0</v>
      </c>
      <c r="D21" s="21">
        <v>0</v>
      </c>
      <c r="E21" s="21">
        <v>9708</v>
      </c>
      <c r="F21" s="21">
        <v>0</v>
      </c>
      <c r="G21" s="21"/>
      <c r="H21" s="21"/>
      <c r="I21" s="21"/>
    </row>
    <row r="22" spans="1:9" ht="16.5" customHeight="1" thickBot="1" x14ac:dyDescent="0.35">
      <c r="A22" s="49" t="s">
        <v>14</v>
      </c>
      <c r="B22" s="50"/>
      <c r="C22" s="22">
        <f>C17+C14+C10</f>
        <v>195000</v>
      </c>
      <c r="D22" s="22">
        <f t="shared" ref="D22:F22" si="0">D17+D14+D10</f>
        <v>79560</v>
      </c>
      <c r="E22" s="22">
        <f t="shared" si="0"/>
        <v>204780</v>
      </c>
      <c r="F22" s="22">
        <f t="shared" si="0"/>
        <v>8750</v>
      </c>
      <c r="G22" s="37">
        <v>0.41</v>
      </c>
      <c r="H22" s="38"/>
      <c r="I22" s="38">
        <v>0.65</v>
      </c>
    </row>
    <row r="23" spans="1:9" ht="16.2" thickBot="1" x14ac:dyDescent="0.35">
      <c r="A23" s="55" t="s">
        <v>103</v>
      </c>
      <c r="B23" s="56"/>
      <c r="C23" s="56"/>
      <c r="D23" s="56"/>
      <c r="E23" s="56"/>
      <c r="F23" s="56"/>
      <c r="G23" s="56"/>
      <c r="H23" s="56"/>
      <c r="I23" s="57"/>
    </row>
    <row r="24" spans="1:9" ht="47.4" thickBot="1" x14ac:dyDescent="0.35">
      <c r="A24" s="29" t="s">
        <v>19</v>
      </c>
      <c r="B24" s="21" t="s">
        <v>79</v>
      </c>
      <c r="C24" s="21">
        <v>86400</v>
      </c>
      <c r="D24" s="21">
        <v>109300</v>
      </c>
      <c r="E24" s="21">
        <v>100000</v>
      </c>
      <c r="F24" s="21">
        <v>0</v>
      </c>
      <c r="G24" s="36">
        <v>0.27</v>
      </c>
      <c r="H24" s="36"/>
      <c r="I24" s="36">
        <v>0.05</v>
      </c>
    </row>
    <row r="25" spans="1:9" ht="157.5" customHeight="1" thickBot="1" x14ac:dyDescent="0.35">
      <c r="A25" s="30" t="s">
        <v>30</v>
      </c>
      <c r="B25" s="21" t="s">
        <v>80</v>
      </c>
      <c r="C25" s="21">
        <v>86400</v>
      </c>
      <c r="D25" s="21">
        <v>109300</v>
      </c>
      <c r="E25" s="21">
        <v>100000</v>
      </c>
      <c r="F25" s="21">
        <v>0</v>
      </c>
      <c r="G25" s="21"/>
      <c r="H25" s="21"/>
      <c r="I25" s="21"/>
    </row>
    <row r="26" spans="1:9" ht="94.2" thickBot="1" x14ac:dyDescent="0.35">
      <c r="A26" s="29" t="s">
        <v>20</v>
      </c>
      <c r="B26" s="21" t="s">
        <v>81</v>
      </c>
      <c r="C26" s="21">
        <v>20000</v>
      </c>
      <c r="D26" s="21">
        <v>10000</v>
      </c>
      <c r="E26" s="21">
        <v>0</v>
      </c>
      <c r="F26" s="21">
        <f>F27+F28+F29+F30+F31</f>
        <v>96250</v>
      </c>
      <c r="G26" s="36">
        <v>0.27</v>
      </c>
      <c r="H26" s="36"/>
      <c r="I26" s="36">
        <v>0.46</v>
      </c>
    </row>
    <row r="27" spans="1:9" ht="63" thickBot="1" x14ac:dyDescent="0.35">
      <c r="A27" s="30" t="s">
        <v>31</v>
      </c>
      <c r="B27" s="21" t="s">
        <v>82</v>
      </c>
      <c r="C27" s="21">
        <v>0</v>
      </c>
      <c r="D27" s="21">
        <v>0</v>
      </c>
      <c r="E27" s="21">
        <v>0</v>
      </c>
      <c r="F27" s="21">
        <v>8750</v>
      </c>
      <c r="G27" s="21"/>
      <c r="H27" s="21"/>
      <c r="I27" s="21"/>
    </row>
    <row r="28" spans="1:9" ht="78.599999999999994" thickBot="1" x14ac:dyDescent="0.35">
      <c r="A28" s="30" t="s">
        <v>32</v>
      </c>
      <c r="B28" s="21" t="s">
        <v>83</v>
      </c>
      <c r="C28" s="21">
        <v>10000</v>
      </c>
      <c r="D28" s="21">
        <v>0</v>
      </c>
      <c r="E28" s="21">
        <v>0</v>
      </c>
      <c r="F28" s="21">
        <v>35000</v>
      </c>
      <c r="G28" s="21"/>
      <c r="H28" s="21"/>
      <c r="I28" s="21"/>
    </row>
    <row r="29" spans="1:9" ht="63" thickBot="1" x14ac:dyDescent="0.35">
      <c r="A29" s="30" t="s">
        <v>33</v>
      </c>
      <c r="B29" s="21" t="s">
        <v>84</v>
      </c>
      <c r="C29" s="21">
        <v>0</v>
      </c>
      <c r="D29" s="21">
        <v>0</v>
      </c>
      <c r="E29" s="21">
        <v>0</v>
      </c>
      <c r="F29" s="21">
        <v>8750</v>
      </c>
      <c r="G29" s="21"/>
      <c r="H29" s="21"/>
      <c r="I29" s="21"/>
    </row>
    <row r="30" spans="1:9" ht="94.2" thickBot="1" x14ac:dyDescent="0.35">
      <c r="A30" s="30" t="s">
        <v>85</v>
      </c>
      <c r="B30" s="21" t="s">
        <v>86</v>
      </c>
      <c r="C30" s="21">
        <v>0</v>
      </c>
      <c r="D30" s="21">
        <v>10000</v>
      </c>
      <c r="E30" s="21">
        <v>0</v>
      </c>
      <c r="F30" s="21">
        <v>8750</v>
      </c>
      <c r="G30" s="21"/>
      <c r="H30" s="21"/>
      <c r="I30" s="21"/>
    </row>
    <row r="31" spans="1:9" ht="78.599999999999994" thickBot="1" x14ac:dyDescent="0.35">
      <c r="A31" s="30" t="s">
        <v>87</v>
      </c>
      <c r="B31" s="21" t="s">
        <v>88</v>
      </c>
      <c r="C31" s="21">
        <v>10000</v>
      </c>
      <c r="D31" s="21">
        <v>0</v>
      </c>
      <c r="E31" s="21">
        <v>0</v>
      </c>
      <c r="F31" s="21">
        <v>35000</v>
      </c>
      <c r="G31" s="21"/>
      <c r="H31" s="21"/>
      <c r="I31" s="21"/>
    </row>
    <row r="32" spans="1:9" ht="63" thickBot="1" x14ac:dyDescent="0.35">
      <c r="A32" s="29" t="s">
        <v>21</v>
      </c>
      <c r="B32" s="21" t="s">
        <v>89</v>
      </c>
      <c r="C32" s="21">
        <f>C33+C34+C35+C36</f>
        <v>48500</v>
      </c>
      <c r="D32" s="21">
        <f t="shared" ref="D32" si="1">D33+D34+D35+D36</f>
        <v>68000</v>
      </c>
      <c r="E32" s="21">
        <f t="shared" ref="E32:F32" si="2">E33+E34+E35+E36</f>
        <v>18800</v>
      </c>
      <c r="F32" s="21">
        <f t="shared" si="2"/>
        <v>136500</v>
      </c>
      <c r="G32" s="36">
        <v>0.39</v>
      </c>
      <c r="H32" s="36"/>
      <c r="I32" s="36">
        <v>0.63</v>
      </c>
    </row>
    <row r="33" spans="1:9" ht="156.6" thickBot="1" x14ac:dyDescent="0.35">
      <c r="A33" s="30" t="s">
        <v>34</v>
      </c>
      <c r="B33" s="21" t="s">
        <v>90</v>
      </c>
      <c r="C33" s="21">
        <v>15000</v>
      </c>
      <c r="D33" s="21">
        <v>22000</v>
      </c>
      <c r="E33" s="21">
        <v>0</v>
      </c>
      <c r="F33" s="21">
        <v>94500</v>
      </c>
      <c r="G33" s="21"/>
      <c r="H33" s="21"/>
      <c r="I33" s="21"/>
    </row>
    <row r="34" spans="1:9" ht="109.8" thickBot="1" x14ac:dyDescent="0.35">
      <c r="A34" s="30" t="s">
        <v>35</v>
      </c>
      <c r="B34" s="21" t="s">
        <v>91</v>
      </c>
      <c r="C34" s="21">
        <v>15000</v>
      </c>
      <c r="D34" s="21">
        <v>46000</v>
      </c>
      <c r="E34" s="21">
        <v>5000</v>
      </c>
      <c r="F34" s="21">
        <v>0</v>
      </c>
      <c r="G34" s="21"/>
      <c r="H34" s="21"/>
      <c r="I34" s="21"/>
    </row>
    <row r="35" spans="1:9" ht="156.6" thickBot="1" x14ac:dyDescent="0.35">
      <c r="A35" s="30" t="s">
        <v>36</v>
      </c>
      <c r="B35" s="21" t="s">
        <v>92</v>
      </c>
      <c r="C35" s="21">
        <v>15000</v>
      </c>
      <c r="D35" s="21">
        <v>0</v>
      </c>
      <c r="E35" s="21">
        <v>11000</v>
      </c>
      <c r="F35" s="21">
        <v>42000</v>
      </c>
      <c r="G35" s="21"/>
      <c r="H35" s="21"/>
      <c r="I35" s="21"/>
    </row>
    <row r="36" spans="1:9" ht="94.2" thickBot="1" x14ac:dyDescent="0.35">
      <c r="A36" s="30" t="s">
        <v>93</v>
      </c>
      <c r="B36" s="21" t="s">
        <v>94</v>
      </c>
      <c r="C36" s="21">
        <v>3500</v>
      </c>
      <c r="D36" s="21">
        <v>0</v>
      </c>
      <c r="E36" s="21">
        <v>2800</v>
      </c>
      <c r="F36" s="21">
        <v>0</v>
      </c>
      <c r="G36" s="21"/>
      <c r="H36" s="21"/>
      <c r="I36" s="21"/>
    </row>
    <row r="37" spans="1:9" ht="78.599999999999994" thickBot="1" x14ac:dyDescent="0.35">
      <c r="A37" s="29" t="s">
        <v>95</v>
      </c>
      <c r="B37" s="3" t="s">
        <v>96</v>
      </c>
      <c r="C37" s="21">
        <f>C38+C39+C40</f>
        <v>28000</v>
      </c>
      <c r="D37" s="21">
        <f t="shared" ref="D37:F37" si="3">D38+D39+D40</f>
        <v>104946</v>
      </c>
      <c r="E37" s="21">
        <f t="shared" si="3"/>
        <v>9677</v>
      </c>
      <c r="F37" s="21">
        <f t="shared" si="3"/>
        <v>58800</v>
      </c>
      <c r="G37" s="36">
        <v>0.24</v>
      </c>
      <c r="H37" s="36"/>
      <c r="I37" s="36">
        <v>1.26</v>
      </c>
    </row>
    <row r="38" spans="1:9" ht="65.25" customHeight="1" thickBot="1" x14ac:dyDescent="0.35">
      <c r="A38" s="30" t="s">
        <v>97</v>
      </c>
      <c r="B38" s="3" t="s">
        <v>98</v>
      </c>
      <c r="C38" s="21">
        <v>28000</v>
      </c>
      <c r="D38" s="21">
        <v>68048</v>
      </c>
      <c r="E38" s="21">
        <v>9677</v>
      </c>
      <c r="F38" s="21">
        <v>21000</v>
      </c>
      <c r="G38" s="21"/>
      <c r="H38" s="21"/>
      <c r="I38" s="21"/>
    </row>
    <row r="39" spans="1:9" ht="48" customHeight="1" thickBot="1" x14ac:dyDescent="0.35">
      <c r="A39" s="30" t="s">
        <v>99</v>
      </c>
      <c r="B39" s="3" t="s">
        <v>100</v>
      </c>
      <c r="C39" s="21">
        <v>0</v>
      </c>
      <c r="D39" s="21">
        <v>36898</v>
      </c>
      <c r="E39" s="21">
        <v>0</v>
      </c>
      <c r="F39" s="21">
        <v>21700</v>
      </c>
      <c r="G39" s="21"/>
      <c r="H39" s="21"/>
      <c r="I39" s="21"/>
    </row>
    <row r="40" spans="1:9" ht="31.5" customHeight="1" thickBot="1" x14ac:dyDescent="0.35">
      <c r="A40" s="30" t="s">
        <v>101</v>
      </c>
      <c r="B40" s="3" t="s">
        <v>102</v>
      </c>
      <c r="C40" s="21">
        <v>0</v>
      </c>
      <c r="D40" s="21">
        <v>0</v>
      </c>
      <c r="E40" s="21">
        <v>0</v>
      </c>
      <c r="F40" s="21">
        <v>16100</v>
      </c>
      <c r="G40" s="21"/>
      <c r="H40" s="21"/>
      <c r="I40" s="21"/>
    </row>
    <row r="41" spans="1:9" ht="16.5" customHeight="1" thickBot="1" x14ac:dyDescent="0.35">
      <c r="A41" s="49" t="s">
        <v>15</v>
      </c>
      <c r="B41" s="51"/>
      <c r="C41" s="22">
        <f>C37+C32+C26+C24</f>
        <v>182900</v>
      </c>
      <c r="D41" s="22">
        <f t="shared" ref="D41:F41" si="4">D37+D32+D26+D24</f>
        <v>292246</v>
      </c>
      <c r="E41" s="22">
        <f t="shared" si="4"/>
        <v>128477</v>
      </c>
      <c r="F41" s="22">
        <f t="shared" si="4"/>
        <v>291550</v>
      </c>
      <c r="G41" s="37">
        <v>0.28999999999999998</v>
      </c>
      <c r="H41" s="37"/>
      <c r="I41" s="38">
        <v>0.6</v>
      </c>
    </row>
    <row r="42" spans="1:9" ht="70.5" customHeight="1" thickBot="1" x14ac:dyDescent="0.35">
      <c r="A42" s="31" t="s">
        <v>37</v>
      </c>
      <c r="B42" s="32"/>
      <c r="C42" s="23">
        <v>33726</v>
      </c>
      <c r="D42" s="23">
        <v>38153.65</v>
      </c>
      <c r="E42" s="23">
        <v>94166</v>
      </c>
      <c r="F42" s="23">
        <v>117110</v>
      </c>
      <c r="G42" s="37"/>
      <c r="H42" s="37"/>
      <c r="I42" s="39">
        <v>0.61</v>
      </c>
    </row>
    <row r="43" spans="1:9" ht="50.25" customHeight="1" thickBot="1" x14ac:dyDescent="0.35">
      <c r="A43" s="34" t="s">
        <v>38</v>
      </c>
      <c r="B43" s="35"/>
      <c r="C43" s="30">
        <v>102674</v>
      </c>
      <c r="D43" s="30">
        <v>36290</v>
      </c>
      <c r="E43" s="30">
        <v>38000</v>
      </c>
      <c r="F43" s="30">
        <v>16450</v>
      </c>
      <c r="G43" s="40"/>
      <c r="H43" s="40"/>
      <c r="I43" s="39">
        <v>0.16</v>
      </c>
    </row>
    <row r="44" spans="1:9" ht="36" customHeight="1" thickBot="1" x14ac:dyDescent="0.35">
      <c r="A44" s="26" t="s">
        <v>39</v>
      </c>
      <c r="B44" s="24" t="s">
        <v>0</v>
      </c>
      <c r="C44" s="21">
        <v>10000</v>
      </c>
      <c r="D44" s="21">
        <v>10500</v>
      </c>
      <c r="E44" s="21">
        <v>36500</v>
      </c>
      <c r="F44" s="30">
        <v>45500</v>
      </c>
      <c r="G44" s="41"/>
      <c r="H44" s="41"/>
      <c r="I44" s="36">
        <v>0.2</v>
      </c>
    </row>
    <row r="45" spans="1:9" ht="16.5" customHeight="1" thickBot="1" x14ac:dyDescent="0.35">
      <c r="A45" s="47" t="s">
        <v>40</v>
      </c>
      <c r="B45" s="48"/>
      <c r="C45" s="22">
        <f>C44+C43+C42+C41+C22</f>
        <v>524300</v>
      </c>
      <c r="D45" s="22">
        <f t="shared" ref="D45:F45" si="5">D44+D43+D42+D41+D22</f>
        <v>456749.65</v>
      </c>
      <c r="E45" s="22">
        <f t="shared" si="5"/>
        <v>501923</v>
      </c>
      <c r="F45" s="22">
        <f t="shared" si="5"/>
        <v>479360</v>
      </c>
      <c r="G45" s="37"/>
      <c r="H45" s="37"/>
      <c r="I45" s="38"/>
    </row>
    <row r="46" spans="1:9" ht="31.8" thickBot="1" x14ac:dyDescent="0.35">
      <c r="A46" s="26" t="s">
        <v>41</v>
      </c>
      <c r="B46" s="33"/>
      <c r="C46" s="23">
        <f>C45*7/100</f>
        <v>36701</v>
      </c>
      <c r="D46" s="23">
        <f t="shared" ref="D46:F46" si="6">D45*7/100</f>
        <v>31972.475500000004</v>
      </c>
      <c r="E46" s="23">
        <f t="shared" si="6"/>
        <v>35134.61</v>
      </c>
      <c r="F46" s="26">
        <f t="shared" si="6"/>
        <v>33555.199999999997</v>
      </c>
      <c r="G46" s="42"/>
      <c r="H46" s="42"/>
      <c r="I46" s="43">
        <v>0.59</v>
      </c>
    </row>
    <row r="47" spans="1:9" ht="16.5" customHeight="1" thickBot="1" x14ac:dyDescent="0.35">
      <c r="A47" s="49" t="s">
        <v>42</v>
      </c>
      <c r="B47" s="50"/>
      <c r="C47" s="22">
        <f>C46+C45</f>
        <v>561001</v>
      </c>
      <c r="D47" s="22">
        <f t="shared" ref="D47:F47" si="7">D46+D45</f>
        <v>488722.12550000002</v>
      </c>
      <c r="E47" s="22">
        <f t="shared" si="7"/>
        <v>537057.61</v>
      </c>
      <c r="F47" s="22">
        <f t="shared" si="7"/>
        <v>512915.20000000001</v>
      </c>
      <c r="G47" s="37">
        <f>(G41+G22)/2</f>
        <v>0.35</v>
      </c>
      <c r="H47" s="37"/>
      <c r="I47" s="38">
        <v>0.62</v>
      </c>
    </row>
    <row r="53" ht="25.5" customHeight="1" x14ac:dyDescent="0.3"/>
  </sheetData>
  <mergeCells count="7">
    <mergeCell ref="C7:F7"/>
    <mergeCell ref="A45:B45"/>
    <mergeCell ref="A47:B47"/>
    <mergeCell ref="A22:B22"/>
    <mergeCell ref="A41:B41"/>
    <mergeCell ref="A9:I9"/>
    <mergeCell ref="A23:I23"/>
  </mergeCells>
  <pageMargins left="0.7" right="0.7" top="0.75" bottom="0.75" header="0.3" footer="0.3"/>
  <pageSetup scale="70"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7" workbookViewId="0">
      <selection activeCell="B11" sqref="B11"/>
    </sheetView>
  </sheetViews>
  <sheetFormatPr defaultColWidth="9.109375" defaultRowHeight="14.4" x14ac:dyDescent="0.3"/>
  <cols>
    <col min="1" max="1" width="15.109375" customWidth="1"/>
    <col min="3" max="3" width="11.6640625" customWidth="1"/>
    <col min="5" max="5" width="11" customWidth="1"/>
    <col min="6" max="6" width="9.44140625" bestFit="1" customWidth="1"/>
    <col min="7" max="7" width="10.88671875" customWidth="1"/>
    <col min="9" max="9" width="10.6640625" customWidth="1"/>
  </cols>
  <sheetData>
    <row r="1" spans="1:12" ht="15.6" x14ac:dyDescent="0.3">
      <c r="A1" s="4" t="s">
        <v>43</v>
      </c>
      <c r="B1" s="4"/>
      <c r="C1" s="4"/>
      <c r="D1" s="4"/>
    </row>
    <row r="2" spans="1:12" x14ac:dyDescent="0.3">
      <c r="A2" s="7"/>
      <c r="B2" s="7"/>
      <c r="C2" s="7"/>
      <c r="D2" s="7"/>
    </row>
    <row r="3" spans="1:12" x14ac:dyDescent="0.3">
      <c r="A3" s="7" t="s">
        <v>44</v>
      </c>
      <c r="B3" s="7"/>
      <c r="C3" s="7"/>
      <c r="D3" s="7"/>
    </row>
    <row r="4" spans="1:12" ht="15" thickBot="1" x14ac:dyDescent="0.35"/>
    <row r="5" spans="1:12" ht="28.2" customHeight="1" thickBot="1" x14ac:dyDescent="0.35">
      <c r="A5" s="58" t="s">
        <v>1</v>
      </c>
      <c r="B5" s="60" t="s">
        <v>57</v>
      </c>
      <c r="C5" s="61"/>
      <c r="D5" s="60" t="s">
        <v>58</v>
      </c>
      <c r="E5" s="61"/>
      <c r="F5" s="60" t="s">
        <v>59</v>
      </c>
      <c r="G5" s="61"/>
      <c r="H5" s="60" t="s">
        <v>60</v>
      </c>
      <c r="I5" s="61"/>
      <c r="J5" s="6" t="s">
        <v>5</v>
      </c>
      <c r="K5" s="6" t="s">
        <v>6</v>
      </c>
      <c r="L5" s="58" t="s">
        <v>45</v>
      </c>
    </row>
    <row r="6" spans="1:12" ht="28.2" thickBot="1" x14ac:dyDescent="0.35">
      <c r="A6" s="59"/>
      <c r="B6" s="5" t="s">
        <v>3</v>
      </c>
      <c r="C6" s="5" t="s">
        <v>4</v>
      </c>
      <c r="D6" s="5" t="s">
        <v>3</v>
      </c>
      <c r="E6" s="5" t="s">
        <v>4</v>
      </c>
      <c r="F6" s="5" t="s">
        <v>3</v>
      </c>
      <c r="G6" s="5" t="s">
        <v>4</v>
      </c>
      <c r="H6" s="5" t="s">
        <v>3</v>
      </c>
      <c r="I6" s="5" t="s">
        <v>4</v>
      </c>
      <c r="J6" s="5"/>
      <c r="K6" s="5"/>
      <c r="L6" s="59"/>
    </row>
    <row r="7" spans="1:12" ht="27.6" customHeight="1" thickBot="1" x14ac:dyDescent="0.35">
      <c r="A7" s="10" t="s">
        <v>46</v>
      </c>
      <c r="B7" s="16">
        <f>180000*70/100</f>
        <v>126000</v>
      </c>
      <c r="C7" s="16">
        <f>180000-B7</f>
        <v>54000</v>
      </c>
      <c r="D7" s="16">
        <f>63000*70/100</f>
        <v>44100</v>
      </c>
      <c r="E7" s="16">
        <f>63000-D7</f>
        <v>18900</v>
      </c>
      <c r="F7" s="16">
        <f>216625*70/100</f>
        <v>151637.5</v>
      </c>
      <c r="G7" s="16">
        <f>216625-F7</f>
        <v>64987.5</v>
      </c>
      <c r="H7" s="16">
        <f>167300*70/100</f>
        <v>117110</v>
      </c>
      <c r="I7" s="16">
        <f>167300-117110</f>
        <v>50190</v>
      </c>
      <c r="J7" s="16">
        <f>B7+D7+F7+H7</f>
        <v>438847.5</v>
      </c>
      <c r="K7" s="16">
        <f>C7+E7+G7+I7</f>
        <v>188077.5</v>
      </c>
      <c r="L7" s="16">
        <f>J7+K7</f>
        <v>626925</v>
      </c>
    </row>
    <row r="8" spans="1:12" ht="46.2" customHeight="1" thickBot="1" x14ac:dyDescent="0.35">
      <c r="A8" s="11" t="s">
        <v>47</v>
      </c>
      <c r="B8" s="16">
        <f>20000*70/100</f>
        <v>14000</v>
      </c>
      <c r="C8" s="16">
        <f>20000-B8</f>
        <v>6000</v>
      </c>
      <c r="D8" s="17">
        <f>53500*70/100</f>
        <v>37450</v>
      </c>
      <c r="E8" s="16">
        <f>53500-D8</f>
        <v>16050</v>
      </c>
      <c r="F8" s="16">
        <f>24100*70/100</f>
        <v>16870</v>
      </c>
      <c r="G8" s="16">
        <f>24100-F8</f>
        <v>7230</v>
      </c>
      <c r="H8" s="16">
        <f>50000*70/100</f>
        <v>35000</v>
      </c>
      <c r="I8" s="16">
        <f>50000-H8</f>
        <v>15000</v>
      </c>
      <c r="J8" s="16">
        <f t="shared" ref="J8:K13" si="0">B8+D8+F8+H8</f>
        <v>103320</v>
      </c>
      <c r="K8" s="16">
        <f t="shared" si="0"/>
        <v>44280</v>
      </c>
      <c r="L8" s="16">
        <f t="shared" ref="L8:L13" si="1">J8+K8</f>
        <v>147600</v>
      </c>
    </row>
    <row r="9" spans="1:12" ht="70.95" customHeight="1" thickBot="1" x14ac:dyDescent="0.35">
      <c r="A9" s="11" t="s">
        <v>48</v>
      </c>
      <c r="B9" s="16">
        <f>60000*70/100</f>
        <v>42000</v>
      </c>
      <c r="C9" s="16">
        <f>60000-B9</f>
        <v>18000</v>
      </c>
      <c r="D9" s="16">
        <f>72500*70/100</f>
        <v>50750</v>
      </c>
      <c r="E9" s="16">
        <f>72500-D9</f>
        <v>21750</v>
      </c>
      <c r="F9" s="16">
        <v>0</v>
      </c>
      <c r="G9" s="16">
        <v>0</v>
      </c>
      <c r="H9" s="16">
        <v>0</v>
      </c>
      <c r="I9" s="16">
        <v>0</v>
      </c>
      <c r="J9" s="16">
        <f t="shared" si="0"/>
        <v>92750</v>
      </c>
      <c r="K9" s="16">
        <f t="shared" si="0"/>
        <v>39750</v>
      </c>
      <c r="L9" s="16">
        <f t="shared" si="1"/>
        <v>132500</v>
      </c>
    </row>
    <row r="10" spans="1:12" ht="28.2" customHeight="1" thickBot="1" x14ac:dyDescent="0.35">
      <c r="A10" s="11" t="s">
        <v>49</v>
      </c>
      <c r="B10" s="16">
        <f>100000*70/100</f>
        <v>70000</v>
      </c>
      <c r="C10" s="16">
        <f>100000-B10</f>
        <v>30000</v>
      </c>
      <c r="D10" s="16">
        <f>209000*70/100</f>
        <v>146300</v>
      </c>
      <c r="E10" s="16">
        <f>209000-D10</f>
        <v>62700</v>
      </c>
      <c r="F10" s="16">
        <f>122500*70/100</f>
        <v>85750</v>
      </c>
      <c r="G10" s="16">
        <f>122500-F10</f>
        <v>36750</v>
      </c>
      <c r="H10" s="16">
        <f>82500*70/100</f>
        <v>57750</v>
      </c>
      <c r="I10" s="16">
        <f>82500-H10</f>
        <v>24750</v>
      </c>
      <c r="J10" s="16">
        <f t="shared" si="0"/>
        <v>359800</v>
      </c>
      <c r="K10" s="16">
        <f t="shared" si="0"/>
        <v>154200</v>
      </c>
      <c r="L10" s="16">
        <f t="shared" si="1"/>
        <v>514000</v>
      </c>
    </row>
    <row r="11" spans="1:12" ht="30" customHeight="1" thickBot="1" x14ac:dyDescent="0.35">
      <c r="A11" s="11" t="s">
        <v>50</v>
      </c>
      <c r="B11" s="16">
        <f>60000*70/100</f>
        <v>42000</v>
      </c>
      <c r="C11" s="16">
        <f>60000-B11</f>
        <v>18000</v>
      </c>
      <c r="D11" s="16">
        <f>0</f>
        <v>0</v>
      </c>
      <c r="E11" s="16">
        <v>0</v>
      </c>
      <c r="F11" s="16">
        <f>71500*70/100</f>
        <v>50050</v>
      </c>
      <c r="G11" s="16">
        <f>71500-F11</f>
        <v>21450</v>
      </c>
      <c r="H11" s="16">
        <f>51500*70/100</f>
        <v>36050</v>
      </c>
      <c r="I11" s="16">
        <f>51500-H11</f>
        <v>15450</v>
      </c>
      <c r="J11" s="16">
        <f t="shared" si="0"/>
        <v>128100</v>
      </c>
      <c r="K11" s="16">
        <f t="shared" si="0"/>
        <v>54900</v>
      </c>
      <c r="L11" s="16">
        <f t="shared" si="1"/>
        <v>183000</v>
      </c>
    </row>
    <row r="12" spans="1:12" ht="43.95" customHeight="1" thickBot="1" x14ac:dyDescent="0.35">
      <c r="A12" s="11" t="s">
        <v>51</v>
      </c>
      <c r="B12" s="16">
        <f>309000*70/100</f>
        <v>216300</v>
      </c>
      <c r="C12" s="16">
        <f>309000-B12</f>
        <v>92700</v>
      </c>
      <c r="D12" s="16">
        <f>59000*70/100</f>
        <v>41300</v>
      </c>
      <c r="E12" s="16">
        <f>59000-D12</f>
        <v>17700</v>
      </c>
      <c r="F12" s="16">
        <f>175000*70/100</f>
        <v>122500</v>
      </c>
      <c r="G12" s="16">
        <f>175000-F12</f>
        <v>52500</v>
      </c>
      <c r="H12" s="16">
        <f>310000*70/100</f>
        <v>217000</v>
      </c>
      <c r="I12" s="16">
        <f>310000-H12</f>
        <v>93000</v>
      </c>
      <c r="J12" s="16">
        <f t="shared" si="0"/>
        <v>597100</v>
      </c>
      <c r="K12" s="16">
        <f t="shared" si="0"/>
        <v>255900</v>
      </c>
      <c r="L12" s="16">
        <f t="shared" si="1"/>
        <v>853000</v>
      </c>
    </row>
    <row r="13" spans="1:12" ht="53.4" customHeight="1" thickBot="1" x14ac:dyDescent="0.35">
      <c r="A13" s="11" t="s">
        <v>52</v>
      </c>
      <c r="B13" s="16">
        <f>20000*70/100</f>
        <v>14000</v>
      </c>
      <c r="C13" s="16">
        <f>20000-B13</f>
        <v>6000</v>
      </c>
      <c r="D13" s="16">
        <f>195500*70/100</f>
        <v>136850</v>
      </c>
      <c r="E13" s="16">
        <f>195500-D13</f>
        <v>58650</v>
      </c>
      <c r="F13" s="16">
        <f>107309*70/100</f>
        <v>75116.3</v>
      </c>
      <c r="G13" s="16">
        <f>107309-F13</f>
        <v>32192.699999999997</v>
      </c>
      <c r="H13" s="16">
        <f>23500*70/100</f>
        <v>16450</v>
      </c>
      <c r="I13" s="16">
        <f>23500-H13</f>
        <v>7050</v>
      </c>
      <c r="J13" s="16">
        <f t="shared" si="0"/>
        <v>242416.3</v>
      </c>
      <c r="K13" s="16">
        <f t="shared" si="0"/>
        <v>103892.7</v>
      </c>
      <c r="L13" s="16">
        <f t="shared" si="1"/>
        <v>346309</v>
      </c>
    </row>
    <row r="14" spans="1:12" ht="18" customHeight="1" thickBot="1" x14ac:dyDescent="0.35">
      <c r="A14" s="12" t="s">
        <v>53</v>
      </c>
      <c r="B14" s="18">
        <f>SUM(B7:B13)</f>
        <v>524300</v>
      </c>
      <c r="C14" s="18">
        <f t="shared" ref="C14:L14" si="2">SUM(C7:C13)</f>
        <v>224700</v>
      </c>
      <c r="D14" s="18">
        <f t="shared" si="2"/>
        <v>456750</v>
      </c>
      <c r="E14" s="18">
        <f t="shared" si="2"/>
        <v>195750</v>
      </c>
      <c r="F14" s="18">
        <f t="shared" si="2"/>
        <v>501923.8</v>
      </c>
      <c r="G14" s="18">
        <f t="shared" si="2"/>
        <v>215110.2</v>
      </c>
      <c r="H14" s="18">
        <f t="shared" si="2"/>
        <v>479360</v>
      </c>
      <c r="I14" s="18">
        <f t="shared" si="2"/>
        <v>205440</v>
      </c>
      <c r="J14" s="18">
        <f t="shared" si="2"/>
        <v>1962333.8</v>
      </c>
      <c r="K14" s="18">
        <f t="shared" si="2"/>
        <v>841000.2</v>
      </c>
      <c r="L14" s="18">
        <f t="shared" si="2"/>
        <v>2803334</v>
      </c>
    </row>
    <row r="15" spans="1:12" ht="26.4" customHeight="1" thickBot="1" x14ac:dyDescent="0.35">
      <c r="A15" s="11" t="s">
        <v>54</v>
      </c>
      <c r="B15" s="16">
        <f>B14*7/100</f>
        <v>36701</v>
      </c>
      <c r="C15" s="16">
        <f t="shared" ref="C15:L15" si="3">C14*7/100</f>
        <v>15729</v>
      </c>
      <c r="D15" s="16">
        <f t="shared" si="3"/>
        <v>31972.5</v>
      </c>
      <c r="E15" s="16">
        <f t="shared" si="3"/>
        <v>13702.5</v>
      </c>
      <c r="F15" s="16">
        <f t="shared" si="3"/>
        <v>35134.665999999997</v>
      </c>
      <c r="G15" s="16">
        <f t="shared" si="3"/>
        <v>15057.714000000002</v>
      </c>
      <c r="H15" s="16">
        <f t="shared" si="3"/>
        <v>33555.199999999997</v>
      </c>
      <c r="I15" s="16">
        <f t="shared" si="3"/>
        <v>14380.8</v>
      </c>
      <c r="J15" s="16">
        <f t="shared" si="3"/>
        <v>137363.36600000001</v>
      </c>
      <c r="K15" s="16">
        <f t="shared" si="3"/>
        <v>58870.013999999996</v>
      </c>
      <c r="L15" s="16">
        <f t="shared" si="3"/>
        <v>196233.38</v>
      </c>
    </row>
    <row r="16" spans="1:12" ht="15" thickBot="1" x14ac:dyDescent="0.35">
      <c r="A16" s="12" t="s">
        <v>2</v>
      </c>
      <c r="B16" s="18">
        <f>B14+B15</f>
        <v>561001</v>
      </c>
      <c r="C16" s="18">
        <f t="shared" ref="C16:K16" si="4">C14+C15</f>
        <v>240429</v>
      </c>
      <c r="D16" s="18">
        <f t="shared" si="4"/>
        <v>488722.5</v>
      </c>
      <c r="E16" s="18">
        <f t="shared" si="4"/>
        <v>209452.5</v>
      </c>
      <c r="F16" s="18">
        <f t="shared" si="4"/>
        <v>537058.46600000001</v>
      </c>
      <c r="G16" s="18">
        <f t="shared" si="4"/>
        <v>230167.91400000002</v>
      </c>
      <c r="H16" s="18">
        <f t="shared" si="4"/>
        <v>512915.20000000001</v>
      </c>
      <c r="I16" s="18">
        <f t="shared" si="4"/>
        <v>219820.79999999999</v>
      </c>
      <c r="J16" s="18">
        <f t="shared" si="4"/>
        <v>2099697.1660000002</v>
      </c>
      <c r="K16" s="18">
        <f t="shared" si="4"/>
        <v>899870.21399999992</v>
      </c>
      <c r="L16" s="18">
        <f>L14+L15</f>
        <v>2999567.38</v>
      </c>
    </row>
    <row r="17" spans="2:12" x14ac:dyDescent="0.3">
      <c r="B17" s="19"/>
      <c r="C17" s="19"/>
      <c r="D17" s="19"/>
      <c r="E17" s="19"/>
      <c r="F17" s="19"/>
      <c r="G17" s="19"/>
      <c r="H17" s="19"/>
      <c r="I17" s="19"/>
      <c r="J17" s="19"/>
      <c r="K17" s="19"/>
      <c r="L17" s="20"/>
    </row>
  </sheetData>
  <mergeCells count="6">
    <mergeCell ref="L5:L6"/>
    <mergeCell ref="A5:A6"/>
    <mergeCell ref="B5:C5"/>
    <mergeCell ref="D5:E5"/>
    <mergeCell ref="F5:G5"/>
    <mergeCell ref="H5:I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Windows User</cp:lastModifiedBy>
  <cp:lastPrinted>2017-12-11T22:51:21Z</cp:lastPrinted>
  <dcterms:created xsi:type="dcterms:W3CDTF">2017-11-15T21:17:43Z</dcterms:created>
  <dcterms:modified xsi:type="dcterms:W3CDTF">2018-11-15T17:35:44Z</dcterms:modified>
</cp:coreProperties>
</file>