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ppoline.uwimbabazi\Desktop\PBF Secretariat\PBF secretariat\Rapports et CR\PNUD-UNICEF X-Border\Version consolide\"/>
    </mc:Choice>
  </mc:AlternateContent>
  <xr:revisionPtr revIDLastSave="0" documentId="13_ncr:1_{F3250C88-C251-4093-80D6-F4A3E22702E8}" xr6:coauthVersionLast="41" xr6:coauthVersionMax="41" xr10:uidLastSave="{00000000-0000-0000-0000-000000000000}"/>
  <bookViews>
    <workbookView xWindow="-110" yWindow="-110" windowWidth="19420" windowHeight="10420" xr2:uid="{558BADD4-0BD3-4781-830C-BBA85977684A}"/>
  </bookViews>
  <sheets>
    <sheet name="Budget par produit" sheetId="2" r:id="rId1"/>
    <sheet name="Budget par catégorie" sheetId="3"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6" i="2" l="1"/>
  <c r="L17" i="2"/>
  <c r="J18" i="3"/>
  <c r="J19" i="3"/>
  <c r="J21" i="3"/>
  <c r="J22" i="3"/>
  <c r="J23" i="3"/>
  <c r="J24" i="3"/>
  <c r="J25" i="3"/>
  <c r="J26" i="3"/>
  <c r="J27" i="3"/>
  <c r="K18" i="3"/>
  <c r="K19" i="3"/>
  <c r="K21" i="3"/>
  <c r="K22" i="3"/>
  <c r="K23" i="3"/>
  <c r="K24" i="3"/>
  <c r="K25" i="3"/>
  <c r="K26" i="3"/>
  <c r="K27" i="3"/>
  <c r="U25" i="3"/>
  <c r="U26" i="3"/>
  <c r="U27" i="3"/>
  <c r="U29" i="3"/>
  <c r="H18" i="3"/>
  <c r="H19" i="3"/>
  <c r="H21" i="3"/>
  <c r="H22" i="3"/>
  <c r="H23" i="3"/>
  <c r="H24" i="3"/>
  <c r="H25" i="3"/>
  <c r="H26" i="3"/>
  <c r="H27" i="3"/>
  <c r="I18" i="3"/>
  <c r="I19" i="3"/>
  <c r="I21" i="3"/>
  <c r="I22" i="3"/>
  <c r="I23" i="3"/>
  <c r="I24" i="3"/>
  <c r="I25" i="3"/>
  <c r="I26" i="3"/>
  <c r="I27" i="3"/>
  <c r="T25" i="3"/>
  <c r="T26" i="3"/>
  <c r="T27" i="3"/>
  <c r="T29" i="3"/>
  <c r="F18" i="3"/>
  <c r="F19" i="3"/>
  <c r="F20" i="3"/>
  <c r="F21" i="3"/>
  <c r="F22" i="3"/>
  <c r="F23" i="3"/>
  <c r="F24" i="3"/>
  <c r="F25" i="3"/>
  <c r="F26" i="3"/>
  <c r="F27" i="3"/>
  <c r="G18" i="3"/>
  <c r="G19" i="3"/>
  <c r="G20" i="3"/>
  <c r="G21" i="3"/>
  <c r="G22" i="3"/>
  <c r="G23" i="3"/>
  <c r="G24" i="3"/>
  <c r="G25" i="3"/>
  <c r="G26" i="3"/>
  <c r="G27" i="3"/>
  <c r="S25" i="3"/>
  <c r="S26" i="3"/>
  <c r="S27" i="3"/>
  <c r="S29" i="3"/>
  <c r="B18" i="3"/>
  <c r="B19" i="3"/>
  <c r="B20" i="3"/>
  <c r="B21" i="3"/>
  <c r="B22" i="3"/>
  <c r="B23" i="3"/>
  <c r="B24" i="3"/>
  <c r="B25" i="3"/>
  <c r="B26" i="3"/>
  <c r="B27" i="3"/>
  <c r="C18" i="3"/>
  <c r="C19" i="3"/>
  <c r="C20" i="3"/>
  <c r="C21" i="3"/>
  <c r="C22" i="3"/>
  <c r="C23" i="3"/>
  <c r="C24" i="3"/>
  <c r="C25" i="3"/>
  <c r="C26" i="3"/>
  <c r="C27" i="3"/>
  <c r="R25" i="3"/>
  <c r="R26" i="3"/>
  <c r="R27" i="3"/>
  <c r="R29" i="3"/>
  <c r="V26" i="3"/>
  <c r="V18" i="3"/>
  <c r="V19" i="3"/>
  <c r="V20" i="3"/>
  <c r="V21" i="3"/>
  <c r="V22" i="3"/>
  <c r="V23" i="3"/>
  <c r="V24" i="3"/>
  <c r="V25" i="3"/>
  <c r="V27" i="3"/>
  <c r="O18" i="3"/>
  <c r="P18" i="3"/>
  <c r="Q18" i="3"/>
  <c r="O19" i="3"/>
  <c r="P19" i="3"/>
  <c r="Q19" i="3"/>
  <c r="O20" i="3"/>
  <c r="P20" i="3"/>
  <c r="Q20" i="3"/>
  <c r="O21" i="3"/>
  <c r="P21" i="3"/>
  <c r="Q21" i="3"/>
  <c r="O22" i="3"/>
  <c r="P22" i="3"/>
  <c r="Q22" i="3"/>
  <c r="O23" i="3"/>
  <c r="P23" i="3"/>
  <c r="Q23" i="3"/>
  <c r="O24" i="3"/>
  <c r="P24" i="3"/>
  <c r="Q24" i="3"/>
  <c r="Q25" i="3"/>
  <c r="Q26" i="3"/>
  <c r="Q27" i="3"/>
  <c r="P25" i="3"/>
  <c r="P26" i="3"/>
  <c r="P27" i="3"/>
  <c r="O25" i="3"/>
  <c r="O26" i="3"/>
  <c r="O27" i="3"/>
  <c r="D18" i="3"/>
  <c r="L18" i="3"/>
  <c r="E18" i="3"/>
  <c r="M18" i="3"/>
  <c r="N18" i="3"/>
  <c r="D19" i="3"/>
  <c r="L19" i="3"/>
  <c r="E19" i="3"/>
  <c r="M19" i="3"/>
  <c r="N19" i="3"/>
  <c r="D20" i="3"/>
  <c r="L20" i="3"/>
  <c r="E20" i="3"/>
  <c r="M20" i="3"/>
  <c r="N20" i="3"/>
  <c r="D21" i="3"/>
  <c r="L21" i="3"/>
  <c r="E21" i="3"/>
  <c r="M21" i="3"/>
  <c r="N21" i="3"/>
  <c r="D22" i="3"/>
  <c r="L22" i="3"/>
  <c r="M22" i="3"/>
  <c r="N22" i="3"/>
  <c r="D23" i="3"/>
  <c r="L23" i="3"/>
  <c r="E23" i="3"/>
  <c r="M23" i="3"/>
  <c r="N23" i="3"/>
  <c r="D24" i="3"/>
  <c r="L24" i="3"/>
  <c r="E24" i="3"/>
  <c r="M24" i="3"/>
  <c r="N24" i="3"/>
  <c r="N25" i="3"/>
  <c r="N26" i="3"/>
  <c r="N27" i="3"/>
  <c r="M25" i="3"/>
  <c r="M26" i="3"/>
  <c r="M27" i="3"/>
  <c r="L25" i="3"/>
  <c r="L26" i="3"/>
  <c r="L27" i="3"/>
  <c r="E25" i="3"/>
  <c r="E26" i="3"/>
  <c r="E27" i="3"/>
  <c r="D25" i="3"/>
  <c r="D26" i="3"/>
  <c r="D27" i="3"/>
  <c r="C65" i="2"/>
  <c r="C64" i="2"/>
  <c r="C63" i="2"/>
  <c r="C62" i="2"/>
  <c r="L61" i="2"/>
  <c r="K61" i="2"/>
  <c r="J61" i="2"/>
  <c r="I61" i="2"/>
  <c r="H61" i="2"/>
  <c r="L59" i="2"/>
  <c r="K59" i="2"/>
  <c r="J59" i="2"/>
  <c r="I59" i="2"/>
  <c r="H59" i="2"/>
  <c r="F59" i="2"/>
  <c r="E59" i="2"/>
  <c r="D59" i="2"/>
  <c r="C59" i="2"/>
  <c r="L58" i="2"/>
  <c r="K58" i="2"/>
  <c r="J58" i="2"/>
  <c r="I58" i="2"/>
  <c r="H58" i="2"/>
  <c r="F58" i="2"/>
  <c r="E58" i="2"/>
  <c r="D58" i="2"/>
  <c r="C58" i="2"/>
  <c r="L57" i="2"/>
  <c r="K57" i="2"/>
  <c r="J57" i="2"/>
  <c r="I57" i="2"/>
  <c r="H57" i="2"/>
  <c r="F57" i="2"/>
  <c r="E57" i="2"/>
  <c r="D57" i="2"/>
  <c r="C57" i="2"/>
  <c r="L56" i="2"/>
  <c r="J56" i="2"/>
  <c r="L55" i="2"/>
  <c r="J55" i="2"/>
  <c r="L54" i="2"/>
  <c r="J54" i="2"/>
  <c r="L53" i="2"/>
  <c r="K53" i="2"/>
  <c r="J53" i="2"/>
  <c r="I53" i="2"/>
  <c r="H53" i="2"/>
  <c r="G53" i="2"/>
  <c r="F53" i="2"/>
  <c r="E53" i="2"/>
  <c r="D53" i="2"/>
  <c r="C53" i="2"/>
  <c r="L52" i="2"/>
  <c r="L51" i="2"/>
  <c r="L50" i="2"/>
  <c r="L49" i="2"/>
  <c r="K49" i="2"/>
  <c r="J49" i="2"/>
  <c r="I49" i="2"/>
  <c r="H49" i="2"/>
  <c r="G49" i="2"/>
  <c r="F49" i="2"/>
  <c r="E49" i="2"/>
  <c r="D49" i="2"/>
  <c r="C49" i="2"/>
  <c r="L48" i="2"/>
  <c r="L47" i="2"/>
  <c r="L46" i="2"/>
  <c r="L45" i="2"/>
  <c r="L44" i="2"/>
  <c r="K44" i="2"/>
  <c r="J44" i="2"/>
  <c r="I44" i="2"/>
  <c r="H44" i="2"/>
  <c r="G44" i="2"/>
  <c r="F44" i="2"/>
  <c r="E44" i="2"/>
  <c r="D44" i="2"/>
  <c r="C44" i="2"/>
  <c r="L43" i="2"/>
  <c r="L42" i="2"/>
  <c r="L41" i="2"/>
  <c r="L40" i="2"/>
  <c r="L39" i="2"/>
  <c r="L38" i="2"/>
  <c r="K38" i="2"/>
  <c r="J38" i="2"/>
  <c r="I38" i="2"/>
  <c r="H38" i="2"/>
  <c r="G38" i="2"/>
  <c r="F38" i="2"/>
  <c r="E38" i="2"/>
  <c r="D38" i="2"/>
  <c r="C38" i="2"/>
  <c r="L37" i="2"/>
  <c r="L36" i="2"/>
  <c r="K36" i="2"/>
  <c r="J36" i="2"/>
  <c r="I36" i="2"/>
  <c r="H36" i="2"/>
  <c r="G36" i="2"/>
  <c r="F36" i="2"/>
  <c r="E36" i="2"/>
  <c r="D36" i="2"/>
  <c r="C36" i="2"/>
  <c r="L34" i="2"/>
  <c r="K34" i="2"/>
  <c r="J34" i="2"/>
  <c r="I34" i="2"/>
  <c r="H34" i="2"/>
  <c r="G34" i="2"/>
  <c r="F34" i="2"/>
  <c r="E34" i="2"/>
  <c r="D34" i="2"/>
  <c r="C34" i="2"/>
  <c r="L33" i="2"/>
  <c r="L32" i="2"/>
  <c r="L31" i="2"/>
  <c r="L30" i="2"/>
  <c r="L29" i="2"/>
  <c r="L28" i="2"/>
  <c r="L27" i="2"/>
  <c r="K27" i="2"/>
  <c r="J27" i="2"/>
  <c r="I27" i="2"/>
  <c r="H27" i="2"/>
  <c r="G27" i="2"/>
  <c r="F27" i="2"/>
  <c r="E27" i="2"/>
  <c r="D27" i="2"/>
  <c r="C27" i="2"/>
  <c r="L26" i="2"/>
  <c r="L25" i="2"/>
  <c r="L24" i="2"/>
  <c r="L23" i="2"/>
  <c r="K23" i="2"/>
  <c r="J23" i="2"/>
  <c r="I23" i="2"/>
  <c r="H23" i="2"/>
  <c r="G23" i="2"/>
  <c r="F23" i="2"/>
  <c r="E23" i="2"/>
  <c r="D23" i="2"/>
  <c r="C23" i="2"/>
  <c r="L22" i="2"/>
  <c r="L21" i="2"/>
  <c r="L20" i="2"/>
  <c r="L19" i="2"/>
  <c r="L18" i="2"/>
  <c r="K17" i="2"/>
  <c r="J17" i="2"/>
  <c r="I17" i="2"/>
  <c r="H17" i="2"/>
  <c r="G17" i="2"/>
  <c r="F17" i="2"/>
  <c r="E17" i="2"/>
  <c r="D17" i="2"/>
  <c r="C17" i="2"/>
</calcChain>
</file>

<file path=xl/sharedStrings.xml><?xml version="1.0" encoding="utf-8"?>
<sst xmlns="http://schemas.openxmlformats.org/spreadsheetml/2006/main" count="153" uniqueCount="136">
  <si>
    <t>Nombre de résultat/ produit</t>
  </si>
  <si>
    <t>Formulation du résultat/ produit/ activité</t>
  </si>
  <si>
    <t>Budget par agence recipiendiaire en USD - Veuillez ajouter une nouvelle colonne par agence recipiendiaire</t>
  </si>
  <si>
    <t xml:space="preserve">Pourcentage du budget pour chaque produit ou activite reserve pour action directe sur le genre (cas echeant) </t>
  </si>
  <si>
    <t>Niveau de depense/ engagement actuel en USD (a remplir au moment des rapports de projet)</t>
  </si>
  <si>
    <t>Notes quelconque le cas echeant (.e.g sur types des entrants ou justification du budget)</t>
  </si>
  <si>
    <t>PNUD-TCD</t>
  </si>
  <si>
    <t>UNICEF-TCD</t>
  </si>
  <si>
    <t>PNUD-CMN</t>
  </si>
  <si>
    <t>UNICEF-CMN</t>
  </si>
  <si>
    <t>Total</t>
  </si>
  <si>
    <t>Résultat 1: Le renforcement des mécanismes transfrontaliers, inter et intracommunautaires et l’amélioration de la confiance entre les forces de sécurité et les populations contribuent à une détection précoce et à l’atténuation pacifique des conflits et de l’extrémisme violent dans les zones ciblées, avec une attention particulière portée à la participation des femmes et des jeunes.</t>
  </si>
  <si>
    <t>Produit 1.1:</t>
  </si>
  <si>
    <t>Les populations transfrontalières sont dotées des compétences requises pour prévenir l’extrémisme violent, en particulier via la participation des femmes et des jeunes</t>
  </si>
  <si>
    <t>Activite 1.1.1:</t>
  </si>
  <si>
    <t>Identifier les leaders émergents parmi les jeunes et les femmes, les membres des organisations communautaires et des organisations de la société civile locales et les former à la détection des signes avant-coureurs et à la prévention de l’extrémisme violent, et inciter les habitants, en tant qu’artisans de la paix communautaires, à prévenir l’extrémisme violent et les conflits</t>
  </si>
  <si>
    <t>Activite 1.1.2:</t>
  </si>
  <si>
    <t>Organiser des échanges entre les dirigeants et les organisations communautaires partenaires, y compris les femmes et les jeunes des deux pays, sur les menaces communes qui pèsent sur la cohésion sociale et sur les meilleures pratiques pour y remédier, ainsi que pour échanger des informations avec des communautés du Tchad et du Cameroun sur les meilleures pratiques mondiales/expériences positives en matière de prévention de l’extrémisme violent et des conflits</t>
  </si>
  <si>
    <t>Activite 1.1.3:</t>
  </si>
  <si>
    <t>Effectuer une analyse des risques sexospécifiques pour ce qui concerne l’extrémisme violent et former les participants aux mécanismes de paix communautaires aux aspects sexospécifiques de l’extrémisme violent</t>
  </si>
  <si>
    <t>Activite 1.1.4:</t>
  </si>
  <si>
    <t>Further gender risks analisis on VE and targeted areas to inform project activities</t>
  </si>
  <si>
    <t>Activite 1.1.5:</t>
  </si>
  <si>
    <t>Train members of community peace mechanisms on gender specific aspects of VE</t>
  </si>
  <si>
    <t>Produit 1.2:</t>
  </si>
  <si>
    <t>Renforcer la confiance entre les chefs traditionnels et locaux et les acteurs de la sécurité pour améliorer les relations entre la population et les forces de sécurité</t>
  </si>
  <si>
    <t>Activite 1.2.1:</t>
  </si>
  <si>
    <t>Organiser le dialogue entre les leaders communautaires (jeunes, femmes, chefs religieux et traditionnels) et les acteurs de la sécurité pour améliorer la sécurité de la communauté, en tenant compte du rôle que jouent les femmes dans la sécurité; et les acteurs de la sécurité sur droits de l’homme, égalité homme/femme, protection de l’enfant.</t>
  </si>
  <si>
    <t>Activite 1.2.2:</t>
  </si>
  <si>
    <t>Organiser des activités conjointes, notamment ludiques, sportives, culturelles et bénévoles, réunissant les habitants des localités ciblées et les forces armées/acteurs de la sécurité, ainsi que des activités visant à prévenir le recrutement d’enfants</t>
  </si>
  <si>
    <t xml:space="preserve">Activite 1.2.3. </t>
  </si>
  <si>
    <t>Organiser des formations des communautés et des forces de sécurité sur les droits de l'homme et VBG</t>
  </si>
  <si>
    <t>Produit 1.3:</t>
  </si>
  <si>
    <t>Les mecanismes de paix communautaires sont mis en relation avec les mécanismes d'alerte précoce et de réponse rapide</t>
  </si>
  <si>
    <t>Activite 1.3.1:</t>
  </si>
  <si>
    <t>Améliorer les capacités des systèmes locaux d’alerte précoce et de réponse rapide tout en veillant à la participation des chefs traditionnels, des femmes et des jeunes grâce à une formation à l’analyse et à l’alerte</t>
  </si>
  <si>
    <t>Activite 1.3.2:</t>
  </si>
  <si>
    <t>Concevoir des supports et des guides dans les langues locales, faciles à utiliser pour la gestion des conflits et les mécanismes d’alerte précoce et de réponse rapide, qui seront produits et mis à la disposition des chefs traditionnels locaux et des services de l’État au niveau local (Tchad)</t>
  </si>
  <si>
    <t>Activite 1.3.3:</t>
  </si>
  <si>
    <t>Tester en situation réelle le tableau de bord du PNUD pour le risque de crise grâce à une cartographie des cas d’extrémisme violent dans les communautés cibles (par l'université de Maroua/Cameroun)</t>
  </si>
  <si>
    <t>Activite 1.3.4:</t>
  </si>
  <si>
    <t>Soutenir la collaboration entre les établissements d’enseignement et les instituts de recherche des deux pays, afin de produire des informations et des analyses, mais aussi de faciliter l’échange de connaissances et d’améliorer la compréhension des dynamiques transfrontalières et des risques émergents d’extrémisme violent (deux colloques universitaires/PNUD Tchad et établissement d'un lien de cooperation entre l'Université de Maroua et et celui de Ndjamena/PNUD CMR)</t>
  </si>
  <si>
    <t>Activite 1.3.5:</t>
  </si>
  <si>
    <t xml:space="preserve">Documenter et partager les meilleures pratiques des histoires de réussites, et les défis en matière de prévention/Atténuation des conflits et des PVE, sur les localités transfrontalières cibles. </t>
  </si>
  <si>
    <t>Activite 1.3.6:</t>
  </si>
  <si>
    <t>Renforcer les capacités des groupes d'autodéfense en matière d'alerte précoce et de défense des droits de l'homme en étroite collaboration avec les forces de sécurité et de défense.</t>
  </si>
  <si>
    <t>TOTAL $ FOR Resultat 1:</t>
  </si>
  <si>
    <t>Resultat 2:  Le renforcement des capacités et des opportunités pour que les catégories de populations vulnérables, en particulier les jeunes et les femmes, contribue à la paix et à la stabilité</t>
  </si>
  <si>
    <t>Produit 2.1:</t>
  </si>
  <si>
    <t>Amélioration de l’accès à d’autres opportunités socio-économiques pour les jeunes, hommes et femmes</t>
  </si>
  <si>
    <t>Activite 2.1.1:</t>
  </si>
  <si>
    <t>Mettre en place des activités génératrices de revenus sur la durée (agriculture, élevage, pêche) grâce à un appui sans faille à la création de capital (programmes « argent contre travail »), au recours aux établissements financiers, à la formation professionnelle et aux compétences pratiques, ainsi qu’au soutien aux petites entreprises (création/suivi)</t>
  </si>
  <si>
    <t>Produit 2.2:</t>
  </si>
  <si>
    <t xml:space="preserve"> Élargissement de l’espace de dialogue et de l’appui aux contre-discours/discours alternatifs, par exemple par le biais des radios communautaires, du théâtre, des séries télévisées</t>
  </si>
  <si>
    <t>Activite 2.2.1:</t>
  </si>
  <si>
    <t>Former les journalistes et autres acteurs des médias à la prévention des conflits et de l’extrémisme violent</t>
  </si>
  <si>
    <t>Activite 2.2.2:</t>
  </si>
  <si>
    <t>Organiser des émissions de radio sur la prévention des conflits et de l’extrémisme violent, ainsi que sur l’éducation à la paix, en ciblant notamment les enfants non scolarisés</t>
  </si>
  <si>
    <t>Activite 2.2.3:</t>
  </si>
  <si>
    <t>Former les responsables de clubs d’écoute radiophonique au management et aux activités du programme</t>
  </si>
  <si>
    <t>Activite 2.2.4:</t>
  </si>
  <si>
    <t>Organiser des  sceance de présentations théâtrales interactives, au niveau local, sur la prévention de l’extrémisme violent dans les écoles, en faisant participer les associations de jeunes et de parents d’élèves</t>
  </si>
  <si>
    <t>Activite 2.2.5:</t>
  </si>
  <si>
    <t>Aider les jeunes reporters des deux côtés de la frontière à élaborer des émissions de radio communautaires, à faciliter la diffusion de la parole des jeunes et d’un contre-discours</t>
  </si>
  <si>
    <t>Produit 2.3:</t>
  </si>
  <si>
    <t xml:space="preserve"> Les jeunes ont les moyens de prévenir et de réagir à la violence dans leur communauté, et de devenir des artisans de la paix</t>
  </si>
  <si>
    <t>Activite 2.3.1:</t>
  </si>
  <si>
    <t>Former les membres de la communauté et les organisations de la société civile à apporter un soutien psychosocial bien structuré, à dispenser un enseignement non formel et à mener des activités de renforcement des compétences pratiques des jeunes, y compris par le sport, à des fins de consolidation de la paix.</t>
  </si>
  <si>
    <t>Activite 2.3.2:</t>
  </si>
  <si>
    <t>Organiser des compétitions intercommunautaires destinées aux jeunes afin de les rapprocher et de renforcer le dialogue transfrontalier, tout en diffusant les messages positifs du sport auprès de l’ensemble de la communauté</t>
  </si>
  <si>
    <t>Activite 2.3.3:</t>
  </si>
  <si>
    <t>Former les jeunes et les responsables d’organisations communautaires et d’OSC à la conduite d’un dialogue intergénérationnel prônant des valeurs sociales positives, changer les normes relatives à la masculinité, et promouvoir la non-violence et l’égalité hommes-femmes auprès des jeunes et des chefs traditionnels et religieux</t>
  </si>
  <si>
    <t>Activite 2.3.4:</t>
  </si>
  <si>
    <t>Mobiliser les chefs traditionnels en faveur d’une participation active/obligatoire des jeunes et des femmes aux processus de consolidation de la paix et de gouvernance locale</t>
  </si>
  <si>
    <t>Produit 2.4:</t>
  </si>
  <si>
    <t>La capacité des établissements d’enseignement formel et des écoles coraniques à repérer et aider les enfants/jeunes vulnérables est renforcée</t>
  </si>
  <si>
    <t>Activite 2.4.1:</t>
  </si>
  <si>
    <t>Former les enseignants des écoles coraniques afin qu’ils puissent repérer et aider les jeunes vulnérables, de manière à prévenir l’extrémisme violent</t>
  </si>
  <si>
    <t>Activite 2.4.2:</t>
  </si>
  <si>
    <t>Former les enseignants des établissements d’enseignement formel au soutien psychosocial et aux méthodes de réduction des risques de conflit, de sorte à mettre en place des plans de sécurité pour les écoles et de créer un environnement d’apprentissage protecteur, et à intégrer l’éducation à la paix dans les programmes scolaires et l’enseignement</t>
  </si>
  <si>
    <t>Activite 2.4.3:</t>
  </si>
  <si>
    <t>Organiser des débats entre écoles sur la paix et l’éducation</t>
  </si>
  <si>
    <t>TOTAL $ FOR Resultat 2:</t>
  </si>
  <si>
    <t>Cout de personnel du projet si pas inclus dans les activites si-dessus</t>
  </si>
  <si>
    <t>Couts operationnels si pas inclus dans les activites si-dessus</t>
  </si>
  <si>
    <t>Budget S&amp;E du projet</t>
  </si>
  <si>
    <t>SOUS TOTAL DU BUDGET DE PROJET</t>
  </si>
  <si>
    <t>Couts indirects (7%):</t>
  </si>
  <si>
    <t>BUDGET TOTAL DU PROJET:</t>
  </si>
  <si>
    <t>Note:</t>
  </si>
  <si>
    <t>Niveau de dépenses</t>
  </si>
  <si>
    <t>Balance:</t>
  </si>
  <si>
    <t>PNUD Tchad</t>
  </si>
  <si>
    <t>UNICEF Tchad</t>
  </si>
  <si>
    <t>PNUD Cameroun</t>
  </si>
  <si>
    <t>UNICEF Cameroun</t>
  </si>
  <si>
    <t>Tableau 2 - Budget de projet PBF par categorie de cout de l'ONU</t>
  </si>
  <si>
    <t>CATEGORIES</t>
  </si>
  <si>
    <t xml:space="preserve">Agence Recipiendiaire PNUD Tchad </t>
  </si>
  <si>
    <t>Agence Recipiendiaire UNICEF</t>
  </si>
  <si>
    <t>Agence Recipiendiaire UNICEF Tchad (Modifications)</t>
  </si>
  <si>
    <t>Agence Recipiendiaire PNUD CMRN</t>
  </si>
  <si>
    <t>Agence Recipiendiaire UNICEF CMRN</t>
  </si>
  <si>
    <t>Total tranche 1</t>
  </si>
  <si>
    <t>Total tranche 2</t>
  </si>
  <si>
    <t xml:space="preserve"> TOTAL PROJET</t>
  </si>
  <si>
    <t>Changement liés aux modifications  de l'UNICEF Tchad</t>
  </si>
  <si>
    <t>RAPPORT/DEPENSES A LA DATE DE CLOTURE DU PROJET (31 octobre 2019)</t>
  </si>
  <si>
    <t>Tranche 1 (70%)</t>
  </si>
  <si>
    <t>Tranche 2 (30%)</t>
  </si>
  <si>
    <t xml:space="preserve"> PNUD Tchad </t>
  </si>
  <si>
    <t xml:space="preserve"> UNICEF Tchad </t>
  </si>
  <si>
    <t xml:space="preserve"> PNUD CMRN</t>
  </si>
  <si>
    <t xml:space="preserve"> UNICEF CMRN</t>
  </si>
  <si>
    <t>TOTAL</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</si>
  <si>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</si>
  <si>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</si>
  <si>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</si>
  <si>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</si>
  <si>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</si>
  <si>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</si>
  <si>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</si>
  <si>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</si>
  <si>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</si>
  <si>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9. Revenu d’intérêt gagné (Cas échéant)</t>
  </si>
  <si>
    <t>10. Remboursements (Fin du projet)</t>
  </si>
  <si>
    <r>
      <rPr>
        <b/>
        <u/>
        <sz val="11"/>
        <color rgb="FFFF0000"/>
        <rFont val="Calibri"/>
        <family val="2"/>
        <scheme val="minor"/>
      </rPr>
      <t>Note:</t>
    </r>
    <r>
      <rPr>
        <sz val="11"/>
        <color rgb="FFFF0000"/>
        <rFont val="Calibri"/>
        <family val="2"/>
        <scheme val="minor"/>
      </rPr>
      <t xml:space="preserve"> La partie colorée en jaune indique les modifications par rapport aux données initiales colorée en bleu.</t>
    </r>
  </si>
  <si>
    <t>RAPPORT FINANCIER DE FIN DU PROJET PBF/IRF-191</t>
  </si>
  <si>
    <r>
      <rPr>
        <b/>
        <sz val="12"/>
        <color theme="1"/>
        <rFont val="Calibri"/>
        <family val="2"/>
        <scheme val="minor"/>
      </rPr>
      <t>Titre du projet:</t>
    </r>
    <r>
      <rPr>
        <sz val="12"/>
        <color theme="1"/>
        <rFont val="Calibri"/>
        <family val="2"/>
        <scheme val="minor"/>
      </rPr>
      <t xml:space="preserve"> Soutenir les mécanismes de consolidation de la paix au niveau communautaire et l’inclusion des jeunes dans les zones situées à la frontière entre le Tchad et le Cameroun</t>
    </r>
  </si>
  <si>
    <t>Tableau 1 - Budget du projet PBF par resultat, produit et activité</t>
  </si>
  <si>
    <r>
      <rPr>
        <b/>
        <sz val="11"/>
        <color theme="1"/>
        <rFont val="Calibri"/>
        <family val="2"/>
        <scheme val="minor"/>
      </rPr>
      <t>Titre du projet:</t>
    </r>
    <r>
      <rPr>
        <sz val="11"/>
        <color theme="1"/>
        <rFont val="Calibri"/>
        <family val="2"/>
        <scheme val="minor"/>
      </rPr>
      <t xml:space="preserve"> Soutenir les mécanismes de consolidation de la paix au niveau communautaire et l’inclusion des jeunes dans les zones situées à la frontière entre le Tchad et le Cameroun</t>
    </r>
  </si>
  <si>
    <r>
      <t xml:space="preserve">Numero d'identification du projet (MPTF reference number): </t>
    </r>
    <r>
      <rPr>
        <sz val="11"/>
        <color theme="1"/>
        <rFont val="Calibri"/>
        <family val="2"/>
        <scheme val="minor"/>
      </rPr>
      <t>00108016</t>
    </r>
  </si>
  <si>
    <r>
      <t xml:space="preserve">Numero d'identification du projet (MPTF reference number): </t>
    </r>
    <r>
      <rPr>
        <sz val="12"/>
        <color theme="1"/>
        <rFont val="Calibri"/>
        <family val="2"/>
        <scheme val="minor"/>
      </rPr>
      <t>00108016</t>
    </r>
  </si>
  <si>
    <t>Niveau Global</t>
  </si>
  <si>
    <r>
      <t xml:space="preserve">Période de rapport: </t>
    </r>
    <r>
      <rPr>
        <sz val="11"/>
        <color theme="1"/>
        <rFont val="Calibri"/>
        <family val="2"/>
        <scheme val="minor"/>
      </rPr>
      <t>5 décémbre 2017-31 octobre 2019</t>
    </r>
  </si>
  <si>
    <r>
      <t xml:space="preserve">Période de rapport: </t>
    </r>
    <r>
      <rPr>
        <sz val="12"/>
        <color theme="1"/>
        <rFont val="Calibri"/>
        <family val="2"/>
        <scheme val="minor"/>
      </rPr>
      <t>5 décémbre 2017-31 Octobre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</si>
</sst>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b/>
      <sz val="12"/>
      <color theme="1"/>
      <name val="Calibri"/>
      <family val="2"/>
      <scheme val="minor"/>
    </font>
    <font>
      <sz val="9"/>
      <name val="Calibri"/>
      <family val="2"/>
      <scheme val="minor"/>
    </font>
    <font>
      <b/>
      <sz val="9"/>
      <color theme="1"/>
      <name val="Calibri"/>
      <family val="2"/>
      <scheme val="minor"/>
    </font>
    <font>
      <b/>
      <sz val="16"/>
      <color theme="1"/>
      <name val="Calibri"/>
      <family val="2"/>
      <scheme val="minor"/>
    </font>
    <font>
      <b/>
      <u/>
      <sz val="16"/>
      <color theme="1"/>
      <name val="Calibri"/>
      <family val="2"/>
      <scheme val="minor"/>
    </font>
    <font>
      <b/>
      <sz val="14"/>
      <color theme="1"/>
      <name val="Calibri"/>
      <family val="2"/>
      <scheme val="minor"/>
    </font>
    <font>
      <b/>
      <sz val="12"/>
      <color theme="1"/>
      <name val="Times New Roman"/>
      <family val="1"/>
    </font>
    <font>
      <sz val="12"/>
      <color theme="1"/>
      <name val="Times New Roman"/>
      <family val="1"/>
    </font>
    <font>
      <sz val="11"/>
      <name val="Calibri"/>
      <family val="2"/>
      <scheme val="minor"/>
    </font>
    <font>
      <b/>
      <u/>
      <sz val="11"/>
      <color theme="1"/>
      <name val="Calibri"/>
      <family val="2"/>
      <scheme val="minor"/>
    </font>
    <font>
      <b/>
      <sz val="11"/>
      <color rgb="FFFF0000"/>
      <name val="Calibri"/>
      <family val="2"/>
      <scheme val="minor"/>
    </font>
    <font>
      <b/>
      <sz val="10"/>
      <color theme="1"/>
      <name val="Calibri"/>
      <family val="2"/>
    </font>
    <font>
      <b/>
      <sz val="10"/>
      <color rgb="FFFF0000"/>
      <name val="Calibri"/>
      <family val="2"/>
    </font>
    <font>
      <b/>
      <sz val="10"/>
      <name val="Calibri"/>
      <family val="2"/>
    </font>
    <font>
      <sz val="10"/>
      <color theme="1"/>
      <name val="Times New Roman"/>
      <family val="1"/>
    </font>
    <font>
      <sz val="10"/>
      <color theme="1"/>
      <name val="Calibri"/>
      <family val="2"/>
    </font>
    <font>
      <sz val="10"/>
      <color rgb="FFFF0000"/>
      <name val="Calibri"/>
      <family val="2"/>
    </font>
    <font>
      <sz val="10"/>
      <color theme="1"/>
      <name val="Calibri"/>
      <family val="2"/>
      <scheme val="minor"/>
    </font>
    <font>
      <sz val="10"/>
      <name val="Calibri"/>
      <family val="2"/>
    </font>
    <font>
      <b/>
      <sz val="10"/>
      <color theme="1"/>
      <name val="Times New Roman"/>
      <family val="1"/>
    </font>
    <font>
      <sz val="10"/>
      <color rgb="FFFF0000"/>
      <name val="Calibri"/>
      <family val="2"/>
      <scheme val="minor"/>
    </font>
    <font>
      <b/>
      <u/>
      <sz val="11"/>
      <color rgb="FFFF0000"/>
      <name val="Calibri"/>
      <family val="2"/>
      <scheme val="minor"/>
    </font>
    <font>
      <b/>
      <u/>
      <sz val="22"/>
      <color theme="1"/>
      <name val="Calibri"/>
      <family val="2"/>
      <scheme val="minor"/>
    </font>
    <font>
      <sz val="12"/>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B3B3B3"/>
        <bgColor indexed="64"/>
      </patternFill>
    </fill>
    <fill>
      <patternFill patternType="solid">
        <fgColor rgb="FF00B0F0"/>
        <bgColor indexed="64"/>
      </patternFill>
    </fill>
    <fill>
      <patternFill patternType="solid">
        <fgColor rgb="FFFFFF00"/>
        <bgColor indexed="64"/>
      </patternFill>
    </fill>
    <fill>
      <patternFill patternType="solid">
        <fgColor rgb="FFBFBFBF"/>
        <bgColor indexed="64"/>
      </patternFill>
    </fill>
    <fill>
      <patternFill patternType="solid">
        <fgColor rgb="FFD9D9D9"/>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style="medium">
        <color rgb="FF000000"/>
      </bottom>
      <diagonal/>
    </border>
    <border>
      <left/>
      <right style="medium">
        <color rgb="FF000000"/>
      </right>
      <top/>
      <bottom/>
      <diagonal/>
    </border>
    <border>
      <left style="medium">
        <color indexed="64"/>
      </left>
      <right style="medium">
        <color indexed="64"/>
      </right>
      <top/>
      <bottom/>
      <diagonal/>
    </border>
  </borders>
  <cellStyleXfs count="1">
    <xf numFmtId="0" fontId="0" fillId="0" borderId="0"/>
  </cellStyleXfs>
  <cellXfs count="149">
    <xf numFmtId="0" fontId="0" fillId="0" borderId="0" xfId="0"/>
    <xf numFmtId="0" fontId="3" fillId="0" borderId="0" xfId="0" applyFont="1"/>
    <xf numFmtId="0" fontId="4" fillId="0" borderId="0" xfId="0" applyFont="1" applyAlignment="1">
      <alignment vertical="center" wrapText="1"/>
    </xf>
    <xf numFmtId="0" fontId="4" fillId="0" borderId="0" xfId="0" applyFont="1" applyFill="1" applyAlignment="1">
      <alignment vertical="center" wrapText="1"/>
    </xf>
    <xf numFmtId="164" fontId="3" fillId="0" borderId="0" xfId="0" applyNumberFormat="1" applyFont="1" applyAlignment="1">
      <alignment vertical="center"/>
    </xf>
    <xf numFmtId="164" fontId="5" fillId="0" borderId="0" xfId="0" applyNumberFormat="1" applyFont="1" applyAlignment="1">
      <alignment vertical="center"/>
    </xf>
    <xf numFmtId="164" fontId="6" fillId="0" borderId="0" xfId="0" applyNumberFormat="1" applyFont="1" applyAlignment="1">
      <alignment vertical="center"/>
    </xf>
    <xf numFmtId="0" fontId="3" fillId="0" borderId="0" xfId="0" applyFont="1" applyAlignment="1">
      <alignment vertical="center"/>
    </xf>
    <xf numFmtId="0" fontId="7" fillId="0" borderId="0" xfId="0" applyFont="1" applyAlignment="1">
      <alignment vertical="top" wrapText="1"/>
    </xf>
    <xf numFmtId="0" fontId="0" fillId="0" borderId="0" xfId="0" applyFill="1"/>
    <xf numFmtId="0" fontId="9" fillId="0" borderId="0" xfId="0" applyFont="1"/>
    <xf numFmtId="0" fontId="4" fillId="0" borderId="0" xfId="0" applyFont="1"/>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3" fontId="2" fillId="0" borderId="9" xfId="0" applyNumberFormat="1" applyFont="1" applyBorder="1" applyAlignment="1">
      <alignment vertical="center" wrapText="1"/>
    </xf>
    <xf numFmtId="3" fontId="0" fillId="0" borderId="11" xfId="0" applyNumberFormat="1" applyBorder="1" applyAlignment="1">
      <alignment vertical="center" wrapText="1"/>
    </xf>
    <xf numFmtId="3" fontId="2" fillId="0" borderId="11" xfId="0" applyNumberFormat="1" applyFont="1" applyBorder="1" applyAlignment="1">
      <alignment vertical="center" wrapText="1"/>
    </xf>
    <xf numFmtId="9" fontId="0" fillId="0" borderId="11" xfId="0" applyNumberFormat="1" applyBorder="1" applyAlignment="1">
      <alignment horizontal="center" vertical="center" wrapText="1"/>
    </xf>
    <xf numFmtId="3" fontId="2" fillId="2" borderId="11" xfId="0" applyNumberFormat="1" applyFont="1" applyFill="1" applyBorder="1" applyAlignment="1">
      <alignment vertical="center" wrapText="1"/>
    </xf>
    <xf numFmtId="3" fontId="0" fillId="0" borderId="9" xfId="0" applyNumberFormat="1" applyBorder="1" applyAlignment="1">
      <alignment vertical="center" wrapText="1"/>
    </xf>
    <xf numFmtId="3" fontId="0" fillId="2" borderId="11" xfId="0" applyNumberFormat="1" applyFill="1" applyBorder="1" applyAlignment="1">
      <alignment vertical="center" wrapText="1"/>
    </xf>
    <xf numFmtId="3" fontId="10" fillId="0" borderId="11" xfId="0" applyNumberFormat="1" applyFont="1" applyBorder="1" applyAlignment="1">
      <alignment vertical="center" wrapText="1"/>
    </xf>
    <xf numFmtId="3" fontId="10" fillId="2" borderId="11" xfId="0" applyNumberFormat="1" applyFont="1" applyFill="1" applyBorder="1" applyAlignment="1">
      <alignment vertical="center" wrapText="1"/>
    </xf>
    <xf numFmtId="3" fontId="0" fillId="0" borderId="11" xfId="0" applyNumberFormat="1" applyFill="1" applyBorder="1" applyAlignment="1">
      <alignment vertical="center" wrapText="1"/>
    </xf>
    <xf numFmtId="3" fontId="0" fillId="0" borderId="1" xfId="0" applyNumberFormat="1" applyBorder="1" applyAlignment="1">
      <alignment vertical="center" wrapText="1"/>
    </xf>
    <xf numFmtId="3" fontId="2" fillId="0" borderId="1" xfId="0" applyNumberFormat="1" applyFont="1" applyFill="1" applyBorder="1" applyAlignment="1">
      <alignment vertical="center" wrapText="1"/>
    </xf>
    <xf numFmtId="9" fontId="2" fillId="0" borderId="1" xfId="0" applyNumberFormat="1" applyFont="1" applyFill="1" applyBorder="1" applyAlignment="1">
      <alignment vertical="center" wrapText="1"/>
    </xf>
    <xf numFmtId="3" fontId="2" fillId="2" borderId="1" xfId="0" applyNumberFormat="1" applyFont="1" applyFill="1" applyBorder="1" applyAlignment="1">
      <alignment vertical="center" wrapText="1"/>
    </xf>
    <xf numFmtId="9" fontId="0" fillId="0" borderId="11" xfId="0" applyNumberFormat="1" applyBorder="1" applyAlignment="1">
      <alignment vertical="center" wrapText="1"/>
    </xf>
    <xf numFmtId="3" fontId="2" fillId="0" borderId="11" xfId="0" applyNumberFormat="1" applyFont="1" applyFill="1" applyBorder="1" applyAlignment="1">
      <alignment vertical="center" wrapText="1"/>
    </xf>
    <xf numFmtId="9" fontId="2" fillId="0" borderId="11" xfId="0" applyNumberFormat="1" applyFont="1" applyBorder="1" applyAlignment="1">
      <alignment vertical="center" wrapText="1"/>
    </xf>
    <xf numFmtId="0" fontId="2" fillId="0" borderId="0" xfId="0" applyFont="1"/>
    <xf numFmtId="3" fontId="0" fillId="0" borderId="11" xfId="0" applyNumberFormat="1" applyFont="1" applyBorder="1" applyAlignment="1">
      <alignment vertical="center" wrapText="1"/>
    </xf>
    <xf numFmtId="3" fontId="11" fillId="0" borderId="1" xfId="0" applyNumberFormat="1" applyFont="1" applyBorder="1" applyAlignment="1">
      <alignment vertical="center" wrapText="1"/>
    </xf>
    <xf numFmtId="3" fontId="0" fillId="2" borderId="1" xfId="0" applyNumberFormat="1" applyFont="1" applyFill="1" applyBorder="1" applyAlignment="1">
      <alignment vertical="center" wrapText="1"/>
    </xf>
    <xf numFmtId="3" fontId="0" fillId="0" borderId="1" xfId="0" applyNumberFormat="1" applyFont="1" applyFill="1" applyBorder="1" applyAlignment="1">
      <alignment vertical="center" wrapText="1"/>
    </xf>
    <xf numFmtId="3" fontId="12" fillId="0" borderId="1" xfId="0" applyNumberFormat="1" applyFont="1" applyFill="1" applyBorder="1" applyAlignment="1">
      <alignment vertical="center" wrapText="1"/>
    </xf>
    <xf numFmtId="3" fontId="0" fillId="2" borderId="9" xfId="0" applyNumberFormat="1" applyFont="1" applyFill="1" applyBorder="1" applyAlignment="1">
      <alignment vertical="center" wrapText="1"/>
    </xf>
    <xf numFmtId="3" fontId="0" fillId="0" borderId="9" xfId="0" applyNumberFormat="1" applyFont="1" applyFill="1" applyBorder="1" applyAlignment="1">
      <alignment vertical="center" wrapText="1"/>
    </xf>
    <xf numFmtId="3" fontId="12" fillId="0" borderId="9" xfId="0" applyNumberFormat="1" applyFont="1" applyFill="1" applyBorder="1" applyAlignment="1">
      <alignment vertical="center" wrapText="1"/>
    </xf>
    <xf numFmtId="3" fontId="11" fillId="0" borderId="11" xfId="0" applyNumberFormat="1" applyFont="1" applyBorder="1" applyAlignment="1">
      <alignment vertical="center" wrapText="1"/>
    </xf>
    <xf numFmtId="3" fontId="0" fillId="0" borderId="1" xfId="0" applyNumberFormat="1" applyFill="1" applyBorder="1" applyAlignment="1">
      <alignment vertical="center" wrapText="1"/>
    </xf>
    <xf numFmtId="3" fontId="0" fillId="2" borderId="1" xfId="0" applyNumberFormat="1" applyFill="1" applyBorder="1" applyAlignment="1">
      <alignment vertical="center" wrapText="1"/>
    </xf>
    <xf numFmtId="0" fontId="0" fillId="2" borderId="0" xfId="0" applyFill="1"/>
    <xf numFmtId="3" fontId="0" fillId="0" borderId="0" xfId="0" applyNumberFormat="1"/>
    <xf numFmtId="0" fontId="13" fillId="3" borderId="6" xfId="0" applyFont="1" applyFill="1" applyBorder="1" applyAlignment="1">
      <alignment horizontal="right"/>
    </xf>
    <xf numFmtId="0" fontId="13" fillId="3" borderId="7" xfId="0" applyFont="1" applyFill="1" applyBorder="1"/>
    <xf numFmtId="0" fontId="0" fillId="3" borderId="7" xfId="0" applyFill="1" applyBorder="1"/>
    <xf numFmtId="0" fontId="0" fillId="3" borderId="8" xfId="0" applyFill="1" applyBorder="1"/>
    <xf numFmtId="0" fontId="1" fillId="0" borderId="0" xfId="0" applyFont="1"/>
    <xf numFmtId="0" fontId="14" fillId="0" borderId="0" xfId="0" applyFont="1" applyAlignment="1">
      <alignment horizontal="right"/>
    </xf>
    <xf numFmtId="3" fontId="1" fillId="2" borderId="0" xfId="0" applyNumberFormat="1" applyFont="1" applyFill="1"/>
    <xf numFmtId="3" fontId="1" fillId="0" borderId="0" xfId="0" applyNumberFormat="1" applyFont="1"/>
    <xf numFmtId="3" fontId="1" fillId="0" borderId="0" xfId="0" applyNumberFormat="1" applyFont="1" applyFill="1"/>
    <xf numFmtId="0" fontId="0" fillId="3" borderId="13" xfId="0" applyFill="1" applyBorder="1"/>
    <xf numFmtId="0" fontId="0" fillId="3" borderId="0" xfId="0" applyFill="1" applyBorder="1"/>
    <xf numFmtId="9" fontId="0" fillId="3" borderId="0" xfId="0" applyNumberFormat="1" applyFill="1" applyBorder="1"/>
    <xf numFmtId="0" fontId="0" fillId="3" borderId="14" xfId="0" applyFill="1" applyBorder="1"/>
    <xf numFmtId="0" fontId="0" fillId="3" borderId="12" xfId="0" applyFill="1" applyBorder="1"/>
    <xf numFmtId="0" fontId="0" fillId="3" borderId="10" xfId="0" applyFill="1" applyBorder="1"/>
    <xf numFmtId="9" fontId="0" fillId="3" borderId="10" xfId="0" applyNumberFormat="1" applyFill="1" applyBorder="1"/>
    <xf numFmtId="0" fontId="0" fillId="3" borderId="11" xfId="0" applyFill="1" applyBorder="1"/>
    <xf numFmtId="0" fontId="15" fillId="5" borderId="18" xfId="0" applyFont="1" applyFill="1" applyBorder="1" applyAlignment="1">
      <alignment horizontal="center" vertical="center" wrapText="1"/>
    </xf>
    <xf numFmtId="0" fontId="15" fillId="7" borderId="22"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vertical="center" wrapText="1"/>
    </xf>
    <xf numFmtId="0" fontId="15" fillId="3" borderId="1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8" fillId="0" borderId="29" xfId="0" applyFont="1" applyBorder="1" applyAlignment="1">
      <alignment vertical="center" wrapText="1"/>
    </xf>
    <xf numFmtId="3" fontId="19" fillId="0" borderId="22" xfId="0" applyNumberFormat="1" applyFont="1" applyBorder="1" applyAlignment="1">
      <alignment horizontal="center" vertical="center" wrapText="1"/>
    </xf>
    <xf numFmtId="3" fontId="19" fillId="5" borderId="22" xfId="0" applyNumberFormat="1" applyFont="1" applyFill="1" applyBorder="1" applyAlignment="1">
      <alignment horizontal="center" vertical="center" wrapText="1"/>
    </xf>
    <xf numFmtId="3" fontId="20" fillId="6" borderId="22" xfId="0" applyNumberFormat="1" applyFont="1" applyFill="1" applyBorder="1" applyAlignment="1">
      <alignment horizontal="center" vertical="center" wrapText="1"/>
    </xf>
    <xf numFmtId="3" fontId="21" fillId="0" borderId="3" xfId="0" applyNumberFormat="1" applyFont="1" applyBorder="1" applyAlignment="1">
      <alignment horizontal="center" vertical="center"/>
    </xf>
    <xf numFmtId="3" fontId="22" fillId="0" borderId="30" xfId="0" applyNumberFormat="1" applyFont="1" applyFill="1" applyBorder="1" applyAlignment="1">
      <alignment horizontal="center" vertical="center" wrapText="1"/>
    </xf>
    <xf numFmtId="3" fontId="21" fillId="0" borderId="2" xfId="0" applyNumberFormat="1" applyFont="1" applyBorder="1" applyAlignment="1">
      <alignment horizontal="center" vertical="center"/>
    </xf>
    <xf numFmtId="3" fontId="21" fillId="0" borderId="1" xfId="0" applyNumberFormat="1" applyFont="1" applyBorder="1" applyAlignment="1">
      <alignment horizontal="center" vertical="center"/>
    </xf>
    <xf numFmtId="3" fontId="22" fillId="0" borderId="27" xfId="0" applyNumberFormat="1" applyFont="1" applyFill="1" applyBorder="1" applyAlignment="1">
      <alignment horizontal="center" vertical="center" wrapText="1"/>
    </xf>
    <xf numFmtId="0" fontId="18" fillId="0" borderId="21" xfId="0" applyFont="1" applyBorder="1" applyAlignment="1">
      <alignment vertical="center" wrapText="1"/>
    </xf>
    <xf numFmtId="3" fontId="22" fillId="0" borderId="9" xfId="0" applyNumberFormat="1" applyFont="1" applyFill="1" applyBorder="1" applyAlignment="1">
      <alignment horizontal="center" vertical="center" wrapText="1"/>
    </xf>
    <xf numFmtId="0" fontId="23" fillId="8" borderId="21" xfId="0" applyFont="1" applyFill="1" applyBorder="1" applyAlignment="1">
      <alignment vertical="center" wrapText="1"/>
    </xf>
    <xf numFmtId="3" fontId="19" fillId="8" borderId="22" xfId="0" applyNumberFormat="1" applyFont="1" applyFill="1" applyBorder="1" applyAlignment="1">
      <alignment horizontal="center" vertical="center" wrapText="1"/>
    </xf>
    <xf numFmtId="3" fontId="19" fillId="6" borderId="22" xfId="0" applyNumberFormat="1" applyFont="1" applyFill="1" applyBorder="1" applyAlignment="1">
      <alignment horizontal="center" vertical="center" wrapText="1"/>
    </xf>
    <xf numFmtId="3" fontId="22" fillId="6" borderId="22" xfId="0" applyNumberFormat="1" applyFont="1" applyFill="1" applyBorder="1" applyAlignment="1">
      <alignment horizontal="center" vertical="center" wrapText="1"/>
    </xf>
    <xf numFmtId="3" fontId="21" fillId="3" borderId="1" xfId="0" applyNumberFormat="1" applyFont="1" applyFill="1" applyBorder="1" applyAlignment="1">
      <alignment horizontal="center" vertical="center"/>
    </xf>
    <xf numFmtId="3" fontId="19" fillId="5" borderId="31" xfId="0" applyNumberFormat="1" applyFont="1" applyFill="1" applyBorder="1" applyAlignment="1">
      <alignment horizontal="center" vertical="center" wrapText="1"/>
    </xf>
    <xf numFmtId="3" fontId="19" fillId="6" borderId="31" xfId="0" applyNumberFormat="1" applyFont="1" applyFill="1" applyBorder="1" applyAlignment="1">
      <alignment horizontal="center" vertical="center" wrapText="1"/>
    </xf>
    <xf numFmtId="3" fontId="22" fillId="6" borderId="31" xfId="0" applyNumberFormat="1" applyFont="1" applyFill="1" applyBorder="1" applyAlignment="1">
      <alignment horizontal="center" vertical="center" wrapText="1"/>
    </xf>
    <xf numFmtId="3" fontId="21" fillId="3" borderId="32" xfId="0" applyNumberFormat="1" applyFont="1" applyFill="1" applyBorder="1" applyAlignment="1">
      <alignment horizontal="center" vertical="center"/>
    </xf>
    <xf numFmtId="3" fontId="21" fillId="3" borderId="9" xfId="0" applyNumberFormat="1" applyFont="1" applyFill="1" applyBorder="1" applyAlignment="1">
      <alignment horizontal="center" vertical="center"/>
    </xf>
    <xf numFmtId="0" fontId="18" fillId="0" borderId="3" xfId="0" applyFont="1" applyFill="1" applyBorder="1" applyAlignment="1">
      <alignment vertical="center" wrapText="1"/>
    </xf>
    <xf numFmtId="3" fontId="0" fillId="2" borderId="1" xfId="0" applyNumberFormat="1" applyFill="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8" fillId="0" borderId="12" xfId="0" applyFont="1" applyFill="1" applyBorder="1" applyAlignment="1">
      <alignment vertical="center" wrapText="1"/>
    </xf>
    <xf numFmtId="0" fontId="0" fillId="2" borderId="9" xfId="0" applyFill="1" applyBorder="1" applyAlignment="1">
      <alignment horizontal="center" vertical="center"/>
    </xf>
    <xf numFmtId="0" fontId="0" fillId="0" borderId="9" xfId="0" applyBorder="1" applyAlignment="1">
      <alignment horizontal="center" vertical="center"/>
    </xf>
    <xf numFmtId="3" fontId="24" fillId="0" borderId="9" xfId="0" applyNumberFormat="1" applyFont="1" applyBorder="1" applyAlignment="1">
      <alignment horizontal="center" vertical="center"/>
    </xf>
    <xf numFmtId="3" fontId="24" fillId="0" borderId="1" xfId="0" applyNumberFormat="1" applyFont="1" applyBorder="1" applyAlignment="1">
      <alignment horizontal="center" vertical="center"/>
    </xf>
    <xf numFmtId="3" fontId="20" fillId="2" borderId="9" xfId="0" applyNumberFormat="1" applyFont="1" applyFill="1" applyBorder="1" applyAlignment="1">
      <alignment horizontal="center" vertical="center" wrapText="1"/>
    </xf>
    <xf numFmtId="3" fontId="19" fillId="0" borderId="0" xfId="0" applyNumberFormat="1" applyFont="1" applyAlignment="1">
      <alignment horizontal="right" vertical="center" wrapText="1"/>
    </xf>
    <xf numFmtId="3" fontId="2" fillId="0" borderId="0" xfId="0" applyNumberFormat="1" applyFont="1" applyFill="1" applyBorder="1" applyAlignment="1">
      <alignment vertical="center" wrapText="1"/>
    </xf>
    <xf numFmtId="0" fontId="27" fillId="0" borderId="0" xfId="0" applyFont="1"/>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6" fillId="0" borderId="0" xfId="0" applyFont="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3" fontId="2" fillId="0" borderId="12" xfId="0" applyNumberFormat="1" applyFont="1" applyFill="1" applyBorder="1" applyAlignment="1">
      <alignment horizontal="left" vertical="center" wrapText="1"/>
    </xf>
    <xf numFmtId="3" fontId="2" fillId="0" borderId="10" xfId="0" applyNumberFormat="1" applyFont="1" applyFill="1" applyBorder="1" applyAlignment="1">
      <alignment horizontal="left" vertical="center" wrapText="1"/>
    </xf>
    <xf numFmtId="3" fontId="0" fillId="0" borderId="3" xfId="0" applyNumberFormat="1" applyFill="1" applyBorder="1" applyAlignment="1">
      <alignment horizontal="left" vertical="center" wrapText="1"/>
    </xf>
    <xf numFmtId="3" fontId="0" fillId="0" borderId="2" xfId="0" applyNumberFormat="1" applyFill="1" applyBorder="1" applyAlignment="1">
      <alignment horizontal="left" vertical="center" wrapText="1"/>
    </xf>
    <xf numFmtId="3" fontId="2" fillId="0" borderId="3" xfId="0" applyNumberFormat="1" applyFont="1" applyFill="1" applyBorder="1" applyAlignment="1">
      <alignment horizontal="left" vertical="center" wrapText="1"/>
    </xf>
    <xf numFmtId="3" fontId="2" fillId="0" borderId="4" xfId="0" applyNumberFormat="1" applyFont="1" applyFill="1" applyBorder="1" applyAlignment="1">
      <alignment horizontal="left" vertical="center" wrapText="1"/>
    </xf>
    <xf numFmtId="3" fontId="2" fillId="0" borderId="2" xfId="0" applyNumberFormat="1" applyFont="1" applyFill="1" applyBorder="1" applyAlignment="1">
      <alignment horizontal="left" vertical="center" wrapText="1"/>
    </xf>
    <xf numFmtId="0" fontId="17"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8" fillId="0" borderId="0" xfId="0" applyFont="1" applyAlignment="1">
      <alignment horizontal="center"/>
    </xf>
    <xf numFmtId="0" fontId="15" fillId="4" borderId="15"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0"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233198</xdr:colOff>
      <xdr:row>0</xdr:row>
      <xdr:rowOff>80470</xdr:rowOff>
    </xdr:from>
    <xdr:to>
      <xdr:col>1</xdr:col>
      <xdr:colOff>25939</xdr:colOff>
      <xdr:row>5</xdr:row>
      <xdr:rowOff>172783</xdr:rowOff>
    </xdr:to>
    <xdr:pic>
      <xdr:nvPicPr>
        <xdr:cNvPr id="2" name="Image 1">
          <a:extLst>
            <a:ext uri="{FF2B5EF4-FFF2-40B4-BE49-F238E27FC236}">
              <a16:creationId xmlns:a16="http://schemas.microsoft.com/office/drawing/2014/main" id="{121D051F-B4E7-485E-9DE9-ED495D1CC3A3}"/>
            </a:ext>
          </a:extLst>
        </xdr:cNvPr>
        <xdr:cNvPicPr>
          <a:picLocks noChangeAspect="1"/>
        </xdr:cNvPicPr>
      </xdr:nvPicPr>
      <xdr:blipFill>
        <a:blip xmlns:r="http://schemas.openxmlformats.org/officeDocument/2006/relationships" r:embed="rId1"/>
        <a:stretch>
          <a:fillRect/>
        </a:stretch>
      </xdr:blipFill>
      <xdr:spPr>
        <a:xfrm>
          <a:off x="233198" y="80470"/>
          <a:ext cx="808741" cy="1044813"/>
        </a:xfrm>
        <a:prstGeom prst="rect">
          <a:avLst/>
        </a:prstGeom>
      </xdr:spPr>
    </xdr:pic>
    <xdr:clientData/>
  </xdr:twoCellAnchor>
  <xdr:twoCellAnchor editAs="oneCell">
    <xdr:from>
      <xdr:col>4</xdr:col>
      <xdr:colOff>47332</xdr:colOff>
      <xdr:row>0</xdr:row>
      <xdr:rowOff>0</xdr:rowOff>
    </xdr:from>
    <xdr:to>
      <xdr:col>5</xdr:col>
      <xdr:colOff>554480</xdr:colOff>
      <xdr:row>5</xdr:row>
      <xdr:rowOff>93801</xdr:rowOff>
    </xdr:to>
    <xdr:pic>
      <xdr:nvPicPr>
        <xdr:cNvPr id="3" name="Image 2">
          <a:extLst>
            <a:ext uri="{FF2B5EF4-FFF2-40B4-BE49-F238E27FC236}">
              <a16:creationId xmlns:a16="http://schemas.microsoft.com/office/drawing/2014/main" id="{04B1C47B-0B6F-4EEC-906C-1680A53DFF9E}"/>
            </a:ext>
          </a:extLst>
        </xdr:cNvPr>
        <xdr:cNvPicPr>
          <a:picLocks noChangeAspect="1"/>
        </xdr:cNvPicPr>
      </xdr:nvPicPr>
      <xdr:blipFill>
        <a:blip xmlns:r="http://schemas.openxmlformats.org/officeDocument/2006/relationships" r:embed="rId2"/>
        <a:stretch>
          <a:fillRect/>
        </a:stretch>
      </xdr:blipFill>
      <xdr:spPr>
        <a:xfrm>
          <a:off x="6390852" y="0"/>
          <a:ext cx="1427250" cy="1033342"/>
        </a:xfrm>
        <a:prstGeom prst="rect">
          <a:avLst/>
        </a:prstGeom>
      </xdr:spPr>
    </xdr:pic>
    <xdr:clientData/>
  </xdr:twoCellAnchor>
  <xdr:twoCellAnchor editAs="oneCell">
    <xdr:from>
      <xdr:col>8</xdr:col>
      <xdr:colOff>112680</xdr:colOff>
      <xdr:row>0</xdr:row>
      <xdr:rowOff>0</xdr:rowOff>
    </xdr:from>
    <xdr:to>
      <xdr:col>8</xdr:col>
      <xdr:colOff>806117</xdr:colOff>
      <xdr:row>6</xdr:row>
      <xdr:rowOff>92927</xdr:rowOff>
    </xdr:to>
    <xdr:pic>
      <xdr:nvPicPr>
        <xdr:cNvPr id="4" name="Image 3">
          <a:extLst>
            <a:ext uri="{FF2B5EF4-FFF2-40B4-BE49-F238E27FC236}">
              <a16:creationId xmlns:a16="http://schemas.microsoft.com/office/drawing/2014/main" id="{01A1833B-A03D-40D2-8635-242D3DB484EF}"/>
            </a:ext>
          </a:extLst>
        </xdr:cNvPr>
        <xdr:cNvPicPr>
          <a:picLocks noChangeAspect="1"/>
        </xdr:cNvPicPr>
      </xdr:nvPicPr>
      <xdr:blipFill>
        <a:blip xmlns:r="http://schemas.openxmlformats.org/officeDocument/2006/relationships" r:embed="rId3"/>
        <a:stretch>
          <a:fillRect/>
        </a:stretch>
      </xdr:blipFill>
      <xdr:spPr>
        <a:xfrm>
          <a:off x="10272680" y="0"/>
          <a:ext cx="693437" cy="1220376"/>
        </a:xfrm>
        <a:prstGeom prst="rect">
          <a:avLst/>
        </a:prstGeom>
      </xdr:spPr>
    </xdr:pic>
    <xdr:clientData/>
  </xdr:twoCellAnchor>
  <xdr:twoCellAnchor editAs="oneCell">
    <xdr:from>
      <xdr:col>1</xdr:col>
      <xdr:colOff>1852266</xdr:colOff>
      <xdr:row>0</xdr:row>
      <xdr:rowOff>0</xdr:rowOff>
    </xdr:from>
    <xdr:to>
      <xdr:col>1</xdr:col>
      <xdr:colOff>2674436</xdr:colOff>
      <xdr:row>5</xdr:row>
      <xdr:rowOff>122617</xdr:rowOff>
    </xdr:to>
    <xdr:pic>
      <xdr:nvPicPr>
        <xdr:cNvPr id="5" name="Image 4">
          <a:extLst>
            <a:ext uri="{FF2B5EF4-FFF2-40B4-BE49-F238E27FC236}">
              <a16:creationId xmlns:a16="http://schemas.microsoft.com/office/drawing/2014/main" id="{B6E623AE-BE5C-4230-8F7E-67E16732C65F}"/>
            </a:ext>
          </a:extLst>
        </xdr:cNvPr>
        <xdr:cNvPicPr>
          <a:picLocks noChangeAspect="1"/>
        </xdr:cNvPicPr>
      </xdr:nvPicPr>
      <xdr:blipFill>
        <a:blip xmlns:r="http://schemas.openxmlformats.org/officeDocument/2006/relationships" r:embed="rId4"/>
        <a:stretch>
          <a:fillRect/>
        </a:stretch>
      </xdr:blipFill>
      <xdr:spPr>
        <a:xfrm>
          <a:off x="2868266" y="0"/>
          <a:ext cx="822170" cy="1075117"/>
        </a:xfrm>
        <a:prstGeom prst="rect">
          <a:avLst/>
        </a:prstGeom>
      </xdr:spPr>
    </xdr:pic>
    <xdr:clientData/>
  </xdr:twoCellAnchor>
  <xdr:twoCellAnchor editAs="oneCell">
    <xdr:from>
      <xdr:col>11</xdr:col>
      <xdr:colOff>58315</xdr:colOff>
      <xdr:row>0</xdr:row>
      <xdr:rowOff>0</xdr:rowOff>
    </xdr:from>
    <xdr:to>
      <xdr:col>12</xdr:col>
      <xdr:colOff>107146</xdr:colOff>
      <xdr:row>5</xdr:row>
      <xdr:rowOff>157834</xdr:rowOff>
    </xdr:to>
    <xdr:pic>
      <xdr:nvPicPr>
        <xdr:cNvPr id="8" name="Picture 7">
          <a:extLst>
            <a:ext uri="{FF2B5EF4-FFF2-40B4-BE49-F238E27FC236}">
              <a16:creationId xmlns:a16="http://schemas.microsoft.com/office/drawing/2014/main" id="{B9EA483C-6F53-4CA8-9E53-4E333332EC97}"/>
            </a:ext>
          </a:extLst>
        </xdr:cNvPr>
        <xdr:cNvPicPr>
          <a:picLocks noChangeAspect="1"/>
        </xdr:cNvPicPr>
      </xdr:nvPicPr>
      <xdr:blipFill>
        <a:blip xmlns:r="http://schemas.openxmlformats.org/officeDocument/2006/relationships" r:embed="rId5"/>
        <a:stretch>
          <a:fillRect/>
        </a:stretch>
      </xdr:blipFill>
      <xdr:spPr>
        <a:xfrm>
          <a:off x="13192448" y="0"/>
          <a:ext cx="1079086" cy="1097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233198</xdr:colOff>
      <xdr:row>0</xdr:row>
      <xdr:rowOff>80470</xdr:rowOff>
    </xdr:from>
    <xdr:to>
      <xdr:col>1</xdr:col>
      <xdr:colOff>236454</xdr:colOff>
      <xdr:row>5</xdr:row>
      <xdr:rowOff>172783</xdr:rowOff>
    </xdr:to>
    <xdr:pic>
      <xdr:nvPicPr>
        <xdr:cNvPr id="2" name="Image 1">
          <a:extLst>
            <a:ext uri="{FF2B5EF4-FFF2-40B4-BE49-F238E27FC236}">
              <a16:creationId xmlns:a16="http://schemas.microsoft.com/office/drawing/2014/main" id="{49629C1A-939F-419B-B7E1-683570DDE80D}"/>
            </a:ext>
          </a:extLst>
        </xdr:cNvPr>
        <xdr:cNvPicPr>
          <a:picLocks noChangeAspect="1"/>
        </xdr:cNvPicPr>
      </xdr:nvPicPr>
      <xdr:blipFill>
        <a:blip xmlns:r="http://schemas.openxmlformats.org/officeDocument/2006/relationships" r:embed="rId1"/>
        <a:stretch>
          <a:fillRect/>
        </a:stretch>
      </xdr:blipFill>
      <xdr:spPr>
        <a:xfrm>
          <a:off x="233198" y="80470"/>
          <a:ext cx="968456" cy="1044813"/>
        </a:xfrm>
        <a:prstGeom prst="rect">
          <a:avLst/>
        </a:prstGeom>
      </xdr:spPr>
    </xdr:pic>
    <xdr:clientData/>
  </xdr:twoCellAnchor>
  <xdr:twoCellAnchor editAs="oneCell">
    <xdr:from>
      <xdr:col>6</xdr:col>
      <xdr:colOff>1162</xdr:colOff>
      <xdr:row>0</xdr:row>
      <xdr:rowOff>28575</xdr:rowOff>
    </xdr:from>
    <xdr:to>
      <xdr:col>8</xdr:col>
      <xdr:colOff>505458</xdr:colOff>
      <xdr:row>5</xdr:row>
      <xdr:rowOff>122376</xdr:rowOff>
    </xdr:to>
    <xdr:pic>
      <xdr:nvPicPr>
        <xdr:cNvPr id="3" name="Image 2">
          <a:extLst>
            <a:ext uri="{FF2B5EF4-FFF2-40B4-BE49-F238E27FC236}">
              <a16:creationId xmlns:a16="http://schemas.microsoft.com/office/drawing/2014/main" id="{1EF4E018-D30C-4DF3-A9AB-5B88522BB661}"/>
            </a:ext>
          </a:extLst>
        </xdr:cNvPr>
        <xdr:cNvPicPr>
          <a:picLocks noChangeAspect="1"/>
        </xdr:cNvPicPr>
      </xdr:nvPicPr>
      <xdr:blipFill>
        <a:blip xmlns:r="http://schemas.openxmlformats.org/officeDocument/2006/relationships" r:embed="rId2"/>
        <a:stretch>
          <a:fillRect/>
        </a:stretch>
      </xdr:blipFill>
      <xdr:spPr>
        <a:xfrm>
          <a:off x="4389012" y="28575"/>
          <a:ext cx="1767946" cy="1046301"/>
        </a:xfrm>
        <a:prstGeom prst="rect">
          <a:avLst/>
        </a:prstGeom>
      </xdr:spPr>
    </xdr:pic>
    <xdr:clientData/>
  </xdr:twoCellAnchor>
  <xdr:twoCellAnchor editAs="oneCell">
    <xdr:from>
      <xdr:col>10</xdr:col>
      <xdr:colOff>450261</xdr:colOff>
      <xdr:row>0</xdr:row>
      <xdr:rowOff>1</xdr:rowOff>
    </xdr:from>
    <xdr:to>
      <xdr:col>11</xdr:col>
      <xdr:colOff>588566</xdr:colOff>
      <xdr:row>6</xdr:row>
      <xdr:rowOff>27137</xdr:rowOff>
    </xdr:to>
    <xdr:pic>
      <xdr:nvPicPr>
        <xdr:cNvPr id="4" name="Image 3">
          <a:extLst>
            <a:ext uri="{FF2B5EF4-FFF2-40B4-BE49-F238E27FC236}">
              <a16:creationId xmlns:a16="http://schemas.microsoft.com/office/drawing/2014/main" id="{543FA3AF-F398-4086-A300-48827A8F02FB}"/>
            </a:ext>
          </a:extLst>
        </xdr:cNvPr>
        <xdr:cNvPicPr>
          <a:picLocks noChangeAspect="1"/>
        </xdr:cNvPicPr>
      </xdr:nvPicPr>
      <xdr:blipFill>
        <a:blip xmlns:r="http://schemas.openxmlformats.org/officeDocument/2006/relationships" r:embed="rId3"/>
        <a:stretch>
          <a:fillRect/>
        </a:stretch>
      </xdr:blipFill>
      <xdr:spPr>
        <a:xfrm>
          <a:off x="7424406" y="1"/>
          <a:ext cx="833006" cy="1166880"/>
        </a:xfrm>
        <a:prstGeom prst="rect">
          <a:avLst/>
        </a:prstGeom>
      </xdr:spPr>
    </xdr:pic>
    <xdr:clientData/>
  </xdr:twoCellAnchor>
  <xdr:twoCellAnchor editAs="oneCell">
    <xdr:from>
      <xdr:col>2</xdr:col>
      <xdr:colOff>578471</xdr:colOff>
      <xdr:row>0</xdr:row>
      <xdr:rowOff>57150</xdr:rowOff>
    </xdr:from>
    <xdr:to>
      <xdr:col>4</xdr:col>
      <xdr:colOff>265308</xdr:colOff>
      <xdr:row>5</xdr:row>
      <xdr:rowOff>179767</xdr:rowOff>
    </xdr:to>
    <xdr:pic>
      <xdr:nvPicPr>
        <xdr:cNvPr id="5" name="Image 4">
          <a:extLst>
            <a:ext uri="{FF2B5EF4-FFF2-40B4-BE49-F238E27FC236}">
              <a16:creationId xmlns:a16="http://schemas.microsoft.com/office/drawing/2014/main" id="{AB5A0C87-1EEB-4802-969B-153293FD4CDA}"/>
            </a:ext>
          </a:extLst>
        </xdr:cNvPr>
        <xdr:cNvPicPr>
          <a:picLocks noChangeAspect="1"/>
        </xdr:cNvPicPr>
      </xdr:nvPicPr>
      <xdr:blipFill>
        <a:blip xmlns:r="http://schemas.openxmlformats.org/officeDocument/2006/relationships" r:embed="rId4"/>
        <a:stretch>
          <a:fillRect/>
        </a:stretch>
      </xdr:blipFill>
      <xdr:spPr>
        <a:xfrm>
          <a:off x="2185021" y="57150"/>
          <a:ext cx="1039387" cy="1075117"/>
        </a:xfrm>
        <a:prstGeom prst="rect">
          <a:avLst/>
        </a:prstGeom>
      </xdr:spPr>
    </xdr:pic>
    <xdr:clientData/>
  </xdr:twoCellAnchor>
  <xdr:oneCellAnchor>
    <xdr:from>
      <xdr:col>22</xdr:col>
      <xdr:colOff>0</xdr:colOff>
      <xdr:row>0</xdr:row>
      <xdr:rowOff>80470</xdr:rowOff>
    </xdr:from>
    <xdr:ext cx="969324" cy="1042099"/>
    <xdr:pic>
      <xdr:nvPicPr>
        <xdr:cNvPr id="7" name="Image 1">
          <a:extLst>
            <a:ext uri="{FF2B5EF4-FFF2-40B4-BE49-F238E27FC236}">
              <a16:creationId xmlns:a16="http://schemas.microsoft.com/office/drawing/2014/main" id="{1E76E3C5-93EE-4EF1-872F-826C0DCB6B82}"/>
            </a:ext>
          </a:extLst>
        </xdr:cNvPr>
        <xdr:cNvPicPr>
          <a:picLocks noChangeAspect="1"/>
        </xdr:cNvPicPr>
      </xdr:nvPicPr>
      <xdr:blipFill>
        <a:blip xmlns:r="http://schemas.openxmlformats.org/officeDocument/2006/relationships" r:embed="rId1"/>
        <a:stretch>
          <a:fillRect/>
        </a:stretch>
      </xdr:blipFill>
      <xdr:spPr>
        <a:xfrm>
          <a:off x="15386050" y="80470"/>
          <a:ext cx="969324" cy="1042099"/>
        </a:xfrm>
        <a:prstGeom prst="rect">
          <a:avLst/>
        </a:prstGeom>
      </xdr:spPr>
    </xdr:pic>
    <xdr:clientData/>
  </xdr:oneCellAnchor>
  <xdr:twoCellAnchor editAs="oneCell">
    <xdr:from>
      <xdr:col>15</xdr:col>
      <xdr:colOff>130256</xdr:colOff>
      <xdr:row>0</xdr:row>
      <xdr:rowOff>0</xdr:rowOff>
    </xdr:from>
    <xdr:to>
      <xdr:col>16</xdr:col>
      <xdr:colOff>568915</xdr:colOff>
      <xdr:row>5</xdr:row>
      <xdr:rowOff>147589</xdr:rowOff>
    </xdr:to>
    <xdr:pic>
      <xdr:nvPicPr>
        <xdr:cNvPr id="9" name="Picture 8">
          <a:extLst>
            <a:ext uri="{FF2B5EF4-FFF2-40B4-BE49-F238E27FC236}">
              <a16:creationId xmlns:a16="http://schemas.microsoft.com/office/drawing/2014/main" id="{C29E45D1-C607-479C-9664-1437723330F5}"/>
            </a:ext>
          </a:extLst>
        </xdr:cNvPr>
        <xdr:cNvPicPr>
          <a:picLocks noChangeAspect="1"/>
        </xdr:cNvPicPr>
      </xdr:nvPicPr>
      <xdr:blipFill>
        <a:blip xmlns:r="http://schemas.openxmlformats.org/officeDocument/2006/relationships" r:embed="rId5"/>
        <a:stretch>
          <a:fillRect/>
        </a:stretch>
      </xdr:blipFill>
      <xdr:spPr>
        <a:xfrm>
          <a:off x="10360812" y="0"/>
          <a:ext cx="1079086" cy="1097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FBE51-6C9B-4A3A-8A5D-D0C5C76ECB76}">
  <dimension ref="A1:Q66"/>
  <sheetViews>
    <sheetView tabSelected="1" topLeftCell="C58" zoomScale="98" workbookViewId="0">
      <selection activeCell="C4" sqref="C4"/>
    </sheetView>
  </sheetViews>
  <sheetFormatPr defaultColWidth="9.1796875" defaultRowHeight="14.5" x14ac:dyDescent="0.35"/>
  <cols>
    <col min="1" max="1" width="14.54296875" customWidth="1"/>
    <col min="2" max="2" width="50.26953125" customWidth="1"/>
    <col min="3" max="4" width="13" customWidth="1"/>
    <col min="5" max="6" width="13.1796875" customWidth="1"/>
    <col min="7" max="7" width="14.453125" customWidth="1"/>
    <col min="8" max="8" width="13.81640625" style="9" customWidth="1"/>
    <col min="9" max="9" width="14.1796875" customWidth="1"/>
    <col min="10" max="10" width="13.81640625" customWidth="1"/>
    <col min="11" max="11" width="14.54296875" customWidth="1"/>
    <col min="12" max="12" width="14.7265625" customWidth="1"/>
    <col min="13" max="13" width="19" customWidth="1"/>
    <col min="14" max="14" width="22.7265625" customWidth="1"/>
    <col min="15" max="17" width="28.7265625" customWidth="1"/>
    <col min="18" max="18" width="34.1796875" customWidth="1"/>
  </cols>
  <sheetData>
    <row r="1" spans="1:17" ht="15" customHeight="1" x14ac:dyDescent="0.35">
      <c r="A1" s="1"/>
      <c r="D1" s="2"/>
      <c r="E1" s="2"/>
      <c r="F1" s="2"/>
      <c r="G1" s="2"/>
      <c r="H1" s="3"/>
      <c r="I1" s="2"/>
      <c r="J1" s="2"/>
      <c r="K1" s="2"/>
      <c r="L1" s="2"/>
      <c r="M1" s="4"/>
      <c r="N1" s="4"/>
      <c r="O1" s="5"/>
      <c r="P1" s="6"/>
      <c r="Q1" s="7"/>
    </row>
    <row r="2" spans="1:17" ht="15" customHeight="1" x14ac:dyDescent="0.35">
      <c r="A2" s="1"/>
      <c r="D2" s="2"/>
      <c r="E2" s="2"/>
      <c r="F2" s="2"/>
      <c r="G2" s="2"/>
      <c r="H2" s="3"/>
      <c r="I2" s="2"/>
      <c r="J2" s="2"/>
      <c r="K2" s="2"/>
      <c r="L2" s="2"/>
      <c r="M2" s="4"/>
      <c r="N2" s="4"/>
      <c r="O2" s="5"/>
      <c r="P2" s="6"/>
      <c r="Q2" s="7"/>
    </row>
    <row r="3" spans="1:17" ht="15" customHeight="1" x14ac:dyDescent="0.35">
      <c r="A3" s="1"/>
      <c r="D3" s="2"/>
      <c r="E3" s="2"/>
      <c r="F3" s="2"/>
      <c r="G3" s="2"/>
      <c r="H3" s="3"/>
      <c r="I3" s="2"/>
      <c r="J3" s="2"/>
      <c r="K3" s="2"/>
      <c r="L3" s="2"/>
      <c r="M3" s="4"/>
      <c r="N3" s="4"/>
      <c r="O3" s="5"/>
      <c r="P3" s="6"/>
      <c r="Q3" s="7"/>
    </row>
    <row r="4" spans="1:17" ht="15" customHeight="1" x14ac:dyDescent="0.35">
      <c r="A4" s="1"/>
      <c r="D4" s="2"/>
      <c r="E4" s="2"/>
      <c r="F4" s="2"/>
      <c r="G4" s="2"/>
      <c r="H4" s="3"/>
      <c r="I4" s="2"/>
      <c r="J4" s="2"/>
      <c r="K4" s="2"/>
      <c r="L4" s="2"/>
      <c r="M4" s="4"/>
      <c r="N4" s="4"/>
      <c r="O4" s="5"/>
      <c r="P4" s="6"/>
      <c r="Q4" s="7"/>
    </row>
    <row r="5" spans="1:17" ht="15" customHeight="1" x14ac:dyDescent="0.35">
      <c r="A5" s="1"/>
      <c r="D5" s="2"/>
      <c r="E5" s="2"/>
      <c r="F5" s="2"/>
      <c r="G5" s="2"/>
      <c r="H5" s="3"/>
      <c r="I5" s="2"/>
      <c r="J5" s="2"/>
      <c r="K5" s="2"/>
      <c r="L5" s="2"/>
      <c r="M5" s="4"/>
      <c r="N5" s="4"/>
      <c r="O5" s="5"/>
      <c r="P5" s="6"/>
      <c r="Q5" s="7"/>
    </row>
    <row r="6" spans="1:17" ht="15" customHeight="1" x14ac:dyDescent="0.35">
      <c r="A6" s="1"/>
      <c r="D6" s="2"/>
      <c r="E6" s="2"/>
      <c r="F6" s="2"/>
      <c r="G6" s="2"/>
      <c r="H6" s="3"/>
      <c r="I6" s="2"/>
      <c r="J6" s="2"/>
      <c r="K6" s="2"/>
      <c r="L6" s="2"/>
      <c r="M6" s="4"/>
      <c r="N6" s="4"/>
      <c r="O6" s="5"/>
      <c r="P6" s="6"/>
      <c r="Q6" s="7"/>
    </row>
    <row r="7" spans="1:17" ht="15" customHeight="1" x14ac:dyDescent="0.35">
      <c r="A7" s="1"/>
      <c r="D7" s="2"/>
      <c r="E7" s="2"/>
      <c r="F7" s="2"/>
      <c r="G7" s="2"/>
      <c r="H7" s="3"/>
      <c r="I7" s="2"/>
      <c r="J7" s="2"/>
      <c r="K7" s="2"/>
      <c r="L7" s="2"/>
      <c r="M7" s="4"/>
      <c r="N7" s="4"/>
      <c r="O7" s="5"/>
      <c r="P7" s="6"/>
      <c r="Q7" s="7"/>
    </row>
    <row r="8" spans="1:17" ht="43.5" customHeight="1" x14ac:dyDescent="0.35">
      <c r="A8" s="115" t="s">
        <v>127</v>
      </c>
      <c r="B8" s="115"/>
      <c r="C8" s="115"/>
      <c r="D8" s="115"/>
      <c r="E8" s="115"/>
      <c r="F8" s="115"/>
      <c r="G8" s="115"/>
      <c r="H8" s="115"/>
      <c r="I8" s="115"/>
      <c r="J8" s="115"/>
      <c r="K8" s="115"/>
      <c r="L8" s="115"/>
      <c r="M8" s="115"/>
      <c r="N8" s="8"/>
      <c r="O8" s="8"/>
      <c r="P8" s="8"/>
      <c r="Q8" s="8"/>
    </row>
    <row r="9" spans="1:17" ht="22.5" customHeight="1" x14ac:dyDescent="0.45">
      <c r="A9" s="110" t="s">
        <v>128</v>
      </c>
      <c r="B9" s="10"/>
      <c r="H9"/>
    </row>
    <row r="10" spans="1:17" ht="22.5" customHeight="1" x14ac:dyDescent="0.35">
      <c r="A10" s="11" t="s">
        <v>132</v>
      </c>
      <c r="B10" s="11"/>
      <c r="H10"/>
    </row>
    <row r="11" spans="1:17" ht="19.5" customHeight="1" x14ac:dyDescent="0.35">
      <c r="A11" s="11" t="s">
        <v>135</v>
      </c>
      <c r="B11" s="11"/>
      <c r="H11"/>
    </row>
    <row r="12" spans="1:17" ht="20.25" customHeight="1" x14ac:dyDescent="0.35">
      <c r="A12" s="11" t="s">
        <v>129</v>
      </c>
      <c r="H12"/>
    </row>
    <row r="13" spans="1:17" ht="16" thickBot="1" x14ac:dyDescent="0.4">
      <c r="A13" s="11"/>
    </row>
    <row r="14" spans="1:17" ht="71.25" customHeight="1" thickBot="1" x14ac:dyDescent="0.4">
      <c r="A14" s="12" t="s">
        <v>0</v>
      </c>
      <c r="B14" s="13" t="s">
        <v>1</v>
      </c>
      <c r="C14" s="116" t="s">
        <v>2</v>
      </c>
      <c r="D14" s="117"/>
      <c r="E14" s="117"/>
      <c r="F14" s="118"/>
      <c r="G14" s="119" t="s">
        <v>3</v>
      </c>
      <c r="H14" s="121" t="s">
        <v>4</v>
      </c>
      <c r="I14" s="122"/>
      <c r="J14" s="122"/>
      <c r="K14" s="122"/>
      <c r="L14" s="123"/>
      <c r="M14" s="119" t="s">
        <v>5</v>
      </c>
    </row>
    <row r="15" spans="1:17" ht="48" customHeight="1" thickBot="1" x14ac:dyDescent="0.4">
      <c r="A15" s="14"/>
      <c r="B15" s="15"/>
      <c r="C15" s="16" t="s">
        <v>6</v>
      </c>
      <c r="D15" s="16" t="s">
        <v>7</v>
      </c>
      <c r="E15" s="16" t="s">
        <v>8</v>
      </c>
      <c r="F15" s="17" t="s">
        <v>9</v>
      </c>
      <c r="G15" s="120"/>
      <c r="H15" s="16" t="s">
        <v>6</v>
      </c>
      <c r="I15" s="16" t="s">
        <v>7</v>
      </c>
      <c r="J15" s="16" t="s">
        <v>8</v>
      </c>
      <c r="K15" s="17" t="s">
        <v>9</v>
      </c>
      <c r="L15" s="16" t="s">
        <v>10</v>
      </c>
      <c r="M15" s="120"/>
    </row>
    <row r="16" spans="1:17" ht="33.75" customHeight="1" thickBot="1" x14ac:dyDescent="0.4">
      <c r="A16" s="111" t="s">
        <v>11</v>
      </c>
      <c r="B16" s="112"/>
      <c r="C16" s="112"/>
      <c r="D16" s="112"/>
      <c r="E16" s="112"/>
      <c r="F16" s="112"/>
      <c r="G16" s="113"/>
      <c r="H16" s="113"/>
      <c r="I16" s="113"/>
      <c r="J16" s="113"/>
      <c r="K16" s="113"/>
      <c r="L16" s="113"/>
      <c r="M16" s="114"/>
    </row>
    <row r="17" spans="1:13" ht="70.5" customHeight="1" thickBot="1" x14ac:dyDescent="0.4">
      <c r="A17" s="18" t="s">
        <v>12</v>
      </c>
      <c r="B17" s="19" t="s">
        <v>13</v>
      </c>
      <c r="C17" s="20">
        <f>C18+C19+C20+C21+C22</f>
        <v>150000</v>
      </c>
      <c r="D17" s="20">
        <f>D18+D19+D20+D21+D22</f>
        <v>32500</v>
      </c>
      <c r="E17" s="20">
        <f>E18+E19+E20+E21+E22</f>
        <v>98892</v>
      </c>
      <c r="F17" s="20">
        <f>F18+F19+F20+F21+F22</f>
        <v>0</v>
      </c>
      <c r="G17" s="21">
        <f>37.3%</f>
        <v>0.373</v>
      </c>
      <c r="H17" s="22">
        <f>H18+H19+H20+H21+H22</f>
        <v>131000</v>
      </c>
      <c r="I17" s="20">
        <f>I18+I19+I20+I21+I22</f>
        <v>23601</v>
      </c>
      <c r="J17" s="20">
        <f>J18+J19+J20+J21+J22</f>
        <v>86655</v>
      </c>
      <c r="K17" s="20">
        <f>K18+K19+K20+K21+K22</f>
        <v>0</v>
      </c>
      <c r="L17" s="20">
        <f>SUM(H17:K17)</f>
        <v>241256</v>
      </c>
      <c r="M17" s="19"/>
    </row>
    <row r="18" spans="1:13" ht="126" customHeight="1" thickBot="1" x14ac:dyDescent="0.4">
      <c r="A18" s="23" t="s">
        <v>14</v>
      </c>
      <c r="B18" s="19" t="s">
        <v>15</v>
      </c>
      <c r="C18" s="19">
        <v>70000</v>
      </c>
      <c r="D18" s="19">
        <v>15000</v>
      </c>
      <c r="E18" s="19">
        <v>19715</v>
      </c>
      <c r="F18" s="19">
        <v>0</v>
      </c>
      <c r="G18" s="19"/>
      <c r="H18" s="24">
        <v>58500</v>
      </c>
      <c r="I18" s="19">
        <v>14175</v>
      </c>
      <c r="J18" s="19">
        <v>8353</v>
      </c>
      <c r="K18" s="19">
        <v>0</v>
      </c>
      <c r="L18" s="19">
        <f t="shared" ref="L18:L34" si="0">SUM(H18:K18)</f>
        <v>81028</v>
      </c>
      <c r="M18" s="19"/>
    </row>
    <row r="19" spans="1:13" ht="155.25" customHeight="1" thickBot="1" x14ac:dyDescent="0.4">
      <c r="A19" s="23" t="s">
        <v>16</v>
      </c>
      <c r="B19" s="19" t="s">
        <v>17</v>
      </c>
      <c r="C19" s="19">
        <v>60000</v>
      </c>
      <c r="D19" s="19">
        <v>12500</v>
      </c>
      <c r="E19" s="19">
        <v>19715</v>
      </c>
      <c r="F19" s="19">
        <v>0</v>
      </c>
      <c r="G19" s="19"/>
      <c r="H19" s="24">
        <v>52500</v>
      </c>
      <c r="I19" s="19">
        <v>9426</v>
      </c>
      <c r="J19" s="19">
        <v>5474</v>
      </c>
      <c r="K19" s="19">
        <v>0</v>
      </c>
      <c r="L19" s="19">
        <f t="shared" si="0"/>
        <v>67400</v>
      </c>
      <c r="M19" s="19"/>
    </row>
    <row r="20" spans="1:13" ht="82.5" customHeight="1" thickBot="1" x14ac:dyDescent="0.4">
      <c r="A20" s="23" t="s">
        <v>18</v>
      </c>
      <c r="B20" s="19" t="s">
        <v>19</v>
      </c>
      <c r="C20" s="19">
        <v>20000</v>
      </c>
      <c r="D20" s="19">
        <v>5000</v>
      </c>
      <c r="E20" s="19">
        <v>23848</v>
      </c>
      <c r="F20" s="19">
        <v>0</v>
      </c>
      <c r="G20" s="19"/>
      <c r="H20" s="24">
        <v>20000</v>
      </c>
      <c r="I20" s="19">
        <v>0</v>
      </c>
      <c r="J20" s="19">
        <v>30057</v>
      </c>
      <c r="K20" s="19">
        <v>0</v>
      </c>
      <c r="L20" s="19">
        <f t="shared" si="0"/>
        <v>50057</v>
      </c>
      <c r="M20" s="19"/>
    </row>
    <row r="21" spans="1:13" ht="82.5" customHeight="1" thickBot="1" x14ac:dyDescent="0.4">
      <c r="A21" s="23" t="s">
        <v>20</v>
      </c>
      <c r="B21" s="19" t="s">
        <v>21</v>
      </c>
      <c r="C21" s="19">
        <v>0</v>
      </c>
      <c r="D21" s="19">
        <v>0</v>
      </c>
      <c r="E21" s="19">
        <v>15899</v>
      </c>
      <c r="F21" s="19">
        <v>0</v>
      </c>
      <c r="G21" s="19"/>
      <c r="H21" s="24"/>
      <c r="I21" s="19"/>
      <c r="J21" s="19">
        <v>0</v>
      </c>
      <c r="K21" s="19">
        <v>0</v>
      </c>
      <c r="L21" s="19">
        <f t="shared" si="0"/>
        <v>0</v>
      </c>
      <c r="M21" s="19"/>
    </row>
    <row r="22" spans="1:13" ht="82.5" customHeight="1" thickBot="1" x14ac:dyDescent="0.4">
      <c r="A22" s="23" t="s">
        <v>22</v>
      </c>
      <c r="B22" s="19" t="s">
        <v>23</v>
      </c>
      <c r="C22" s="19">
        <v>0</v>
      </c>
      <c r="D22" s="19">
        <v>0</v>
      </c>
      <c r="E22" s="19">
        <v>19715</v>
      </c>
      <c r="F22" s="19">
        <v>0</v>
      </c>
      <c r="G22" s="19"/>
      <c r="H22" s="24"/>
      <c r="I22" s="19"/>
      <c r="J22" s="19">
        <v>42771</v>
      </c>
      <c r="K22" s="19">
        <v>0</v>
      </c>
      <c r="L22" s="19">
        <f t="shared" si="0"/>
        <v>42771</v>
      </c>
      <c r="M22" s="19"/>
    </row>
    <row r="23" spans="1:13" ht="63.75" customHeight="1" thickBot="1" x14ac:dyDescent="0.4">
      <c r="A23" s="18" t="s">
        <v>24</v>
      </c>
      <c r="B23" s="19" t="s">
        <v>25</v>
      </c>
      <c r="C23" s="20">
        <f>C24+C25+C26</f>
        <v>50000</v>
      </c>
      <c r="D23" s="20">
        <f>D24+D25+D26</f>
        <v>50000</v>
      </c>
      <c r="E23" s="20">
        <f>E24+E25+E26</f>
        <v>58509</v>
      </c>
      <c r="F23" s="20">
        <f>F24+F25+F26</f>
        <v>12500</v>
      </c>
      <c r="G23" s="21">
        <f>64.4/100</f>
        <v>0.64400000000000002</v>
      </c>
      <c r="H23" s="22">
        <f>H24+H25+H26</f>
        <v>43000</v>
      </c>
      <c r="I23" s="20">
        <f>I24+I25+I26</f>
        <v>73483</v>
      </c>
      <c r="J23" s="20">
        <f>J24+J25+J26</f>
        <v>23839</v>
      </c>
      <c r="K23" s="20">
        <f>K24+K25+K26</f>
        <v>12500</v>
      </c>
      <c r="L23" s="20">
        <f t="shared" si="0"/>
        <v>152822</v>
      </c>
      <c r="M23" s="19"/>
    </row>
    <row r="24" spans="1:13" ht="120" customHeight="1" thickBot="1" x14ac:dyDescent="0.4">
      <c r="A24" s="23" t="s">
        <v>26</v>
      </c>
      <c r="B24" s="19" t="s">
        <v>27</v>
      </c>
      <c r="C24" s="19">
        <v>20000</v>
      </c>
      <c r="D24" s="19">
        <v>43000</v>
      </c>
      <c r="E24" s="19">
        <v>19715</v>
      </c>
      <c r="F24" s="19">
        <v>12500</v>
      </c>
      <c r="G24" s="19"/>
      <c r="H24" s="24">
        <v>18000</v>
      </c>
      <c r="I24" s="19">
        <v>42596</v>
      </c>
      <c r="J24" s="19">
        <v>4020</v>
      </c>
      <c r="K24" s="19">
        <v>12500</v>
      </c>
      <c r="L24" s="19">
        <f t="shared" si="0"/>
        <v>77116</v>
      </c>
      <c r="M24" s="19"/>
    </row>
    <row r="25" spans="1:13" ht="90.75" customHeight="1" thickBot="1" x14ac:dyDescent="0.4">
      <c r="A25" s="23" t="s">
        <v>28</v>
      </c>
      <c r="B25" s="19" t="s">
        <v>29</v>
      </c>
      <c r="C25" s="19">
        <v>30000</v>
      </c>
      <c r="D25" s="19">
        <v>7000</v>
      </c>
      <c r="E25" s="19">
        <v>19079</v>
      </c>
      <c r="F25" s="19">
        <v>0</v>
      </c>
      <c r="G25" s="19"/>
      <c r="H25" s="24">
        <v>25000</v>
      </c>
      <c r="I25" s="19">
        <v>30887</v>
      </c>
      <c r="J25" s="19">
        <v>17176</v>
      </c>
      <c r="K25" s="19">
        <v>0</v>
      </c>
      <c r="L25" s="19">
        <f t="shared" si="0"/>
        <v>73063</v>
      </c>
      <c r="M25" s="19"/>
    </row>
    <row r="26" spans="1:13" ht="90.75" customHeight="1" thickBot="1" x14ac:dyDescent="0.4">
      <c r="A26" s="23" t="s">
        <v>30</v>
      </c>
      <c r="B26" s="19" t="s">
        <v>31</v>
      </c>
      <c r="C26" s="19">
        <v>0</v>
      </c>
      <c r="D26" s="19">
        <v>0</v>
      </c>
      <c r="E26" s="19">
        <v>19715</v>
      </c>
      <c r="F26" s="19">
        <v>0</v>
      </c>
      <c r="G26" s="19"/>
      <c r="H26" s="24"/>
      <c r="I26" s="19">
        <v>0</v>
      </c>
      <c r="J26" s="19">
        <v>2643</v>
      </c>
      <c r="K26" s="19">
        <v>0</v>
      </c>
      <c r="L26" s="19">
        <f t="shared" si="0"/>
        <v>2643</v>
      </c>
      <c r="M26" s="19"/>
    </row>
    <row r="27" spans="1:13" ht="47.25" customHeight="1" thickBot="1" x14ac:dyDescent="0.4">
      <c r="A27" s="18" t="s">
        <v>32</v>
      </c>
      <c r="B27" s="19" t="s">
        <v>33</v>
      </c>
      <c r="C27" s="25">
        <f>C28+C29+C30+C31+C32+C33</f>
        <v>100000</v>
      </c>
      <c r="D27" s="25">
        <f>D28+D29+D30+D31+D32+D33</f>
        <v>0</v>
      </c>
      <c r="E27" s="25">
        <f>E28+E29+E30+E31+E32+E33</f>
        <v>155888</v>
      </c>
      <c r="F27" s="25">
        <f>F28+F29+F30+F31+F32+F33</f>
        <v>0</v>
      </c>
      <c r="G27" s="21">
        <f>25.1/100</f>
        <v>0.251</v>
      </c>
      <c r="H27" s="26">
        <f>H28+H29+H30+H31+H32+H33</f>
        <v>79065</v>
      </c>
      <c r="I27" s="25">
        <f>I28+I29+I30+I31+I32+I33</f>
        <v>0</v>
      </c>
      <c r="J27" s="25">
        <f>J28+J29+J30+J31+J32+J33</f>
        <v>39295</v>
      </c>
      <c r="K27" s="25">
        <f>K28+K29+K30+K31+K32+K33</f>
        <v>0</v>
      </c>
      <c r="L27" s="20">
        <f t="shared" si="0"/>
        <v>118360</v>
      </c>
      <c r="M27" s="19"/>
    </row>
    <row r="28" spans="1:13" ht="78" customHeight="1" thickBot="1" x14ac:dyDescent="0.4">
      <c r="A28" s="23" t="s">
        <v>34</v>
      </c>
      <c r="B28" s="19" t="s">
        <v>35</v>
      </c>
      <c r="C28" s="19">
        <v>12500</v>
      </c>
      <c r="D28" s="19">
        <v>0</v>
      </c>
      <c r="E28" s="19">
        <v>18125</v>
      </c>
      <c r="F28" s="19">
        <v>0</v>
      </c>
      <c r="G28" s="27"/>
      <c r="H28" s="24">
        <v>12500</v>
      </c>
      <c r="I28" s="19">
        <v>0</v>
      </c>
      <c r="J28" s="19">
        <v>33720</v>
      </c>
      <c r="K28" s="19">
        <v>0</v>
      </c>
      <c r="L28" s="19">
        <f t="shared" si="0"/>
        <v>46220</v>
      </c>
      <c r="M28" s="19"/>
    </row>
    <row r="29" spans="1:13" ht="90" customHeight="1" thickBot="1" x14ac:dyDescent="0.4">
      <c r="A29" s="23" t="s">
        <v>36</v>
      </c>
      <c r="B29" s="19" t="s">
        <v>37</v>
      </c>
      <c r="C29" s="19">
        <v>55000</v>
      </c>
      <c r="D29" s="19">
        <v>0</v>
      </c>
      <c r="E29" s="19">
        <v>103739</v>
      </c>
      <c r="F29" s="19">
        <v>0</v>
      </c>
      <c r="G29" s="19"/>
      <c r="H29" s="24">
        <v>43619</v>
      </c>
      <c r="I29" s="19">
        <v>0</v>
      </c>
      <c r="J29" s="19">
        <v>0</v>
      </c>
      <c r="K29" s="19">
        <v>0</v>
      </c>
      <c r="L29" s="19">
        <f t="shared" si="0"/>
        <v>43619</v>
      </c>
      <c r="M29" s="19"/>
    </row>
    <row r="30" spans="1:13" ht="80.25" customHeight="1" thickBot="1" x14ac:dyDescent="0.4">
      <c r="A30" s="23" t="s">
        <v>38</v>
      </c>
      <c r="B30" s="19" t="s">
        <v>39</v>
      </c>
      <c r="C30" s="19">
        <v>0</v>
      </c>
      <c r="D30" s="19">
        <v>0</v>
      </c>
      <c r="E30" s="19">
        <v>0</v>
      </c>
      <c r="F30" s="19">
        <v>0</v>
      </c>
      <c r="G30" s="19"/>
      <c r="H30" s="24">
        <v>0</v>
      </c>
      <c r="I30" s="19">
        <v>0</v>
      </c>
      <c r="J30" s="19">
        <v>0</v>
      </c>
      <c r="K30" s="19">
        <v>0</v>
      </c>
      <c r="L30" s="19">
        <f t="shared" si="0"/>
        <v>0</v>
      </c>
      <c r="M30" s="19"/>
    </row>
    <row r="31" spans="1:13" ht="143.25" customHeight="1" thickBot="1" x14ac:dyDescent="0.4">
      <c r="A31" s="23" t="s">
        <v>40</v>
      </c>
      <c r="B31" s="19" t="s">
        <v>41</v>
      </c>
      <c r="C31" s="19">
        <v>32500</v>
      </c>
      <c r="D31" s="19">
        <v>0</v>
      </c>
      <c r="E31" s="19">
        <v>17488</v>
      </c>
      <c r="F31" s="19">
        <v>0</v>
      </c>
      <c r="G31" s="19"/>
      <c r="H31" s="24">
        <v>22946</v>
      </c>
      <c r="I31" s="19">
        <v>0</v>
      </c>
      <c r="J31" s="19">
        <v>991</v>
      </c>
      <c r="K31" s="19">
        <v>0</v>
      </c>
      <c r="L31" s="19">
        <f t="shared" si="0"/>
        <v>23937</v>
      </c>
      <c r="M31" s="19"/>
    </row>
    <row r="32" spans="1:13" ht="100.5" customHeight="1" thickBot="1" x14ac:dyDescent="0.4">
      <c r="A32" s="23" t="s">
        <v>42</v>
      </c>
      <c r="B32" s="28" t="s">
        <v>43</v>
      </c>
      <c r="C32" s="19">
        <v>0</v>
      </c>
      <c r="D32" s="19">
        <v>0</v>
      </c>
      <c r="E32" s="19">
        <v>7950</v>
      </c>
      <c r="F32" s="19">
        <v>0</v>
      </c>
      <c r="G32" s="19"/>
      <c r="H32" s="24">
        <v>0</v>
      </c>
      <c r="I32" s="19">
        <v>0</v>
      </c>
      <c r="J32" s="19">
        <v>0</v>
      </c>
      <c r="K32" s="19">
        <v>0</v>
      </c>
      <c r="L32" s="19">
        <f t="shared" si="0"/>
        <v>0</v>
      </c>
      <c r="M32" s="29"/>
    </row>
    <row r="33" spans="1:13" ht="78" customHeight="1" thickBot="1" x14ac:dyDescent="0.4">
      <c r="A33" s="23" t="s">
        <v>44</v>
      </c>
      <c r="B33" s="23" t="s">
        <v>45</v>
      </c>
      <c r="C33" s="19">
        <v>0</v>
      </c>
      <c r="D33" s="19">
        <v>0</v>
      </c>
      <c r="E33" s="19">
        <v>8586</v>
      </c>
      <c r="F33" s="19">
        <v>0</v>
      </c>
      <c r="G33" s="19"/>
      <c r="H33" s="24"/>
      <c r="I33" s="19">
        <v>0</v>
      </c>
      <c r="J33" s="19">
        <v>4584</v>
      </c>
      <c r="K33" s="19">
        <v>0</v>
      </c>
      <c r="L33" s="19">
        <f t="shared" si="0"/>
        <v>4584</v>
      </c>
      <c r="M33" s="19"/>
    </row>
    <row r="34" spans="1:13" ht="21" customHeight="1" thickBot="1" x14ac:dyDescent="0.4">
      <c r="A34" s="128" t="s">
        <v>46</v>
      </c>
      <c r="B34" s="129"/>
      <c r="C34" s="29">
        <f>C27+C23+C17</f>
        <v>300000</v>
      </c>
      <c r="D34" s="29">
        <f t="shared" ref="D34:J34" si="1">D27+D23+D17</f>
        <v>82500</v>
      </c>
      <c r="E34" s="29">
        <f t="shared" si="1"/>
        <v>313289</v>
      </c>
      <c r="F34" s="29">
        <f t="shared" si="1"/>
        <v>12500</v>
      </c>
      <c r="G34" s="30">
        <f>(G2+G23+G17)/3</f>
        <v>0.33899999999999997</v>
      </c>
      <c r="H34" s="31">
        <f>H27+H23+H17</f>
        <v>253065</v>
      </c>
      <c r="I34" s="29">
        <f t="shared" si="1"/>
        <v>97084</v>
      </c>
      <c r="J34" s="29">
        <f t="shared" si="1"/>
        <v>149789</v>
      </c>
      <c r="K34" s="29">
        <f>K27+K23+K17</f>
        <v>12500</v>
      </c>
      <c r="L34" s="20">
        <f t="shared" si="0"/>
        <v>512438</v>
      </c>
      <c r="M34" s="29"/>
    </row>
    <row r="35" spans="1:13" ht="22.5" customHeight="1" thickBot="1" x14ac:dyDescent="0.4">
      <c r="A35" s="128" t="s">
        <v>47</v>
      </c>
      <c r="B35" s="129"/>
      <c r="C35" s="129"/>
      <c r="D35" s="129"/>
      <c r="E35" s="129"/>
      <c r="F35" s="129"/>
      <c r="G35" s="129"/>
      <c r="H35" s="129"/>
      <c r="I35" s="129"/>
      <c r="J35" s="129"/>
      <c r="K35" s="129"/>
      <c r="L35" s="129"/>
      <c r="M35" s="130"/>
    </row>
    <row r="36" spans="1:13" ht="48" customHeight="1" thickBot="1" x14ac:dyDescent="0.4">
      <c r="A36" s="18" t="s">
        <v>48</v>
      </c>
      <c r="B36" s="19" t="s">
        <v>49</v>
      </c>
      <c r="C36" s="20">
        <f>C37</f>
        <v>149000</v>
      </c>
      <c r="D36" s="20">
        <f>D37</f>
        <v>110000</v>
      </c>
      <c r="E36" s="20">
        <f>E37</f>
        <v>139200</v>
      </c>
      <c r="F36" s="20">
        <f>F37</f>
        <v>0</v>
      </c>
      <c r="G36" s="32">
        <f>44.4%</f>
        <v>0.44400000000000001</v>
      </c>
      <c r="H36" s="22">
        <f>H37</f>
        <v>144000</v>
      </c>
      <c r="I36" s="33">
        <f>I37</f>
        <v>109378</v>
      </c>
      <c r="J36" s="33">
        <f>J37</f>
        <v>129091</v>
      </c>
      <c r="K36" s="33">
        <f>K37</f>
        <v>0</v>
      </c>
      <c r="L36" s="19">
        <f>SUM(H36:K36)</f>
        <v>382469</v>
      </c>
      <c r="M36" s="19"/>
    </row>
    <row r="37" spans="1:13" ht="120" customHeight="1" thickBot="1" x14ac:dyDescent="0.4">
      <c r="A37" s="23" t="s">
        <v>50</v>
      </c>
      <c r="B37" s="19" t="s">
        <v>51</v>
      </c>
      <c r="C37" s="19">
        <v>149000</v>
      </c>
      <c r="D37" s="19">
        <v>110000</v>
      </c>
      <c r="E37" s="19">
        <v>139200</v>
      </c>
      <c r="F37" s="19">
        <v>0</v>
      </c>
      <c r="G37" s="19"/>
      <c r="H37" s="24">
        <v>144000</v>
      </c>
      <c r="I37" s="19">
        <v>109378</v>
      </c>
      <c r="J37" s="19">
        <v>129091</v>
      </c>
      <c r="K37" s="19">
        <v>0</v>
      </c>
      <c r="L37" s="19">
        <f t="shared" ref="L37:L58" si="2">SUM(H37:K37)</f>
        <v>382469</v>
      </c>
      <c r="M37" s="19"/>
    </row>
    <row r="38" spans="1:13" ht="65.25" customHeight="1" thickBot="1" x14ac:dyDescent="0.4">
      <c r="A38" s="18" t="s">
        <v>52</v>
      </c>
      <c r="B38" s="19" t="s">
        <v>53</v>
      </c>
      <c r="C38" s="20">
        <f>C39+C40+C41+C42+C43</f>
        <v>20000</v>
      </c>
      <c r="D38" s="20">
        <f>D39+D40+D41+D42+D43</f>
        <v>10000</v>
      </c>
      <c r="E38" s="20">
        <f>E39+E40+E41+E42+E43</f>
        <v>0</v>
      </c>
      <c r="F38" s="20">
        <f>F39+F40+F41+F42+F43</f>
        <v>137500</v>
      </c>
      <c r="G38" s="32">
        <f>12.7%</f>
        <v>0.127</v>
      </c>
      <c r="H38" s="22">
        <f>H39+H40+H41+H42+H43</f>
        <v>20000</v>
      </c>
      <c r="I38" s="20">
        <f>I39+I40+I41+I42+I43</f>
        <v>15767</v>
      </c>
      <c r="J38" s="20">
        <f>J39+J40+J41+J42+J43</f>
        <v>0</v>
      </c>
      <c r="K38" s="20">
        <f>K39+K40+K41+K42+K43</f>
        <v>137500</v>
      </c>
      <c r="L38" s="20">
        <f t="shared" si="2"/>
        <v>173267</v>
      </c>
      <c r="M38" s="19"/>
    </row>
    <row r="39" spans="1:13" ht="50.25" customHeight="1" thickBot="1" x14ac:dyDescent="0.4">
      <c r="A39" s="23" t="s">
        <v>54</v>
      </c>
      <c r="B39" s="19" t="s">
        <v>55</v>
      </c>
      <c r="C39" s="19">
        <v>0</v>
      </c>
      <c r="D39" s="19">
        <v>0</v>
      </c>
      <c r="E39" s="19">
        <v>0</v>
      </c>
      <c r="F39" s="19">
        <v>12500</v>
      </c>
      <c r="G39" s="19"/>
      <c r="H39" s="24">
        <v>0</v>
      </c>
      <c r="I39" s="19">
        <v>0</v>
      </c>
      <c r="J39" s="19">
        <v>0</v>
      </c>
      <c r="K39" s="19">
        <v>12500</v>
      </c>
      <c r="L39" s="19">
        <f t="shared" si="2"/>
        <v>12500</v>
      </c>
      <c r="M39" s="19"/>
    </row>
    <row r="40" spans="1:13" ht="69" customHeight="1" thickBot="1" x14ac:dyDescent="0.4">
      <c r="A40" s="23" t="s">
        <v>56</v>
      </c>
      <c r="B40" s="19" t="s">
        <v>57</v>
      </c>
      <c r="C40" s="19">
        <v>10000</v>
      </c>
      <c r="D40" s="19">
        <v>0</v>
      </c>
      <c r="E40" s="19">
        <v>0</v>
      </c>
      <c r="F40" s="19">
        <v>50000</v>
      </c>
      <c r="G40" s="19"/>
      <c r="H40" s="24">
        <v>10000</v>
      </c>
      <c r="I40" s="19">
        <v>0</v>
      </c>
      <c r="J40" s="19">
        <v>0</v>
      </c>
      <c r="K40" s="19">
        <v>50000</v>
      </c>
      <c r="L40" s="19">
        <f t="shared" si="2"/>
        <v>60000</v>
      </c>
      <c r="M40" s="19"/>
    </row>
    <row r="41" spans="1:13" ht="53.25" customHeight="1" thickBot="1" x14ac:dyDescent="0.4">
      <c r="A41" s="23" t="s">
        <v>58</v>
      </c>
      <c r="B41" s="19" t="s">
        <v>59</v>
      </c>
      <c r="C41" s="19">
        <v>0</v>
      </c>
      <c r="D41" s="19">
        <v>0</v>
      </c>
      <c r="E41" s="19">
        <v>0</v>
      </c>
      <c r="F41" s="19">
        <v>12500</v>
      </c>
      <c r="G41" s="19"/>
      <c r="H41" s="24">
        <v>0</v>
      </c>
      <c r="I41" s="19">
        <v>0</v>
      </c>
      <c r="J41" s="19">
        <v>0</v>
      </c>
      <c r="K41" s="19">
        <v>12500</v>
      </c>
      <c r="L41" s="19">
        <f t="shared" si="2"/>
        <v>12500</v>
      </c>
      <c r="M41" s="19"/>
    </row>
    <row r="42" spans="1:13" ht="81.75" customHeight="1" thickBot="1" x14ac:dyDescent="0.4">
      <c r="A42" s="23" t="s">
        <v>60</v>
      </c>
      <c r="B42" s="19" t="s">
        <v>61</v>
      </c>
      <c r="C42" s="19">
        <v>5000</v>
      </c>
      <c r="D42" s="19">
        <v>10000</v>
      </c>
      <c r="E42" s="19">
        <v>0</v>
      </c>
      <c r="F42" s="19">
        <v>50000</v>
      </c>
      <c r="G42" s="19"/>
      <c r="H42" s="24">
        <v>5000</v>
      </c>
      <c r="I42" s="19">
        <v>15767</v>
      </c>
      <c r="J42" s="19">
        <v>0</v>
      </c>
      <c r="K42" s="19">
        <v>50000</v>
      </c>
      <c r="L42" s="19">
        <f t="shared" si="2"/>
        <v>70767</v>
      </c>
      <c r="M42" s="19"/>
    </row>
    <row r="43" spans="1:13" ht="71.25" customHeight="1" thickBot="1" x14ac:dyDescent="0.4">
      <c r="A43" s="23" t="s">
        <v>62</v>
      </c>
      <c r="B43" s="19" t="s">
        <v>63</v>
      </c>
      <c r="C43" s="19">
        <v>5000</v>
      </c>
      <c r="D43" s="19">
        <v>0</v>
      </c>
      <c r="E43" s="19">
        <v>0</v>
      </c>
      <c r="F43" s="19">
        <v>12500</v>
      </c>
      <c r="G43" s="19"/>
      <c r="H43" s="24">
        <v>5000</v>
      </c>
      <c r="I43" s="19">
        <v>0</v>
      </c>
      <c r="J43" s="19">
        <v>0</v>
      </c>
      <c r="K43" s="19">
        <v>12500</v>
      </c>
      <c r="L43" s="19">
        <f t="shared" si="2"/>
        <v>17500</v>
      </c>
      <c r="M43" s="19"/>
    </row>
    <row r="44" spans="1:13" s="35" customFormat="1" ht="57" customHeight="1" thickBot="1" x14ac:dyDescent="0.4">
      <c r="A44" s="18" t="s">
        <v>64</v>
      </c>
      <c r="B44" s="20" t="s">
        <v>65</v>
      </c>
      <c r="C44" s="20">
        <f>C45+C46+C47+C48</f>
        <v>60000</v>
      </c>
      <c r="D44" s="20">
        <f>SUM(D45:D48)</f>
        <v>68000</v>
      </c>
      <c r="E44" s="20">
        <f>SUM(E45:E48)</f>
        <v>31970</v>
      </c>
      <c r="F44" s="20">
        <f>SUM(F45:F48)</f>
        <v>195000</v>
      </c>
      <c r="G44" s="34">
        <f>0.5865</f>
        <v>0.58650000000000002</v>
      </c>
      <c r="H44" s="22">
        <f>H45+H46+H47+H48</f>
        <v>55000</v>
      </c>
      <c r="I44" s="33">
        <f>I45+I46+I47+I48</f>
        <v>72972</v>
      </c>
      <c r="J44" s="33">
        <f>J45+J46+J47+J48</f>
        <v>25067</v>
      </c>
      <c r="K44" s="33">
        <f>K45+K46+K47+K48</f>
        <v>195000</v>
      </c>
      <c r="L44" s="20">
        <f t="shared" si="2"/>
        <v>348039</v>
      </c>
      <c r="M44" s="19"/>
    </row>
    <row r="45" spans="1:13" ht="108" customHeight="1" thickBot="1" x14ac:dyDescent="0.4">
      <c r="A45" s="23" t="s">
        <v>66</v>
      </c>
      <c r="B45" s="19" t="s">
        <v>67</v>
      </c>
      <c r="C45" s="19">
        <v>26500</v>
      </c>
      <c r="D45" s="19">
        <v>22000</v>
      </c>
      <c r="E45" s="19">
        <v>12650</v>
      </c>
      <c r="F45" s="19">
        <v>135000</v>
      </c>
      <c r="G45" s="19"/>
      <c r="H45" s="24">
        <v>26500</v>
      </c>
      <c r="I45" s="19">
        <v>7721</v>
      </c>
      <c r="J45" s="19">
        <v>3219</v>
      </c>
      <c r="K45" s="19">
        <v>135000</v>
      </c>
      <c r="L45" s="19">
        <f t="shared" si="2"/>
        <v>172440</v>
      </c>
      <c r="M45" s="19"/>
    </row>
    <row r="46" spans="1:13" ht="81" customHeight="1" thickBot="1" x14ac:dyDescent="0.4">
      <c r="A46" s="23" t="s">
        <v>68</v>
      </c>
      <c r="B46" s="19" t="s">
        <v>69</v>
      </c>
      <c r="C46" s="19">
        <v>15000</v>
      </c>
      <c r="D46" s="36">
        <v>46000</v>
      </c>
      <c r="E46" s="19">
        <v>16100</v>
      </c>
      <c r="F46" s="19">
        <v>0</v>
      </c>
      <c r="G46" s="19"/>
      <c r="H46" s="24">
        <v>13000</v>
      </c>
      <c r="I46" s="19">
        <v>45112</v>
      </c>
      <c r="J46" s="19">
        <v>20527</v>
      </c>
      <c r="K46" s="19">
        <v>0</v>
      </c>
      <c r="L46" s="19">
        <f t="shared" si="2"/>
        <v>78639</v>
      </c>
      <c r="M46" s="19"/>
    </row>
    <row r="47" spans="1:13" ht="106.5" customHeight="1" thickBot="1" x14ac:dyDescent="0.4">
      <c r="A47" s="23" t="s">
        <v>70</v>
      </c>
      <c r="B47" s="19" t="s">
        <v>71</v>
      </c>
      <c r="C47" s="19">
        <v>15000</v>
      </c>
      <c r="D47" s="19">
        <v>0</v>
      </c>
      <c r="E47" s="19">
        <v>0</v>
      </c>
      <c r="F47" s="19">
        <v>60000</v>
      </c>
      <c r="G47" s="19"/>
      <c r="H47" s="24">
        <v>12000</v>
      </c>
      <c r="I47" s="19">
        <v>20139</v>
      </c>
      <c r="J47" s="19">
        <v>0</v>
      </c>
      <c r="K47" s="19">
        <v>60000</v>
      </c>
      <c r="L47" s="19">
        <f t="shared" si="2"/>
        <v>92139</v>
      </c>
      <c r="M47" s="19"/>
    </row>
    <row r="48" spans="1:13" ht="69" customHeight="1" thickBot="1" x14ac:dyDescent="0.4">
      <c r="A48" s="23" t="s">
        <v>72</v>
      </c>
      <c r="B48" s="19" t="s">
        <v>73</v>
      </c>
      <c r="C48" s="19">
        <v>3500</v>
      </c>
      <c r="D48" s="19">
        <v>0</v>
      </c>
      <c r="E48" s="19">
        <v>3220</v>
      </c>
      <c r="F48" s="19">
        <v>0</v>
      </c>
      <c r="G48" s="19"/>
      <c r="H48" s="24">
        <v>3500</v>
      </c>
      <c r="I48" s="19">
        <v>0</v>
      </c>
      <c r="J48" s="19">
        <v>1321</v>
      </c>
      <c r="K48" s="19">
        <v>0</v>
      </c>
      <c r="L48" s="19">
        <f t="shared" si="2"/>
        <v>4821</v>
      </c>
      <c r="M48" s="19"/>
    </row>
    <row r="49" spans="1:13" ht="48.75" customHeight="1" thickBot="1" x14ac:dyDescent="0.4">
      <c r="A49" s="18" t="s">
        <v>74</v>
      </c>
      <c r="B49" s="19" t="s">
        <v>75</v>
      </c>
      <c r="C49" s="20">
        <f>C50+C51+C52</f>
        <v>30000</v>
      </c>
      <c r="D49" s="20">
        <f>D50+D51+D52</f>
        <v>244000</v>
      </c>
      <c r="E49" s="20">
        <f>E50+E51+E52</f>
        <v>18400</v>
      </c>
      <c r="F49" s="20">
        <f>F50+F51+F52</f>
        <v>84000</v>
      </c>
      <c r="G49" s="32">
        <f>0.4486</f>
        <v>0.4486</v>
      </c>
      <c r="H49" s="22">
        <f>H50+H51+H52</f>
        <v>25990</v>
      </c>
      <c r="I49" s="33">
        <f>I50+I51+I52</f>
        <v>245556</v>
      </c>
      <c r="J49" s="33">
        <f>J50+J51+J52</f>
        <v>38224</v>
      </c>
      <c r="K49" s="33">
        <f>K50+K51+K52</f>
        <v>84000</v>
      </c>
      <c r="L49" s="20">
        <f t="shared" si="2"/>
        <v>393770</v>
      </c>
      <c r="M49" s="19"/>
    </row>
    <row r="50" spans="1:13" ht="66" customHeight="1" thickBot="1" x14ac:dyDescent="0.4">
      <c r="A50" s="23" t="s">
        <v>76</v>
      </c>
      <c r="B50" s="19" t="s">
        <v>77</v>
      </c>
      <c r="C50" s="19">
        <v>28000</v>
      </c>
      <c r="D50" s="19">
        <v>95000</v>
      </c>
      <c r="E50" s="19">
        <v>18400</v>
      </c>
      <c r="F50" s="19">
        <v>30000</v>
      </c>
      <c r="G50" s="19"/>
      <c r="H50" s="24">
        <v>23990</v>
      </c>
      <c r="I50" s="19">
        <v>94730</v>
      </c>
      <c r="J50" s="19">
        <v>38224</v>
      </c>
      <c r="K50" s="19">
        <v>30000</v>
      </c>
      <c r="L50" s="19">
        <f t="shared" si="2"/>
        <v>186944</v>
      </c>
      <c r="M50" s="19"/>
    </row>
    <row r="51" spans="1:13" ht="121.5" customHeight="1" thickBot="1" x14ac:dyDescent="0.4">
      <c r="A51" s="23" t="s">
        <v>78</v>
      </c>
      <c r="B51" s="19" t="s">
        <v>79</v>
      </c>
      <c r="C51" s="19">
        <v>0</v>
      </c>
      <c r="D51" s="19">
        <v>149000</v>
      </c>
      <c r="E51" s="19">
        <v>0</v>
      </c>
      <c r="F51" s="19">
        <v>31000</v>
      </c>
      <c r="G51" s="19"/>
      <c r="H51" s="24">
        <v>0</v>
      </c>
      <c r="I51" s="19">
        <v>150826</v>
      </c>
      <c r="J51" s="19">
        <v>0</v>
      </c>
      <c r="K51" s="19">
        <v>31000</v>
      </c>
      <c r="L51" s="19">
        <f t="shared" si="2"/>
        <v>181826</v>
      </c>
      <c r="M51" s="19"/>
    </row>
    <row r="52" spans="1:13" ht="37.5" customHeight="1" thickBot="1" x14ac:dyDescent="0.4">
      <c r="A52" s="23" t="s">
        <v>80</v>
      </c>
      <c r="B52" s="19" t="s">
        <v>81</v>
      </c>
      <c r="C52" s="19">
        <v>2000</v>
      </c>
      <c r="D52" s="19">
        <v>0</v>
      </c>
      <c r="E52" s="19">
        <v>0</v>
      </c>
      <c r="F52" s="19">
        <v>23000</v>
      </c>
      <c r="G52" s="19"/>
      <c r="H52" s="24">
        <v>2000</v>
      </c>
      <c r="I52" s="19">
        <v>0</v>
      </c>
      <c r="J52" s="19">
        <v>0</v>
      </c>
      <c r="K52" s="19">
        <v>23000</v>
      </c>
      <c r="L52" s="19">
        <f t="shared" si="2"/>
        <v>25000</v>
      </c>
      <c r="M52" s="19"/>
    </row>
    <row r="53" spans="1:13" ht="23.25" customHeight="1" thickBot="1" x14ac:dyDescent="0.4">
      <c r="A53" s="128" t="s">
        <v>82</v>
      </c>
      <c r="B53" s="130"/>
      <c r="C53" s="29">
        <f>C49+C44+C38+C36</f>
        <v>259000</v>
      </c>
      <c r="D53" s="29">
        <f t="shared" ref="D53:J53" si="3">D49+D44+D38+D36</f>
        <v>432000</v>
      </c>
      <c r="E53" s="29">
        <f>E49+E44+E38+E36</f>
        <v>189570</v>
      </c>
      <c r="F53" s="29">
        <f t="shared" si="3"/>
        <v>416500</v>
      </c>
      <c r="G53" s="30">
        <f>(G49+G44+G38+G36)/4</f>
        <v>0.40152499999999997</v>
      </c>
      <c r="H53" s="31">
        <f>H49+H44+H38+H36</f>
        <v>244990</v>
      </c>
      <c r="I53" s="29">
        <f t="shared" si="3"/>
        <v>443673</v>
      </c>
      <c r="J53" s="29">
        <f t="shared" si="3"/>
        <v>192382</v>
      </c>
      <c r="K53" s="29">
        <f>K49+K44+K38+K36</f>
        <v>416500</v>
      </c>
      <c r="L53" s="20">
        <f t="shared" si="2"/>
        <v>1297545</v>
      </c>
      <c r="M53" s="29"/>
    </row>
    <row r="54" spans="1:13" ht="33" customHeight="1" thickBot="1" x14ac:dyDescent="0.4">
      <c r="A54" s="126" t="s">
        <v>83</v>
      </c>
      <c r="B54" s="127"/>
      <c r="C54" s="37">
        <v>35726</v>
      </c>
      <c r="D54" s="37">
        <v>68653.649999999994</v>
      </c>
      <c r="E54" s="37">
        <v>122699</v>
      </c>
      <c r="F54" s="37">
        <v>198700</v>
      </c>
      <c r="G54" s="30"/>
      <c r="H54" s="38">
        <v>94977.76</v>
      </c>
      <c r="I54" s="39">
        <v>60223</v>
      </c>
      <c r="J54" s="40">
        <f>262898-5120.68</f>
        <v>257777.32</v>
      </c>
      <c r="K54" s="39">
        <v>198700</v>
      </c>
      <c r="L54" s="19">
        <f t="shared" si="2"/>
        <v>611678.08000000007</v>
      </c>
      <c r="M54" s="39"/>
    </row>
    <row r="55" spans="1:13" ht="19.5" customHeight="1" thickBot="1" x14ac:dyDescent="0.4">
      <c r="A55" s="126" t="s">
        <v>84</v>
      </c>
      <c r="B55" s="127"/>
      <c r="C55" s="37">
        <v>121802</v>
      </c>
      <c r="D55" s="37">
        <v>34346</v>
      </c>
      <c r="E55" s="37">
        <v>50324</v>
      </c>
      <c r="F55" s="37">
        <v>32100</v>
      </c>
      <c r="G55" s="30"/>
      <c r="H55" s="41">
        <v>121802</v>
      </c>
      <c r="I55" s="42">
        <v>51520</v>
      </c>
      <c r="J55" s="43">
        <f>3774.3+113.35+412.72+573.64+3524.6+2193.04+458.91+99.18+1048.58+1930.05+3957.55+245.32+19765+499+365+98+342.25+273.51+4602.09+31.68+9645.61</f>
        <v>53953.380000000012</v>
      </c>
      <c r="K55" s="42">
        <v>31564.2</v>
      </c>
      <c r="L55" s="19">
        <f t="shared" si="2"/>
        <v>258839.58000000002</v>
      </c>
      <c r="M55" s="42"/>
    </row>
    <row r="56" spans="1:13" ht="33" customHeight="1" thickBot="1" x14ac:dyDescent="0.4">
      <c r="A56" s="126" t="s">
        <v>85</v>
      </c>
      <c r="B56" s="127"/>
      <c r="C56" s="44">
        <v>32472</v>
      </c>
      <c r="D56" s="44">
        <v>35000</v>
      </c>
      <c r="E56" s="44">
        <v>41152</v>
      </c>
      <c r="F56" s="44">
        <v>25000</v>
      </c>
      <c r="G56" s="30"/>
      <c r="H56" s="41">
        <v>32472</v>
      </c>
      <c r="I56" s="42">
        <v>0</v>
      </c>
      <c r="J56" s="43">
        <f>3907.02+2331.51+1023.45+50070.39+638.67+179.35+3381.91+1600</f>
        <v>63132.3</v>
      </c>
      <c r="K56" s="42">
        <v>25000</v>
      </c>
      <c r="L56" s="19">
        <f t="shared" si="2"/>
        <v>120604.3</v>
      </c>
      <c r="M56" s="42"/>
    </row>
    <row r="57" spans="1:13" ht="21" customHeight="1" thickBot="1" x14ac:dyDescent="0.4">
      <c r="A57" s="124" t="s">
        <v>86</v>
      </c>
      <c r="B57" s="125"/>
      <c r="C57" s="29">
        <f>C56+C55+C54+C53+C34</f>
        <v>749000</v>
      </c>
      <c r="D57" s="29">
        <f>D56+D55+D54+D53+D34</f>
        <v>652499.65</v>
      </c>
      <c r="E57" s="29">
        <f>E56+E55+E54+E53+E34</f>
        <v>717034</v>
      </c>
      <c r="F57" s="29">
        <f>F56+F55+F54+F53+F34</f>
        <v>684800</v>
      </c>
      <c r="G57" s="30"/>
      <c r="H57" s="31">
        <f>H56+H55+H54+H53+H34</f>
        <v>747306.76</v>
      </c>
      <c r="I57" s="29">
        <f>I56+I55+I54+I53+I34</f>
        <v>652500</v>
      </c>
      <c r="J57" s="29">
        <f>J56+J55+J54+J53+J34</f>
        <v>717034</v>
      </c>
      <c r="K57" s="29">
        <f>K56+K55+K54+K53+K34</f>
        <v>684264.2</v>
      </c>
      <c r="L57" s="20">
        <f>SUM(H57:K57)</f>
        <v>2801104.96</v>
      </c>
      <c r="M57" s="29"/>
    </row>
    <row r="58" spans="1:13" ht="18.75" customHeight="1" thickBot="1" x14ac:dyDescent="0.4">
      <c r="A58" s="126" t="s">
        <v>87</v>
      </c>
      <c r="B58" s="127"/>
      <c r="C58" s="45">
        <f>C57*7/100</f>
        <v>52430</v>
      </c>
      <c r="D58" s="45">
        <f t="shared" ref="D58:K58" si="4">D57*7/100</f>
        <v>45674.9755</v>
      </c>
      <c r="E58" s="45">
        <f t="shared" si="4"/>
        <v>50192.38</v>
      </c>
      <c r="F58" s="45">
        <f t="shared" si="4"/>
        <v>47936</v>
      </c>
      <c r="G58" s="30"/>
      <c r="H58" s="46">
        <f>H57*7/100</f>
        <v>52311.4732</v>
      </c>
      <c r="I58" s="45">
        <f>I57*7/100</f>
        <v>45675</v>
      </c>
      <c r="J58" s="45">
        <f>J57*7/100</f>
        <v>50192.38</v>
      </c>
      <c r="K58" s="45">
        <f t="shared" si="4"/>
        <v>47898.493999999992</v>
      </c>
      <c r="L58" s="19">
        <f t="shared" si="2"/>
        <v>196077.34720000002</v>
      </c>
      <c r="M58" s="45"/>
    </row>
    <row r="59" spans="1:13" ht="22.5" customHeight="1" thickBot="1" x14ac:dyDescent="0.4">
      <c r="A59" s="128" t="s">
        <v>88</v>
      </c>
      <c r="B59" s="129"/>
      <c r="C59" s="29">
        <f>C58+C57</f>
        <v>801430</v>
      </c>
      <c r="D59" s="29">
        <f t="shared" ref="D59:I59" si="5">D58+D57</f>
        <v>698174.62550000008</v>
      </c>
      <c r="E59" s="29">
        <f>E58+E57</f>
        <v>767226.38</v>
      </c>
      <c r="F59" s="29">
        <f t="shared" si="5"/>
        <v>732736</v>
      </c>
      <c r="G59" s="30">
        <v>0.3</v>
      </c>
      <c r="H59" s="31">
        <f>H58+H57</f>
        <v>799618.23320000002</v>
      </c>
      <c r="I59" s="29">
        <f t="shared" si="5"/>
        <v>698175</v>
      </c>
      <c r="J59" s="29">
        <f>J58+J57</f>
        <v>767226.38</v>
      </c>
      <c r="K59" s="29">
        <f>K58+K57</f>
        <v>732162.6939999999</v>
      </c>
      <c r="L59" s="20">
        <f>SUM(H59:K59)</f>
        <v>2997182.3071999997</v>
      </c>
      <c r="M59" s="29"/>
    </row>
    <row r="60" spans="1:13" ht="15" thickBot="1" x14ac:dyDescent="0.4">
      <c r="H60" s="47"/>
      <c r="J60" s="48"/>
    </row>
    <row r="61" spans="1:13" x14ac:dyDescent="0.35">
      <c r="A61" s="49" t="s">
        <v>89</v>
      </c>
      <c r="B61" s="50" t="s">
        <v>90</v>
      </c>
      <c r="C61" s="51"/>
      <c r="D61" s="52"/>
      <c r="F61" s="53"/>
      <c r="G61" s="54" t="s">
        <v>91</v>
      </c>
      <c r="H61" s="55">
        <f>C59-H59</f>
        <v>1811.766799999983</v>
      </c>
      <c r="I61" s="56">
        <f>D59-I59</f>
        <v>-0.37449999991804361</v>
      </c>
      <c r="J61" s="57">
        <f>E59-J59</f>
        <v>0</v>
      </c>
      <c r="K61" s="57">
        <f>F59-K59</f>
        <v>573.30600000009872</v>
      </c>
      <c r="L61" s="57">
        <f>SUM(H61:K61)</f>
        <v>2384.6983000001637</v>
      </c>
    </row>
    <row r="62" spans="1:13" x14ac:dyDescent="0.35">
      <c r="A62" s="58"/>
      <c r="B62" s="59" t="s">
        <v>92</v>
      </c>
      <c r="C62" s="60">
        <f>H59/C59</f>
        <v>0.99773933244325774</v>
      </c>
      <c r="D62" s="61"/>
    </row>
    <row r="63" spans="1:13" x14ac:dyDescent="0.35">
      <c r="A63" s="58"/>
      <c r="B63" s="59" t="s">
        <v>93</v>
      </c>
      <c r="C63" s="60">
        <f>I59/D59</f>
        <v>1.000000536398755</v>
      </c>
      <c r="D63" s="61"/>
      <c r="J63" s="48"/>
      <c r="K63" s="48"/>
    </row>
    <row r="64" spans="1:13" x14ac:dyDescent="0.35">
      <c r="A64" s="58"/>
      <c r="B64" s="59" t="s">
        <v>94</v>
      </c>
      <c r="C64" s="60">
        <f>J59/E59</f>
        <v>1</v>
      </c>
      <c r="D64" s="61"/>
    </row>
    <row r="65" spans="1:4" ht="14.25" customHeight="1" x14ac:dyDescent="0.35">
      <c r="A65" s="58"/>
      <c r="B65" s="59" t="s">
        <v>95</v>
      </c>
      <c r="C65" s="60">
        <f>K59/F59</f>
        <v>0.99921758177570075</v>
      </c>
      <c r="D65" s="61"/>
    </row>
    <row r="66" spans="1:4" ht="15" thickBot="1" x14ac:dyDescent="0.4">
      <c r="A66" s="62"/>
      <c r="B66" s="63" t="s">
        <v>133</v>
      </c>
      <c r="C66" s="64">
        <f>L59/(C59+D59+E59+F59)</f>
        <v>0.99920498582107764</v>
      </c>
      <c r="D66" s="65"/>
    </row>
  </sheetData>
  <mergeCells count="15">
    <mergeCell ref="A57:B57"/>
    <mergeCell ref="A58:B58"/>
    <mergeCell ref="A59:B59"/>
    <mergeCell ref="A34:B34"/>
    <mergeCell ref="A35:M35"/>
    <mergeCell ref="A53:B53"/>
    <mergeCell ref="A54:B54"/>
    <mergeCell ref="A55:B55"/>
    <mergeCell ref="A56:B56"/>
    <mergeCell ref="A16:M16"/>
    <mergeCell ref="A8:M8"/>
    <mergeCell ref="C14:F14"/>
    <mergeCell ref="G14:G15"/>
    <mergeCell ref="H14:L14"/>
    <mergeCell ref="M14:M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21D50-54BB-4887-8590-D0A301FB4F54}">
  <dimension ref="A1:W32"/>
  <sheetViews>
    <sheetView topLeftCell="L22" zoomScale="117" workbookViewId="0">
      <selection activeCell="G14" sqref="G14"/>
    </sheetView>
  </sheetViews>
  <sheetFormatPr defaultColWidth="9.1796875" defaultRowHeight="14.5" x14ac:dyDescent="0.35"/>
  <cols>
    <col min="1" max="1" width="13.81640625" customWidth="1"/>
    <col min="3" max="3" width="10.1796875" customWidth="1"/>
    <col min="5" max="5" width="11" customWidth="1"/>
    <col min="6" max="6" width="9.453125" customWidth="1"/>
    <col min="7" max="7" width="8.6328125" customWidth="1"/>
    <col min="8" max="8" width="9.453125" bestFit="1" customWidth="1"/>
    <col min="9" max="9" width="9.7265625" customWidth="1"/>
    <col min="11" max="11" width="9.90625" customWidth="1"/>
    <col min="18" max="19" width="11.1796875" customWidth="1"/>
    <col min="20" max="20" width="9.7265625" customWidth="1"/>
    <col min="21" max="21" width="12.1796875" customWidth="1"/>
    <col min="22" max="22" width="11.1796875" customWidth="1"/>
  </cols>
  <sheetData>
    <row r="1" spans="1:23" ht="15" customHeight="1" x14ac:dyDescent="0.35">
      <c r="A1" s="1"/>
      <c r="D1" s="2"/>
      <c r="E1" s="2"/>
      <c r="F1" s="2"/>
      <c r="G1" s="2"/>
      <c r="H1" s="2"/>
      <c r="I1" s="2"/>
      <c r="J1" s="2"/>
      <c r="K1" s="2"/>
      <c r="L1" s="2"/>
      <c r="M1" s="2"/>
      <c r="N1" s="2"/>
      <c r="O1" s="2"/>
      <c r="P1" s="2"/>
      <c r="Q1" s="2"/>
      <c r="R1" s="2"/>
      <c r="S1" s="2"/>
      <c r="T1" s="4"/>
      <c r="U1" s="4"/>
      <c r="V1" s="5"/>
      <c r="W1" s="7"/>
    </row>
    <row r="2" spans="1:23" ht="15" customHeight="1" x14ac:dyDescent="0.35">
      <c r="A2" s="1"/>
      <c r="D2" s="2"/>
      <c r="E2" s="2"/>
      <c r="F2" s="2"/>
      <c r="G2" s="2"/>
      <c r="H2" s="2"/>
      <c r="I2" s="2"/>
      <c r="J2" s="2"/>
      <c r="K2" s="2"/>
      <c r="L2" s="2"/>
      <c r="M2" s="2"/>
      <c r="N2" s="2"/>
      <c r="O2" s="2"/>
      <c r="P2" s="2"/>
      <c r="Q2" s="2"/>
      <c r="R2" s="2"/>
      <c r="S2" s="2"/>
      <c r="T2" s="4"/>
      <c r="U2" s="4"/>
      <c r="V2" s="5"/>
      <c r="W2" s="7"/>
    </row>
    <row r="3" spans="1:23" ht="15" customHeight="1" x14ac:dyDescent="0.35">
      <c r="A3" s="1"/>
      <c r="D3" s="2"/>
      <c r="E3" s="2"/>
      <c r="F3" s="2"/>
      <c r="G3" s="2"/>
      <c r="H3" s="2"/>
      <c r="I3" s="2"/>
      <c r="J3" s="2"/>
      <c r="K3" s="2"/>
      <c r="L3" s="2"/>
      <c r="M3" s="2"/>
      <c r="N3" s="2"/>
      <c r="O3" s="2"/>
      <c r="P3" s="2"/>
      <c r="Q3" s="2"/>
      <c r="R3" s="2"/>
      <c r="S3" s="2"/>
      <c r="T3" s="4"/>
      <c r="U3" s="4"/>
      <c r="V3" s="5"/>
      <c r="W3" s="7"/>
    </row>
    <row r="4" spans="1:23" ht="15" customHeight="1" x14ac:dyDescent="0.35">
      <c r="A4" s="1"/>
      <c r="D4" s="2"/>
      <c r="E4" s="2"/>
      <c r="F4" s="2"/>
      <c r="G4" s="2"/>
      <c r="H4" s="2"/>
      <c r="I4" s="2"/>
      <c r="J4" s="2"/>
      <c r="K4" s="2"/>
      <c r="L4" s="2"/>
      <c r="M4" s="2"/>
      <c r="N4" s="2"/>
      <c r="O4" s="2"/>
      <c r="P4" s="2"/>
      <c r="Q4" s="2"/>
      <c r="R4" s="2"/>
      <c r="S4" s="2"/>
      <c r="T4" s="4"/>
      <c r="U4" s="4"/>
      <c r="V4" s="5"/>
      <c r="W4" s="7"/>
    </row>
    <row r="5" spans="1:23" ht="15" customHeight="1" x14ac:dyDescent="0.35">
      <c r="A5" s="1"/>
      <c r="D5" s="2"/>
      <c r="E5" s="2"/>
      <c r="F5" s="2"/>
      <c r="G5" s="2"/>
      <c r="H5" s="2"/>
      <c r="I5" s="2"/>
      <c r="J5" s="2"/>
      <c r="K5" s="2"/>
      <c r="L5" s="2"/>
      <c r="M5" s="2"/>
      <c r="N5" s="2"/>
      <c r="O5" s="2"/>
      <c r="P5" s="2"/>
      <c r="Q5" s="2"/>
      <c r="R5" s="2"/>
      <c r="S5" s="2"/>
      <c r="T5" s="4"/>
      <c r="U5" s="4"/>
      <c r="V5" s="5"/>
      <c r="W5" s="7"/>
    </row>
    <row r="6" spans="1:23" ht="15" customHeight="1" x14ac:dyDescent="0.35">
      <c r="A6" s="1"/>
      <c r="D6" s="2"/>
      <c r="E6" s="2"/>
      <c r="F6" s="2"/>
      <c r="G6" s="2"/>
      <c r="H6" s="2"/>
      <c r="I6" s="2"/>
      <c r="J6" s="2"/>
      <c r="K6" s="2"/>
      <c r="L6" s="2"/>
      <c r="M6" s="2"/>
      <c r="N6" s="2"/>
      <c r="O6" s="2"/>
      <c r="P6" s="2"/>
      <c r="Q6" s="2"/>
      <c r="R6" s="2"/>
      <c r="S6" s="2"/>
      <c r="T6" s="4"/>
      <c r="U6" s="4"/>
      <c r="V6" s="5"/>
      <c r="W6" s="7"/>
    </row>
    <row r="7" spans="1:23" ht="15" customHeight="1" x14ac:dyDescent="0.35">
      <c r="A7" s="1"/>
      <c r="D7" s="2"/>
      <c r="E7" s="2"/>
      <c r="F7" s="2"/>
      <c r="G7" s="2"/>
      <c r="H7" s="2"/>
      <c r="I7" s="2"/>
      <c r="J7" s="2"/>
      <c r="K7" s="2"/>
      <c r="L7" s="2"/>
      <c r="M7" s="2"/>
      <c r="N7" s="2"/>
      <c r="O7" s="2"/>
      <c r="P7" s="2"/>
      <c r="Q7" s="2"/>
      <c r="R7" s="2"/>
      <c r="S7" s="2"/>
      <c r="T7" s="4"/>
      <c r="U7" s="4"/>
      <c r="V7" s="5"/>
      <c r="W7" s="7"/>
    </row>
    <row r="8" spans="1:23" ht="15" customHeight="1" x14ac:dyDescent="0.35">
      <c r="A8" s="1"/>
      <c r="D8" s="2"/>
      <c r="E8" s="2"/>
      <c r="F8" s="2"/>
      <c r="G8" s="2"/>
      <c r="H8" s="2"/>
      <c r="I8" s="2"/>
      <c r="J8" s="2"/>
      <c r="K8" s="2"/>
      <c r="L8" s="2"/>
      <c r="M8" s="2"/>
      <c r="N8" s="2"/>
      <c r="O8" s="2"/>
      <c r="P8" s="2"/>
      <c r="Q8" s="2"/>
      <c r="R8" s="2"/>
      <c r="S8" s="2"/>
      <c r="T8" s="4"/>
      <c r="U8" s="4"/>
      <c r="V8" s="5"/>
      <c r="W8" s="7"/>
    </row>
    <row r="9" spans="1:23" ht="27" customHeight="1" x14ac:dyDescent="0.5">
      <c r="A9" s="134" t="s">
        <v>127</v>
      </c>
      <c r="B9" s="134"/>
      <c r="C9" s="134"/>
      <c r="D9" s="134"/>
      <c r="E9" s="134"/>
      <c r="F9" s="134"/>
      <c r="G9" s="134"/>
      <c r="H9" s="134"/>
      <c r="I9" s="134"/>
      <c r="J9" s="134"/>
      <c r="K9" s="134"/>
      <c r="L9" s="6"/>
      <c r="M9" s="7"/>
    </row>
    <row r="10" spans="1:23" ht="8.25" customHeight="1" x14ac:dyDescent="0.35">
      <c r="A10" s="1"/>
      <c r="C10" s="2"/>
      <c r="D10" s="2"/>
      <c r="E10" s="2"/>
      <c r="F10" s="2"/>
      <c r="G10" s="2"/>
      <c r="H10" s="2"/>
      <c r="I10" s="4"/>
      <c r="J10" s="4"/>
      <c r="K10" s="5"/>
      <c r="L10" s="6"/>
      <c r="M10" s="7"/>
    </row>
    <row r="11" spans="1:23" ht="29.25" customHeight="1" x14ac:dyDescent="0.35">
      <c r="A11" s="148" t="s">
        <v>130</v>
      </c>
      <c r="B11" s="148"/>
      <c r="C11" s="148"/>
      <c r="D11" s="148"/>
      <c r="E11" s="148"/>
      <c r="F11" s="148"/>
      <c r="G11" s="148"/>
      <c r="H11" s="148"/>
      <c r="I11" s="148"/>
      <c r="J11" s="148"/>
      <c r="K11" s="148"/>
      <c r="L11" s="148"/>
      <c r="M11" s="148"/>
      <c r="N11" s="148"/>
      <c r="O11" s="148"/>
      <c r="P11" s="148"/>
      <c r="Q11" s="148"/>
      <c r="R11" s="148"/>
      <c r="S11" s="148"/>
      <c r="T11" s="148"/>
      <c r="U11" s="148"/>
      <c r="V11" s="148"/>
    </row>
    <row r="12" spans="1:23" ht="13.5" customHeight="1" x14ac:dyDescent="0.35">
      <c r="A12" s="35" t="s">
        <v>131</v>
      </c>
      <c r="B12" s="11"/>
    </row>
    <row r="13" spans="1:23" ht="15.75" customHeight="1" x14ac:dyDescent="0.35">
      <c r="A13" s="35" t="s">
        <v>134</v>
      </c>
      <c r="B13" s="11"/>
    </row>
    <row r="14" spans="1:23" ht="20.25" customHeight="1" x14ac:dyDescent="0.35">
      <c r="A14" s="35" t="s">
        <v>96</v>
      </c>
      <c r="B14" s="35"/>
    </row>
    <row r="15" spans="1:23" ht="15" customHeight="1" thickBot="1" x14ac:dyDescent="0.4">
      <c r="A15" s="1"/>
      <c r="D15" s="2"/>
      <c r="E15" s="2"/>
      <c r="F15" s="2"/>
      <c r="G15" s="2"/>
      <c r="H15" s="2"/>
      <c r="I15" s="2"/>
      <c r="J15" s="2"/>
      <c r="K15" s="2"/>
      <c r="L15" s="2"/>
      <c r="M15" s="2"/>
      <c r="N15" s="2"/>
      <c r="O15" s="2"/>
      <c r="P15" s="2"/>
      <c r="Q15" s="2"/>
      <c r="R15" s="2"/>
      <c r="S15" s="2"/>
      <c r="T15" s="4"/>
      <c r="U15" s="4"/>
      <c r="V15" s="5"/>
      <c r="W15" s="7"/>
    </row>
    <row r="16" spans="1:23" ht="39.75" customHeight="1" thickBot="1" x14ac:dyDescent="0.4">
      <c r="A16" s="135" t="s">
        <v>97</v>
      </c>
      <c r="B16" s="137" t="s">
        <v>98</v>
      </c>
      <c r="C16" s="138"/>
      <c r="D16" s="139" t="s">
        <v>99</v>
      </c>
      <c r="E16" s="140"/>
      <c r="F16" s="141" t="s">
        <v>100</v>
      </c>
      <c r="G16" s="142"/>
      <c r="H16" s="137" t="s">
        <v>101</v>
      </c>
      <c r="I16" s="138"/>
      <c r="J16" s="137" t="s">
        <v>102</v>
      </c>
      <c r="K16" s="138"/>
      <c r="L16" s="66" t="s">
        <v>103</v>
      </c>
      <c r="M16" s="66" t="s">
        <v>104</v>
      </c>
      <c r="N16" s="143" t="s">
        <v>105</v>
      </c>
      <c r="O16" s="145" t="s">
        <v>106</v>
      </c>
      <c r="P16" s="146"/>
      <c r="Q16" s="147"/>
      <c r="R16" s="131" t="s">
        <v>107</v>
      </c>
      <c r="S16" s="132"/>
      <c r="T16" s="132"/>
      <c r="U16" s="132"/>
      <c r="V16" s="133"/>
    </row>
    <row r="17" spans="1:22" ht="26.5" thickBot="1" x14ac:dyDescent="0.4">
      <c r="A17" s="136"/>
      <c r="B17" s="67" t="s">
        <v>108</v>
      </c>
      <c r="C17" s="67" t="s">
        <v>109</v>
      </c>
      <c r="D17" s="68" t="s">
        <v>108</v>
      </c>
      <c r="E17" s="68" t="s">
        <v>109</v>
      </c>
      <c r="F17" s="69" t="s">
        <v>108</v>
      </c>
      <c r="G17" s="69" t="s">
        <v>109</v>
      </c>
      <c r="H17" s="67" t="s">
        <v>108</v>
      </c>
      <c r="I17" s="67" t="s">
        <v>109</v>
      </c>
      <c r="J17" s="67" t="s">
        <v>108</v>
      </c>
      <c r="K17" s="67" t="s">
        <v>109</v>
      </c>
      <c r="L17" s="68"/>
      <c r="M17" s="68"/>
      <c r="N17" s="144"/>
      <c r="O17" s="70" t="s">
        <v>103</v>
      </c>
      <c r="P17" s="71" t="s">
        <v>104</v>
      </c>
      <c r="Q17" s="72" t="s">
        <v>105</v>
      </c>
      <c r="R17" s="73" t="s">
        <v>110</v>
      </c>
      <c r="S17" s="74" t="s">
        <v>111</v>
      </c>
      <c r="T17" s="75" t="s">
        <v>112</v>
      </c>
      <c r="U17" s="73" t="s">
        <v>113</v>
      </c>
      <c r="V17" s="76" t="s">
        <v>114</v>
      </c>
    </row>
    <row r="18" spans="1:22" ht="27.65" customHeight="1" thickBot="1" x14ac:dyDescent="0.4">
      <c r="A18" s="77" t="s">
        <v>115</v>
      </c>
      <c r="B18" s="78">
        <f>180000*70/100</f>
        <v>126000</v>
      </c>
      <c r="C18" s="78">
        <f>180000-B18</f>
        <v>54000</v>
      </c>
      <c r="D18" s="79">
        <f>63000*70/100</f>
        <v>44100</v>
      </c>
      <c r="E18" s="79">
        <f>63000-D18</f>
        <v>18900</v>
      </c>
      <c r="F18" s="80">
        <f>60500*70/100</f>
        <v>42350</v>
      </c>
      <c r="G18" s="80">
        <f>60500*30/100</f>
        <v>18150</v>
      </c>
      <c r="H18" s="78">
        <f>216625*70/100</f>
        <v>151637.5</v>
      </c>
      <c r="I18" s="78">
        <f>216625-H18</f>
        <v>64987.5</v>
      </c>
      <c r="J18" s="78">
        <f>167300*70/100</f>
        <v>117110</v>
      </c>
      <c r="K18" s="78">
        <f>167300-117110</f>
        <v>50190</v>
      </c>
      <c r="L18" s="79">
        <f>B18+D18+H18+J18</f>
        <v>438847.5</v>
      </c>
      <c r="M18" s="79">
        <f>C18+E18+I18+K18</f>
        <v>188077.5</v>
      </c>
      <c r="N18" s="79">
        <f t="shared" ref="N18:N24" si="0">L18+M18</f>
        <v>626925</v>
      </c>
      <c r="O18" s="80">
        <f t="shared" ref="O18:P24" si="1">B18+F18+H18+J18</f>
        <v>437097.5</v>
      </c>
      <c r="P18" s="80">
        <f t="shared" si="1"/>
        <v>187327.5</v>
      </c>
      <c r="Q18" s="80">
        <f t="shared" ref="Q18:Q24" si="2">O18+P18</f>
        <v>624425</v>
      </c>
      <c r="R18" s="81">
        <v>96661.09</v>
      </c>
      <c r="S18" s="82">
        <v>60223.98</v>
      </c>
      <c r="T18" s="83">
        <v>166160.63</v>
      </c>
      <c r="U18" s="84">
        <v>167046.71</v>
      </c>
      <c r="V18" s="85">
        <f t="shared" ref="V18:V24" si="3">R18+S18+T18+U18</f>
        <v>490092.41000000003</v>
      </c>
    </row>
    <row r="19" spans="1:22" ht="46.15" customHeight="1" thickBot="1" x14ac:dyDescent="0.4">
      <c r="A19" s="86" t="s">
        <v>116</v>
      </c>
      <c r="B19" s="78">
        <f>20000*70/100</f>
        <v>14000</v>
      </c>
      <c r="C19" s="78">
        <f>20000-B19</f>
        <v>6000</v>
      </c>
      <c r="D19" s="79">
        <f>53500*70/100</f>
        <v>37450</v>
      </c>
      <c r="E19" s="79">
        <f>53500-D19</f>
        <v>16050</v>
      </c>
      <c r="F19" s="80">
        <f>40500*70/100</f>
        <v>28350</v>
      </c>
      <c r="G19" s="80">
        <f>40500*30/100</f>
        <v>12150</v>
      </c>
      <c r="H19" s="78">
        <f>24100*70/100</f>
        <v>16870</v>
      </c>
      <c r="I19" s="78">
        <f>24100-H19</f>
        <v>7230</v>
      </c>
      <c r="J19" s="78">
        <f>50000*70/100</f>
        <v>35000</v>
      </c>
      <c r="K19" s="78">
        <f>50000-J19</f>
        <v>15000</v>
      </c>
      <c r="L19" s="79">
        <f t="shared" ref="L19:M24" si="4">B19+D19+H19+J19</f>
        <v>103320</v>
      </c>
      <c r="M19" s="79">
        <f t="shared" si="4"/>
        <v>44280</v>
      </c>
      <c r="N19" s="79">
        <f t="shared" si="0"/>
        <v>147600</v>
      </c>
      <c r="O19" s="80">
        <f t="shared" si="1"/>
        <v>94220</v>
      </c>
      <c r="P19" s="80">
        <f t="shared" si="1"/>
        <v>40380</v>
      </c>
      <c r="Q19" s="80">
        <f t="shared" si="2"/>
        <v>134600</v>
      </c>
      <c r="R19" s="81">
        <v>9199.7099999999991</v>
      </c>
      <c r="S19" s="82">
        <v>52224.91</v>
      </c>
      <c r="T19" s="83">
        <v>21333.41</v>
      </c>
      <c r="U19" s="84">
        <v>50000</v>
      </c>
      <c r="V19" s="82">
        <f t="shared" si="3"/>
        <v>132758.03</v>
      </c>
    </row>
    <row r="20" spans="1:22" ht="70.900000000000006" customHeight="1" thickBot="1" x14ac:dyDescent="0.4">
      <c r="A20" s="86" t="s">
        <v>117</v>
      </c>
      <c r="B20" s="78">
        <f>60000*70/100</f>
        <v>42000</v>
      </c>
      <c r="C20" s="78">
        <f>60000-B20</f>
        <v>18000</v>
      </c>
      <c r="D20" s="79">
        <f>72500*70/100</f>
        <v>50750</v>
      </c>
      <c r="E20" s="79">
        <f>72500-D20</f>
        <v>21750</v>
      </c>
      <c r="F20" s="80">
        <f>33000*70/100</f>
        <v>23100</v>
      </c>
      <c r="G20" s="80">
        <f>33000*30/100</f>
        <v>9900</v>
      </c>
      <c r="H20" s="78">
        <v>0</v>
      </c>
      <c r="I20" s="78">
        <v>0</v>
      </c>
      <c r="J20" s="78">
        <v>0</v>
      </c>
      <c r="K20" s="78">
        <v>0</v>
      </c>
      <c r="L20" s="79">
        <f t="shared" si="4"/>
        <v>92750</v>
      </c>
      <c r="M20" s="79">
        <f t="shared" si="4"/>
        <v>39750</v>
      </c>
      <c r="N20" s="79">
        <f t="shared" si="0"/>
        <v>132500</v>
      </c>
      <c r="O20" s="80">
        <f t="shared" si="1"/>
        <v>65100</v>
      </c>
      <c r="P20" s="80">
        <f t="shared" si="1"/>
        <v>27900</v>
      </c>
      <c r="Q20" s="80">
        <f t="shared" si="2"/>
        <v>93000</v>
      </c>
      <c r="R20" s="81">
        <v>22937.7</v>
      </c>
      <c r="S20" s="82">
        <v>28416.02</v>
      </c>
      <c r="T20" s="83">
        <v>4485.03</v>
      </c>
      <c r="U20" s="84">
        <v>0</v>
      </c>
      <c r="V20" s="82">
        <f t="shared" si="3"/>
        <v>55838.75</v>
      </c>
    </row>
    <row r="21" spans="1:22" ht="28.15" customHeight="1" thickBot="1" x14ac:dyDescent="0.4">
      <c r="A21" s="86" t="s">
        <v>118</v>
      </c>
      <c r="B21" s="78">
        <f>100000*70/100</f>
        <v>70000</v>
      </c>
      <c r="C21" s="78">
        <f>100000-B21</f>
        <v>30000</v>
      </c>
      <c r="D21" s="79">
        <f>209000*70/100</f>
        <v>146300</v>
      </c>
      <c r="E21" s="79">
        <f>209000-D21</f>
        <v>62700</v>
      </c>
      <c r="F21" s="80">
        <f>110000*70/100</f>
        <v>77000</v>
      </c>
      <c r="G21" s="80">
        <f>110000*30/100</f>
        <v>33000</v>
      </c>
      <c r="H21" s="78">
        <f>122500*70/100</f>
        <v>85750</v>
      </c>
      <c r="I21" s="78">
        <f>122500-H21</f>
        <v>36750</v>
      </c>
      <c r="J21" s="78">
        <f>82500*70/100</f>
        <v>57750</v>
      </c>
      <c r="K21" s="78">
        <f>82500-J21</f>
        <v>24750</v>
      </c>
      <c r="L21" s="79">
        <f t="shared" si="4"/>
        <v>359800</v>
      </c>
      <c r="M21" s="79">
        <f t="shared" si="4"/>
        <v>154200</v>
      </c>
      <c r="N21" s="79">
        <f t="shared" si="0"/>
        <v>514000</v>
      </c>
      <c r="O21" s="80">
        <f t="shared" si="1"/>
        <v>290500</v>
      </c>
      <c r="P21" s="80">
        <f t="shared" si="1"/>
        <v>124500</v>
      </c>
      <c r="Q21" s="80">
        <f t="shared" si="2"/>
        <v>415000</v>
      </c>
      <c r="R21" s="81">
        <v>237238.62</v>
      </c>
      <c r="S21" s="82">
        <v>67975.3</v>
      </c>
      <c r="T21" s="83">
        <v>126595.68</v>
      </c>
      <c r="U21" s="84">
        <v>82500.55</v>
      </c>
      <c r="V21" s="82">
        <f t="shared" si="3"/>
        <v>514310.14999999997</v>
      </c>
    </row>
    <row r="22" spans="1:22" ht="30" customHeight="1" thickBot="1" x14ac:dyDescent="0.4">
      <c r="A22" s="86" t="s">
        <v>119</v>
      </c>
      <c r="B22" s="78">
        <f>60000*70/100</f>
        <v>42000</v>
      </c>
      <c r="C22" s="78">
        <f>60000-B22</f>
        <v>18000</v>
      </c>
      <c r="D22" s="79">
        <f>0</f>
        <v>0</v>
      </c>
      <c r="E22" s="79">
        <v>0</v>
      </c>
      <c r="F22" s="80">
        <f>8500*70/100</f>
        <v>5950</v>
      </c>
      <c r="G22" s="80">
        <f>8500*30/100</f>
        <v>2550</v>
      </c>
      <c r="H22" s="78">
        <f>71500*70/100</f>
        <v>50050</v>
      </c>
      <c r="I22" s="78">
        <f>71500-H22</f>
        <v>21450</v>
      </c>
      <c r="J22" s="78">
        <f>51500*70/100</f>
        <v>36050</v>
      </c>
      <c r="K22" s="78">
        <f>51500-J22</f>
        <v>15450</v>
      </c>
      <c r="L22" s="79">
        <f t="shared" si="4"/>
        <v>128100</v>
      </c>
      <c r="M22" s="79">
        <f t="shared" si="4"/>
        <v>54900</v>
      </c>
      <c r="N22" s="79">
        <f t="shared" si="0"/>
        <v>183000</v>
      </c>
      <c r="O22" s="80">
        <f t="shared" si="1"/>
        <v>134050</v>
      </c>
      <c r="P22" s="80">
        <f t="shared" si="1"/>
        <v>57450</v>
      </c>
      <c r="Q22" s="80">
        <f t="shared" si="2"/>
        <v>191500</v>
      </c>
      <c r="R22" s="81">
        <v>42917.32</v>
      </c>
      <c r="S22" s="82">
        <v>7095.17</v>
      </c>
      <c r="T22" s="83">
        <v>200436.02</v>
      </c>
      <c r="U22" s="84">
        <v>50965</v>
      </c>
      <c r="V22" s="82">
        <f t="shared" si="3"/>
        <v>301413.51</v>
      </c>
    </row>
    <row r="23" spans="1:22" ht="37" customHeight="1" thickBot="1" x14ac:dyDescent="0.4">
      <c r="A23" s="86" t="s">
        <v>120</v>
      </c>
      <c r="B23" s="78">
        <f>309000*70/100</f>
        <v>216300</v>
      </c>
      <c r="C23" s="78">
        <f>309000-B23</f>
        <v>92700</v>
      </c>
      <c r="D23" s="79">
        <f>59000*70/100</f>
        <v>41300</v>
      </c>
      <c r="E23" s="79">
        <f>59000-D23</f>
        <v>17700</v>
      </c>
      <c r="F23" s="80">
        <f>386500*70/100</f>
        <v>270550</v>
      </c>
      <c r="G23" s="80">
        <f>386500*30/100</f>
        <v>115950</v>
      </c>
      <c r="H23" s="78">
        <f>175000*70/100</f>
        <v>122500</v>
      </c>
      <c r="I23" s="78">
        <f>175000-H23</f>
        <v>52500</v>
      </c>
      <c r="J23" s="78">
        <f>310000*70/100</f>
        <v>217000</v>
      </c>
      <c r="K23" s="78">
        <f>310000-J23</f>
        <v>93000</v>
      </c>
      <c r="L23" s="79">
        <f t="shared" si="4"/>
        <v>597100</v>
      </c>
      <c r="M23" s="79">
        <f t="shared" si="4"/>
        <v>255900</v>
      </c>
      <c r="N23" s="79">
        <f t="shared" si="0"/>
        <v>853000</v>
      </c>
      <c r="O23" s="80">
        <f t="shared" si="1"/>
        <v>826350</v>
      </c>
      <c r="P23" s="80">
        <f t="shared" si="1"/>
        <v>354150</v>
      </c>
      <c r="Q23" s="80">
        <f t="shared" si="2"/>
        <v>1180500</v>
      </c>
      <c r="R23" s="81">
        <v>150827</v>
      </c>
      <c r="S23" s="82">
        <v>385044.15</v>
      </c>
      <c r="T23" s="83">
        <v>120000</v>
      </c>
      <c r="U23" s="84">
        <v>310251.19</v>
      </c>
      <c r="V23" s="82">
        <f t="shared" si="3"/>
        <v>966122.34000000008</v>
      </c>
    </row>
    <row r="24" spans="1:22" ht="65.5" customHeight="1" thickBot="1" x14ac:dyDescent="0.4">
      <c r="A24" s="86" t="s">
        <v>121</v>
      </c>
      <c r="B24" s="78">
        <f>20000*70/100</f>
        <v>14000</v>
      </c>
      <c r="C24" s="78">
        <f>20000-B24</f>
        <v>6000</v>
      </c>
      <c r="D24" s="79">
        <f>195500*70/100</f>
        <v>136850</v>
      </c>
      <c r="E24" s="79">
        <f>195500-D24</f>
        <v>58650</v>
      </c>
      <c r="F24" s="80">
        <f>13500*70/100</f>
        <v>9450</v>
      </c>
      <c r="G24" s="80">
        <f>13500*30/100</f>
        <v>4050</v>
      </c>
      <c r="H24" s="78">
        <f>107309*70/100</f>
        <v>75116.3</v>
      </c>
      <c r="I24" s="78">
        <f>107309-H24</f>
        <v>32192.699999999997</v>
      </c>
      <c r="J24" s="78">
        <f>23500*70/100</f>
        <v>16450</v>
      </c>
      <c r="K24" s="78">
        <f>23500-J24</f>
        <v>7050</v>
      </c>
      <c r="L24" s="79">
        <f t="shared" si="4"/>
        <v>242416.3</v>
      </c>
      <c r="M24" s="79">
        <f t="shared" si="4"/>
        <v>103892.7</v>
      </c>
      <c r="N24" s="79">
        <f t="shared" si="0"/>
        <v>346309</v>
      </c>
      <c r="O24" s="80">
        <f t="shared" si="1"/>
        <v>115016.3</v>
      </c>
      <c r="P24" s="80">
        <f t="shared" si="1"/>
        <v>49292.7</v>
      </c>
      <c r="Q24" s="80">
        <f t="shared" si="2"/>
        <v>164309</v>
      </c>
      <c r="R24" s="81">
        <v>187525</v>
      </c>
      <c r="S24" s="82">
        <v>51520.47</v>
      </c>
      <c r="T24" s="83">
        <v>78023.23</v>
      </c>
      <c r="U24" s="84">
        <v>23500.799999999999</v>
      </c>
      <c r="V24" s="87">
        <f t="shared" si="3"/>
        <v>340569.5</v>
      </c>
    </row>
    <row r="25" spans="1:22" ht="18" customHeight="1" thickBot="1" x14ac:dyDescent="0.4">
      <c r="A25" s="88" t="s">
        <v>122</v>
      </c>
      <c r="B25" s="89">
        <f>SUM(B18:B24)</f>
        <v>524300</v>
      </c>
      <c r="C25" s="89">
        <f t="shared" ref="C25:Q25" si="5">SUM(C18:C24)</f>
        <v>224700</v>
      </c>
      <c r="D25" s="79">
        <f t="shared" si="5"/>
        <v>456750</v>
      </c>
      <c r="E25" s="79">
        <f>SUM(E18:E24)</f>
        <v>195750</v>
      </c>
      <c r="F25" s="90">
        <f>SUM(F18:F24)</f>
        <v>456750</v>
      </c>
      <c r="G25" s="90">
        <f>SUM(G18:G24)</f>
        <v>195750</v>
      </c>
      <c r="H25" s="89">
        <f t="shared" si="5"/>
        <v>501923.8</v>
      </c>
      <c r="I25" s="89">
        <f t="shared" si="5"/>
        <v>215110.2</v>
      </c>
      <c r="J25" s="89">
        <f t="shared" si="5"/>
        <v>479360</v>
      </c>
      <c r="K25" s="89">
        <f t="shared" si="5"/>
        <v>205440</v>
      </c>
      <c r="L25" s="79">
        <f t="shared" si="5"/>
        <v>1962333.8</v>
      </c>
      <c r="M25" s="79">
        <f t="shared" si="5"/>
        <v>841000.2</v>
      </c>
      <c r="N25" s="79">
        <f t="shared" si="5"/>
        <v>2803334</v>
      </c>
      <c r="O25" s="90">
        <f t="shared" si="5"/>
        <v>1962333.8</v>
      </c>
      <c r="P25" s="90">
        <f t="shared" si="5"/>
        <v>841000.2</v>
      </c>
      <c r="Q25" s="91">
        <f t="shared" si="5"/>
        <v>2803334</v>
      </c>
      <c r="R25" s="92">
        <f>SUM(R18:R24)</f>
        <v>747306.44</v>
      </c>
      <c r="S25" s="92">
        <f>SUM(S18:S24)</f>
        <v>652500</v>
      </c>
      <c r="T25" s="92">
        <f>SUM(T18:T24)</f>
        <v>717034</v>
      </c>
      <c r="U25" s="92">
        <f>SUM(U18:U24)</f>
        <v>684264.25</v>
      </c>
      <c r="V25" s="92">
        <f>SUM(V18:V24)</f>
        <v>2801104.6900000004</v>
      </c>
    </row>
    <row r="26" spans="1:22" ht="26.5" customHeight="1" thickBot="1" x14ac:dyDescent="0.4">
      <c r="A26" s="86" t="s">
        <v>123</v>
      </c>
      <c r="B26" s="78">
        <f>B25*7/100</f>
        <v>36701</v>
      </c>
      <c r="C26" s="78">
        <f t="shared" ref="C26:Q26" si="6">C25*7/100</f>
        <v>15729</v>
      </c>
      <c r="D26" s="79">
        <f t="shared" si="6"/>
        <v>31972.5</v>
      </c>
      <c r="E26" s="79">
        <f>E25*7/100</f>
        <v>13702.5</v>
      </c>
      <c r="F26" s="90">
        <f>F25*7/100</f>
        <v>31972.5</v>
      </c>
      <c r="G26" s="90">
        <f>G25*7/100</f>
        <v>13702.5</v>
      </c>
      <c r="H26" s="78">
        <f t="shared" si="6"/>
        <v>35134.665999999997</v>
      </c>
      <c r="I26" s="78">
        <f t="shared" si="6"/>
        <v>15057.714000000002</v>
      </c>
      <c r="J26" s="78">
        <f t="shared" si="6"/>
        <v>33555.199999999997</v>
      </c>
      <c r="K26" s="78">
        <f t="shared" si="6"/>
        <v>14380.8</v>
      </c>
      <c r="L26" s="79">
        <f t="shared" si="6"/>
        <v>137363.36600000001</v>
      </c>
      <c r="M26" s="79">
        <f t="shared" si="6"/>
        <v>58870.013999999996</v>
      </c>
      <c r="N26" s="79">
        <f t="shared" si="6"/>
        <v>196233.38</v>
      </c>
      <c r="O26" s="90">
        <f t="shared" si="6"/>
        <v>137363.36600000001</v>
      </c>
      <c r="P26" s="90">
        <f t="shared" si="6"/>
        <v>58870.013999999996</v>
      </c>
      <c r="Q26" s="91">
        <f t="shared" si="6"/>
        <v>196233.38</v>
      </c>
      <c r="R26" s="87">
        <f>R25*7/100</f>
        <v>52311.450799999999</v>
      </c>
      <c r="S26" s="87">
        <f>S25*7/100</f>
        <v>45675</v>
      </c>
      <c r="T26" s="87">
        <f>T25*7/100</f>
        <v>50192.38</v>
      </c>
      <c r="U26" s="87">
        <f>U25*7/100</f>
        <v>47898.497499999998</v>
      </c>
      <c r="V26" s="85">
        <f>R26+S26+T26+U26</f>
        <v>196077.32829999999</v>
      </c>
    </row>
    <row r="27" spans="1:22" ht="15" thickBot="1" x14ac:dyDescent="0.4">
      <c r="A27" s="88" t="s">
        <v>114</v>
      </c>
      <c r="B27" s="89">
        <f>B25+B26</f>
        <v>561001</v>
      </c>
      <c r="C27" s="89">
        <f t="shared" ref="C27:M27" si="7">C25+C26</f>
        <v>240429</v>
      </c>
      <c r="D27" s="79">
        <f t="shared" si="7"/>
        <v>488722.5</v>
      </c>
      <c r="E27" s="79">
        <f t="shared" si="7"/>
        <v>209452.5</v>
      </c>
      <c r="F27" s="90">
        <f t="shared" si="7"/>
        <v>488722.5</v>
      </c>
      <c r="G27" s="90">
        <f t="shared" si="7"/>
        <v>209452.5</v>
      </c>
      <c r="H27" s="89">
        <f t="shared" si="7"/>
        <v>537058.46600000001</v>
      </c>
      <c r="I27" s="89">
        <f t="shared" si="7"/>
        <v>230167.91400000002</v>
      </c>
      <c r="J27" s="89">
        <f t="shared" si="7"/>
        <v>512915.20000000001</v>
      </c>
      <c r="K27" s="89">
        <f t="shared" si="7"/>
        <v>219820.79999999999</v>
      </c>
      <c r="L27" s="93">
        <f t="shared" si="7"/>
        <v>2099697.1660000002</v>
      </c>
      <c r="M27" s="93">
        <f t="shared" si="7"/>
        <v>899870.21399999992</v>
      </c>
      <c r="N27" s="93">
        <f>N25+N26</f>
        <v>2999567.38</v>
      </c>
      <c r="O27" s="94">
        <f>O25+O26</f>
        <v>2099697.1660000002</v>
      </c>
      <c r="P27" s="94">
        <f>P25+P26</f>
        <v>899870.21399999992</v>
      </c>
      <c r="Q27" s="95">
        <f>Q25+Q26</f>
        <v>2999567.38</v>
      </c>
      <c r="R27" s="96">
        <f>R26+R25</f>
        <v>799617.89079999994</v>
      </c>
      <c r="S27" s="96">
        <f>S26+S25</f>
        <v>698175</v>
      </c>
      <c r="T27" s="96">
        <f>T26+T25</f>
        <v>767226.38</v>
      </c>
      <c r="U27" s="96">
        <f>U26+U25</f>
        <v>732162.74750000006</v>
      </c>
      <c r="V27" s="97">
        <f>V26+V25</f>
        <v>2997182.0183000006</v>
      </c>
    </row>
    <row r="28" spans="1:22" ht="39.5" thickBot="1" x14ac:dyDescent="0.4">
      <c r="A28" s="98" t="s">
        <v>124</v>
      </c>
      <c r="B28" s="99"/>
      <c r="C28" s="99"/>
      <c r="D28" s="99"/>
      <c r="E28" s="99"/>
      <c r="F28" s="99"/>
      <c r="G28" s="100"/>
      <c r="H28" s="100"/>
      <c r="I28" s="100"/>
      <c r="J28" s="100"/>
      <c r="K28" s="101"/>
      <c r="L28" s="99"/>
      <c r="M28" s="99"/>
      <c r="N28" s="99"/>
      <c r="O28" s="99"/>
      <c r="P28" s="99"/>
      <c r="Q28" s="99"/>
      <c r="R28" s="84">
        <v>0</v>
      </c>
      <c r="S28" s="84">
        <v>0</v>
      </c>
      <c r="T28" s="81">
        <v>0</v>
      </c>
      <c r="U28" s="84">
        <v>0</v>
      </c>
      <c r="V28" s="83"/>
    </row>
    <row r="29" spans="1:22" ht="39.5" thickBot="1" x14ac:dyDescent="0.4">
      <c r="A29" s="102" t="s">
        <v>125</v>
      </c>
      <c r="B29" s="103"/>
      <c r="C29" s="103"/>
      <c r="D29" s="103"/>
      <c r="E29" s="103"/>
      <c r="F29" s="103"/>
      <c r="G29" s="104"/>
      <c r="H29" s="104"/>
      <c r="I29" s="104"/>
      <c r="J29" s="104"/>
      <c r="K29" s="101"/>
      <c r="L29" s="103"/>
      <c r="M29" s="103"/>
      <c r="N29" s="103"/>
      <c r="O29" s="103"/>
      <c r="P29" s="103"/>
      <c r="Q29" s="103"/>
      <c r="R29" s="105">
        <f>(B27+C27)-R27+R28</f>
        <v>1812.1092000000644</v>
      </c>
      <c r="S29" s="105">
        <f>(F27+G27)-S27+S28</f>
        <v>0</v>
      </c>
      <c r="T29" s="106">
        <f>(H27+I27)-T27+T28</f>
        <v>0</v>
      </c>
      <c r="U29" s="107">
        <f>(J27+K27)-U27+U28</f>
        <v>573.25249999994412</v>
      </c>
      <c r="V29" s="83"/>
    </row>
    <row r="30" spans="1:22" x14ac:dyDescent="0.35">
      <c r="B30" s="48"/>
      <c r="C30" s="48"/>
      <c r="D30" s="48"/>
      <c r="E30" s="48"/>
      <c r="F30" s="48"/>
      <c r="G30" s="48"/>
      <c r="H30" s="48"/>
      <c r="I30" s="48"/>
      <c r="J30" s="48"/>
      <c r="K30" s="48"/>
      <c r="L30" s="48"/>
      <c r="M30" s="48"/>
      <c r="N30" s="108"/>
      <c r="O30" s="48"/>
      <c r="P30" s="48"/>
      <c r="Q30" s="108"/>
      <c r="T30" s="109"/>
    </row>
    <row r="31" spans="1:22" x14ac:dyDescent="0.35">
      <c r="A31" s="53" t="s">
        <v>126</v>
      </c>
    </row>
    <row r="32" spans="1:22" x14ac:dyDescent="0.35">
      <c r="A32" s="53"/>
      <c r="N32" s="53"/>
    </row>
  </sheetData>
  <mergeCells count="11">
    <mergeCell ref="R16:V16"/>
    <mergeCell ref="A9:K9"/>
    <mergeCell ref="A16:A17"/>
    <mergeCell ref="B16:C16"/>
    <mergeCell ref="D16:E16"/>
    <mergeCell ref="F16:G16"/>
    <mergeCell ref="H16:I16"/>
    <mergeCell ref="J16:K16"/>
    <mergeCell ref="N16:N17"/>
    <mergeCell ref="O16:Q16"/>
    <mergeCell ref="A11:V11"/>
  </mergeCells>
  <pageMargins left="0.7" right="0.7" top="0.75" bottom="0.75" header="0.3" footer="0.3"/>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par produit</vt:lpstr>
      <vt:lpstr>Budget par catégorie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UWIMBABAZI Appoline</dc:creator>
  <cp:lastModifiedBy>UWIMBABAZI Appoline</cp:lastModifiedBy>
  <dcterms:created xsi:type="dcterms:W3CDTF">2020-01-17T17:40:05Z</dcterms:created>
  <dcterms:modified xsi:type="dcterms:W3CDTF">2020-01-20T08:10:37Z</dcterms:modified>
</cp:coreProperties>
</file>