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defaultThemeVersion="166925"/>
  <mc:AlternateContent xmlns:mc="http://schemas.openxmlformats.org/markup-compatibility/2006">
    <mc:Choice Requires="x15">
      <x15ac:absPath xmlns:x15ac="http://schemas.microsoft.com/office/spreadsheetml/2010/11/ac" url="C:\Users\Idrissou\Documents\PBF\Rapports PBF\"/>
    </mc:Choice>
  </mc:AlternateContent>
  <xr:revisionPtr revIDLastSave="0" documentId="13_ncr:1_{D92BBE79-81F4-4B05-9A12-E24B0F484E45}" xr6:coauthVersionLast="41" xr6:coauthVersionMax="41" xr10:uidLastSave="{00000000-0000-0000-0000-000000000000}"/>
  <bookViews>
    <workbookView xWindow="-108" yWindow="-108" windowWidth="30936" windowHeight="16896" xr2:uid="{00000000-000D-0000-FFFF-FFFF00000000}"/>
  </bookViews>
  <sheets>
    <sheet name="Sheet1" sheetId="1" r:id="rId1"/>
    <sheet name="Sheet2" sheetId="2" r:id="rId2"/>
  </sheets>
  <definedNames>
    <definedName name="_xlnm.Print_Area" localSheetId="0">Sheet1!$A$1:$G$75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1" i="1" l="1"/>
  <c r="F69" i="1"/>
  <c r="F70" i="1" l="1"/>
  <c r="F57" i="1"/>
  <c r="F53" i="1"/>
  <c r="F47" i="1"/>
  <c r="F42" i="1"/>
  <c r="F10" i="1" l="1"/>
  <c r="F45" i="1"/>
  <c r="F27" i="1"/>
  <c r="F12" i="1"/>
  <c r="E39" i="1" l="1"/>
  <c r="F39" i="1" l="1"/>
  <c r="J8" i="2" l="1"/>
  <c r="I18" i="2"/>
  <c r="F48" i="1" l="1"/>
  <c r="F68" i="1"/>
  <c r="F72" i="1" l="1"/>
  <c r="D13" i="2"/>
  <c r="C13" i="2"/>
  <c r="B13" i="2"/>
  <c r="F73" i="1" l="1"/>
  <c r="F74" i="1" s="1"/>
  <c r="G14" i="2"/>
  <c r="F14" i="2"/>
  <c r="E14" i="2"/>
  <c r="G13" i="2"/>
  <c r="J13" i="2" s="1"/>
  <c r="F13" i="2"/>
  <c r="I13" i="2" s="1"/>
  <c r="E13" i="2"/>
  <c r="H13" i="2" s="1"/>
  <c r="K13" i="2" s="1"/>
  <c r="G10" i="2"/>
  <c r="F10" i="2"/>
  <c r="E10" i="2"/>
  <c r="G9" i="2"/>
  <c r="F9" i="2"/>
  <c r="E9" i="2"/>
  <c r="F8" i="2"/>
  <c r="E8" i="2"/>
  <c r="D14" i="2"/>
  <c r="C14" i="2"/>
  <c r="I14" i="2" s="1"/>
  <c r="B14" i="2"/>
  <c r="H14" i="2" s="1"/>
  <c r="D12" i="2"/>
  <c r="J12" i="2" s="1"/>
  <c r="C12" i="2"/>
  <c r="I12" i="2" s="1"/>
  <c r="B12" i="2"/>
  <c r="H12" i="2" s="1"/>
  <c r="K12" i="2" s="1"/>
  <c r="D11" i="2"/>
  <c r="J11" i="2" s="1"/>
  <c r="C11" i="2"/>
  <c r="I11" i="2" s="1"/>
  <c r="B11" i="2"/>
  <c r="H11" i="2" s="1"/>
  <c r="D10" i="2"/>
  <c r="J10" i="2" s="1"/>
  <c r="C10" i="2"/>
  <c r="I10" i="2" s="1"/>
  <c r="B10" i="2"/>
  <c r="D9" i="2"/>
  <c r="J9" i="2" s="1"/>
  <c r="C9" i="2"/>
  <c r="I9" i="2" s="1"/>
  <c r="B9" i="2"/>
  <c r="H9" i="2" s="1"/>
  <c r="K9" i="2" s="1"/>
  <c r="C8" i="2"/>
  <c r="B8" i="2"/>
  <c r="H8" i="2" s="1"/>
  <c r="H10" i="2" l="1"/>
  <c r="K10" i="2" s="1"/>
  <c r="K11" i="2"/>
  <c r="J14" i="2"/>
  <c r="K14" i="2"/>
  <c r="I8" i="2"/>
  <c r="K8" i="2" s="1"/>
  <c r="C15" i="2"/>
  <c r="F15" i="2"/>
  <c r="F16" i="2" s="1"/>
  <c r="F17" i="2" s="1"/>
  <c r="C51" i="1"/>
  <c r="C30" i="1"/>
  <c r="C29" i="1"/>
  <c r="C27" i="1"/>
  <c r="C25" i="1"/>
  <c r="C56" i="1"/>
  <c r="C45" i="1"/>
  <c r="C35" i="1"/>
  <c r="I15" i="2" l="1"/>
  <c r="C16" i="2"/>
  <c r="C48" i="1"/>
  <c r="C12" i="1"/>
  <c r="C11" i="1"/>
  <c r="C10" i="1"/>
  <c r="C17" i="2" l="1"/>
  <c r="I17" i="2" s="1"/>
  <c r="I16" i="2"/>
  <c r="C39" i="1"/>
  <c r="C68" i="1"/>
  <c r="C70" i="1" l="1"/>
  <c r="C71" i="1"/>
  <c r="D15" i="2"/>
  <c r="B15" i="2"/>
  <c r="E68" i="1"/>
  <c r="E48" i="1"/>
  <c r="D16" i="2" l="1"/>
  <c r="B16" i="2"/>
  <c r="C72" i="1"/>
  <c r="D17" i="2" l="1"/>
  <c r="B17" i="2"/>
  <c r="D48" i="1"/>
  <c r="B18" i="2" l="1"/>
  <c r="D68" i="1"/>
  <c r="D39" i="1"/>
  <c r="D69" i="1" s="1"/>
  <c r="D70" i="1" l="1"/>
  <c r="D71" i="1" l="1"/>
  <c r="C73" i="1" l="1"/>
  <c r="C74" i="1" s="1"/>
  <c r="D72" i="1"/>
  <c r="G15" i="2" l="1"/>
  <c r="E15" i="2"/>
  <c r="E74" i="1"/>
  <c r="D73" i="1"/>
  <c r="D74" i="1" s="1"/>
  <c r="E16" i="2" l="1"/>
  <c r="H16" i="2" s="1"/>
  <c r="H15" i="2"/>
  <c r="G16" i="2"/>
  <c r="J16" i="2" s="1"/>
  <c r="J15" i="2"/>
  <c r="E17" i="2"/>
  <c r="H17" i="2" s="1"/>
  <c r="G17" i="2"/>
  <c r="E18" i="2" l="1"/>
  <c r="H18" i="2" s="1"/>
  <c r="J17" i="2"/>
  <c r="K15" i="2"/>
  <c r="K17" i="2"/>
  <c r="K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Damien Mama</author>
  </authors>
  <commentList>
    <comment ref="C69" authorId="0" shapeId="0" xr:uid="{00000000-0006-0000-0000-00000D000000}">
      <text>
        <r>
          <rPr>
            <b/>
            <sz val="9"/>
            <color indexed="81"/>
            <rFont val="Tahoma"/>
            <family val="2"/>
          </rPr>
          <t>Damien Mama:</t>
        </r>
        <r>
          <rPr>
            <sz val="9"/>
            <color indexed="81"/>
            <rFont val="Tahoma"/>
            <family val="2"/>
          </rPr>
          <t xml:space="preserve">
- 1 Coordonnateur de projet
- 1 Specialiste Droit de l'homme
- 1 Assistant Admin/Finance
- 1 Chauffeur
</t>
        </r>
      </text>
    </comment>
  </commentList>
</comments>
</file>

<file path=xl/sharedStrings.xml><?xml version="1.0" encoding="utf-8"?>
<sst xmlns="http://schemas.openxmlformats.org/spreadsheetml/2006/main" count="125" uniqueCount="103">
  <si>
    <t xml:space="preserve"> </t>
  </si>
  <si>
    <t>CATEGORIES</t>
  </si>
  <si>
    <t>TOTAL</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</si>
  <si>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</si>
  <si>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</si>
  <si>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</si>
  <si>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</si>
  <si>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</si>
  <si>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</si>
  <si>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</si>
  <si>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</si>
  <si>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</si>
  <si>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Produit 3.1:</t>
  </si>
  <si>
    <t>Cout de personnel du projet si pas inclus dans les activites si-dessus</t>
  </si>
  <si>
    <t>Budget S&amp;E du projet</t>
  </si>
  <si>
    <t>Couts indirects (7%):</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</si>
  <si>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</si>
  <si>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</si>
  <si>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</si>
  <si>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</si>
  <si>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</si>
  <si>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</si>
  <si>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</si>
  <si>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</si>
  <si>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</si>
  <si>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</si>
  <si>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</si>
  <si>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</si>
  <si>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</si>
  <si>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2:</t>
  </si>
  <si>
    <t>TOTAL $ pour Resultat 3:</t>
  </si>
  <si>
    <t>SOUS TOTAL DU BUDGET DE PROJET:</t>
  </si>
  <si>
    <t>Niveau de depense/ engagement actuel en USD (a remplir au moment des rapports de projet)</t>
  </si>
  <si>
    <t>Budget par agence recipiendiaire en USD  Veuillez ajouter une nouvelle colonne par agence recipiendiaire PNUD</t>
  </si>
  <si>
    <t>Budget par agence recipiendiaire en USD Veuillez ajouter une nouvelle colonne par agence recipiendiaire UNICEF</t>
  </si>
  <si>
    <t>TOTAL $ pour Resultat 1:</t>
  </si>
  <si>
    <t>Activite 2.2.5: Materiel electroniques commissariats</t>
  </si>
  <si>
    <t>Resultat 3: Les violations des droits de l’homme et des enfants en contexte électoral sont réduites par le renforcement de la protection des droits de l’homme et de l’enfant et l’éradication de l’inclusion des enfants dans les marches et manifestations porteuses de violences.</t>
  </si>
  <si>
    <t>Activite 3.1.2: Formation professionnalisation des defenseurs des droits de l'homme</t>
  </si>
  <si>
    <t>Activite 3.1.3: Renforcement capacites et securite des femmes defenseurs des droits de l'homme</t>
  </si>
  <si>
    <t>Resultat 1: Les institutions cibles au niveau national et local ainsi que les leaders locaux, hommes, femmes, jeunes, la societe civile et les media participent activement a la reduction de la violence liee aux questions politiques et institutionnelles</t>
  </si>
  <si>
    <t xml:space="preserve">Produit 1.4: Appui aux organisations communautaires de base (OCB) par les Comites Locaux de Paix (CLP) pour mener des activites de prevention de conflits et des violences </t>
  </si>
  <si>
    <t>Resultat 2: La confiance est accrue entre les populations et les forces de défense et de sécurité.</t>
  </si>
  <si>
    <t xml:space="preserve">Activite 2.2.1: 12 Rencontres bimestrielles entre FDS &amp; representants des populations sont organisees  </t>
  </si>
  <si>
    <t>Produit 2.2. Le dialogue civilo miltaire est promu comme outil de cohesion sociale</t>
  </si>
  <si>
    <t>Produit 2.1 Capacites des FDS renforcees en techniques de gestion des foules</t>
  </si>
  <si>
    <t>Produit 2.3. La fonctionnalite des structures des FDS d'accueil des usagers est amelioree</t>
  </si>
  <si>
    <t>Activite 3.1.1 Recrutements de 150 volontaires de la paix et des Droits de l'homme.</t>
  </si>
  <si>
    <t>Produit 3.2. Les capacites des institutions nationales de suivi et coordination et de rapportage de la protection et la promotion des droits de l'homme et contexte de crise politgique sont renforces</t>
  </si>
  <si>
    <t>Produit 3.3 Appui a la professionnalisation des defenseurs des droits de l'Homme</t>
  </si>
  <si>
    <t>Activite 3.2.1 Appui institutionnel et formation des membres du SEDH et de la CNDH</t>
  </si>
  <si>
    <t>Produit 3.4: Les centres de consolidation des droits de l'Homme et de la Paix de Sokode et Kara sont renforces</t>
  </si>
  <si>
    <t>Activite 3.4.1: Appui en equipement et materiel du Centre de Sokode</t>
  </si>
  <si>
    <t xml:space="preserve">Activite 3.4.2: Formation des membres du Centre de Sokode </t>
  </si>
  <si>
    <t>Activite 3.4.3: Appui en equipement et materiel du Centre de Kara</t>
  </si>
  <si>
    <t>Activite 3.4.4: Formation des membres du Centre de Kara</t>
  </si>
  <si>
    <t>Produit 3.5: Reduction des enfants victimes des violences liees aux manifestations politiques</t>
  </si>
  <si>
    <t>BUDGET TOTAL PAR AGENCEDU PROJET:</t>
  </si>
  <si>
    <t xml:space="preserve">Activite 1.2.1 :Formation des formateurs en prévention, médiation des conflits </t>
  </si>
  <si>
    <t>Activite 1.2.2: Formation membres CCNE, CCRE, CCPE en prevention et mediation</t>
  </si>
  <si>
    <t>Activite 1.2.5. Des mecanismes de consultation/concertation des jeunes sont mis en place dans les 4 regions</t>
  </si>
  <si>
    <t>Activite 1.2.4: Realisation de 50 seances de sensibilisation a l'endroit des adolescents dans les 4 regions cibles</t>
  </si>
  <si>
    <t>Activite 1.2.6. Realisation d'activites socioeducatives par les CCPE</t>
  </si>
  <si>
    <t>Produit 1.2: Formation des enfants et les adolescents dans les communautes en prevention et mediation des conflits de maniere a reduire les violences</t>
  </si>
  <si>
    <t>Activite 1.4.3:Renforcer les capacites des organisation communautaires pour la protection des droits de l'enfant</t>
  </si>
  <si>
    <t>Activite 1.3.1:Edition et duplication de Trois documents de formation (le manuel de l’adolescent(e), le cahier d’exercices et le guide l’enseignant)  pour initier dans les écoles les adolescents et adolescentes aux compétences de vie courante.</t>
  </si>
  <si>
    <t xml:space="preserve">Activite 1.3.2: Formation d’enseignants pour  encadrer les adolescents a l’acquisition des compétences de base leur permettant d’affronter les situations de la vie auxquelles ils auront à faire face. </t>
  </si>
  <si>
    <t>Activite 1.3.3: Realisation d'activites socioeducatives par les ecoles</t>
  </si>
  <si>
    <t>UNICEF</t>
  </si>
  <si>
    <t>Activite 1.2.3. Formation de 1183 adolescents dont 592 filles en prevention et mediation des conflits</t>
  </si>
  <si>
    <t xml:space="preserve">Activite 2.2. Developpement d'un logiciel pour la gestion des cas d’enfants et adolescent </t>
  </si>
  <si>
    <t xml:space="preserve">Produit 1.3: Sensibilisation et éducation des enfants et adolescent (e)s dans les ecoles à la résolution pacifique des conflits.  </t>
  </si>
  <si>
    <t>Activite 3.5.1. Seances d'info-sensibilisation avec les enfants de la rue</t>
  </si>
  <si>
    <t>Activite 3.5.2 Suivi de la violation des droits de l’enfant</t>
  </si>
  <si>
    <t>Activite 2.1. Formation de 1500 elements des FDS en techniques de dispersion non violente des foules et protection des droits de l'homme</t>
  </si>
  <si>
    <t>Activite 3.5.3: Diffusion de spot televisuels et d'emissions radio pour la sensibilisation a la paix et decourager la presence des enfants dans les manifestations politiques.</t>
  </si>
  <si>
    <t>Activite 3.5.4 Formation de 300  acteurs de la justice pour enfants (magistrats, Régisseurs, surveillants de prisons, OPJ, travailleurs sociaux, psychologues, médecins, assesseurs, greffiers, avocats), et de 200 parajouristes et leaders communautaires des régions maritimes, centrales, de la Kara et des savanes et spécialement des villes de Mango, Kara, Bafilo, Sokodé et Lomé et des cantons et villages environnants sur les droits et la protection de l’enfant et la consolidation de la paix</t>
  </si>
  <si>
    <t>Activite 1.4.2: creation et operationalisation du reseau national des CLP</t>
  </si>
  <si>
    <t xml:space="preserve">Activite 1.1.2: Prevention/mediation de 8 conflits dans les 4 regions avec l'appui du HCRRUN par l'utilisation de mecanismes locaux alternatifs de gestion des condlits  </t>
  </si>
  <si>
    <t>Activite 1.1.3. Appui Intitutionnel au HCRRUN pour la reduction des violence et la promotion de la cohesion sociale</t>
  </si>
  <si>
    <t>Produit 1.5 : Renforcer la professionnalisation des media en vue de promouvoir la culture de la paix et de la reduction de la violence</t>
  </si>
  <si>
    <t>Activite 1.5.1: Formation des membres des institutions patronales de presse et d’organismes de presse pour la promotion de la culture de paix et la reduction des violences</t>
  </si>
  <si>
    <t>Activite 1.5.2: Appui aux radio communautaires pour la realisation d'emissions de promotion de la culture de paix et la reduction des violences</t>
  </si>
  <si>
    <t xml:space="preserve">Activite 1.5.1: Formation des journalistes  en peace building et en communication responsable en situation de crise </t>
  </si>
  <si>
    <t>Produit 1.6: L'utilisation des reseaux sociaux par les acteurs locaux contribue a la reduction de la violence et a l'education a la paix</t>
  </si>
  <si>
    <t xml:space="preserve">Activite 1.6.1: Les CLP et organisations des jeunes mettent en place des plateformes locales utilisant les reseaux sociaux pour l'education a la paix et la reduction de la violence </t>
  </si>
  <si>
    <t>Produit 1.7: La mediation de la CEDEAO pour resourdre le contentieux politico institutionnel est appuye de maniere efficace au plan technique et operationnel</t>
  </si>
  <si>
    <t>Activite 1.7.1: Mise a disposition de 4 experts consultants</t>
  </si>
  <si>
    <t>Activite 1.7.2: Forum/Conf/debats appropriation</t>
  </si>
  <si>
    <t>Activite 1.7.3: Travel</t>
  </si>
  <si>
    <t>Activite 1.7.4: Meetings</t>
  </si>
  <si>
    <t>Couts operationnels si pas inclus dans les activites ci-dessus</t>
  </si>
  <si>
    <t>Activite 3.1.4. Appui a la Haute Autorite de l'Audiovisuel et de la Communication (HAAC)</t>
  </si>
  <si>
    <t xml:space="preserve">   </t>
  </si>
  <si>
    <t>Produit 1.1: Renforcement de capacités en prevention et mediation ds conflits</t>
  </si>
  <si>
    <t>Activite 1.1.1 Renforcement des capacités des leaders locaux (autorités locales, chefs traditionnels, leaders religieux) et societe civile en prevention et gestion des conflits dans les 4 regions cibles</t>
  </si>
  <si>
    <t xml:space="preserve">Activite 1.4.1: Les activites de prevention aux conflits et violence des OCB et organisations confessionnelles sont appuyees par les CLP </t>
  </si>
  <si>
    <t>Tranche 1 (60%)</t>
  </si>
  <si>
    <t>Tranche 2 (40%)</t>
  </si>
  <si>
    <t>Tranche 1 (40%)</t>
  </si>
  <si>
    <t>Tranche 3 (20%)</t>
  </si>
  <si>
    <t>Agence Recipiendiaire UNDP</t>
  </si>
  <si>
    <t>Total tranche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</si>
</sst>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 _C_F_A_-;\-* #,##0\ _C_F_A_-;_-* &quot;-&quot;\ _C_F_A_-;_-@_-"/>
    <numFmt numFmtId="43" formatCode="_-* #,##0.00\ _C_F_A_-;\-* #,##0.00\ _C_F_A_-;_-* &quot;-&quot;??\ _C_F_A_-;_-@_-"/>
    <numFmt numFmtId="164" formatCode="_-* #,##0.00\ _€_-;\-* #,##0.00\ _€_-;_-* &quot;-&quot;??\ _€_-;_-@_-"/>
    <numFmt numFmtId="165" formatCode="_(* #,##0.00_);_(* \(#,##0.00\);_(* &quot;-&quot;??_);_(@_)"/>
    <numFmt numFmtId="166" formatCode="_(* #,##0_);_(* \(#,##0\);_(* &quot;-&quot;??_);_(@_)"/>
    <numFmt numFmtId="167" formatCode="_-* #,##0.00\ _C_F_A_-;\-* #,##0.00\ _C_F_A_-;_-* &quot;-&quot;\ _C_F_A_-;_-@_-"/>
  </numFmts>
  <fonts count="19"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sz val="10"/>
      <color theme="1"/>
      <name val="Times New Roman"/>
      <family val="1"/>
    </font>
    <font>
      <b/>
      <sz val="10"/>
      <color theme="1"/>
      <name val="Times New Roman"/>
      <family val="1"/>
    </font>
    <font>
      <sz val="12"/>
      <color rgb="FFFF0000"/>
      <name val="Times New Roman"/>
      <family val="1"/>
    </font>
    <font>
      <sz val="12"/>
      <name val="Times New Roman"/>
      <family val="1"/>
    </font>
    <font>
      <sz val="11"/>
      <color theme="1"/>
      <name val="Calibri"/>
      <family val="2"/>
      <scheme val="minor"/>
    </font>
    <font>
      <sz val="9"/>
      <color indexed="81"/>
      <name val="Tahoma"/>
      <family val="2"/>
    </font>
    <font>
      <b/>
      <sz val="9"/>
      <color indexed="81"/>
      <name val="Tahoma"/>
      <family val="2"/>
    </font>
    <font>
      <b/>
      <sz val="16"/>
      <color theme="1"/>
      <name val="Times New Roman"/>
      <family val="1"/>
    </font>
    <font>
      <b/>
      <sz val="14"/>
      <color theme="1"/>
      <name val="Times New Roman"/>
      <family val="1"/>
    </font>
    <font>
      <sz val="11"/>
      <color theme="1"/>
      <name val="Times New Roman"/>
      <family val="1"/>
    </font>
    <font>
      <b/>
      <sz val="11"/>
      <color rgb="FFFF0000"/>
      <name val="Times New Roman"/>
      <family val="1"/>
    </font>
    <font>
      <b/>
      <sz val="12"/>
      <name val="Times New Roman"/>
      <family val="1"/>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medium">
        <color rgb="FF000000"/>
      </right>
      <top/>
      <bottom/>
      <diagonal/>
    </border>
    <border>
      <left/>
      <right/>
      <top style="medium">
        <color rgb="FF000000"/>
      </top>
      <bottom style="medium">
        <color rgb="FF000000"/>
      </bottom>
      <diagonal/>
    </border>
  </borders>
  <cellStyleXfs count="3">
    <xf numFmtId="0" fontId="0" fillId="0" borderId="0"/>
    <xf numFmtId="165" fontId="11" fillId="0" borderId="0" applyFont="0" applyFill="0" applyBorder="0" applyAlignment="0" applyProtection="0"/>
    <xf numFmtId="41" fontId="11" fillId="0" borderId="0" applyFont="0" applyFill="0" applyBorder="0" applyAlignment="0" applyProtection="0"/>
  </cellStyleXfs>
  <cellXfs count="130">
    <xf numFmtId="0" fontId="0" fillId="0" borderId="0" xfId="0"/>
    <xf numFmtId="0" fontId="5" fillId="0" borderId="25" xfId="0" applyFont="1" applyFill="1" applyBorder="1" applyAlignment="1">
      <alignment horizontal="right" vertical="center" wrapText="1"/>
    </xf>
    <xf numFmtId="0" fontId="1" fillId="0" borderId="1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vertical="center" wrapText="1"/>
    </xf>
    <xf numFmtId="0" fontId="16" fillId="0" borderId="0" xfId="0" applyFont="1" applyFill="1"/>
    <xf numFmtId="165" fontId="2" fillId="0" borderId="16" xfId="1" applyFont="1" applyFill="1" applyBorder="1" applyAlignment="1">
      <alignment horizontal="center" vertical="center" wrapText="1"/>
    </xf>
    <xf numFmtId="0" fontId="2" fillId="0" borderId="1" xfId="0" applyFont="1" applyFill="1" applyBorder="1" applyAlignment="1">
      <alignment vertical="center" wrapText="1"/>
    </xf>
    <xf numFmtId="0" fontId="1" fillId="0" borderId="5" xfId="0" applyFont="1" applyFill="1" applyBorder="1" applyAlignment="1">
      <alignment vertical="center" wrapText="1"/>
    </xf>
    <xf numFmtId="0" fontId="2" fillId="0" borderId="16"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2" xfId="0" applyFont="1" applyFill="1" applyBorder="1" applyAlignment="1">
      <alignment vertical="center" wrapText="1"/>
    </xf>
    <xf numFmtId="165" fontId="5" fillId="0" borderId="0" xfId="1" applyFont="1" applyFill="1" applyBorder="1" applyAlignment="1">
      <alignment horizontal="right" vertical="center" wrapText="1"/>
    </xf>
    <xf numFmtId="165" fontId="0" fillId="0" borderId="0" xfId="1" applyFont="1" applyFill="1" applyBorder="1"/>
    <xf numFmtId="0" fontId="3" fillId="0" borderId="0" xfId="0" applyFont="1" applyFill="1"/>
    <xf numFmtId="0" fontId="0" fillId="0" borderId="0" xfId="0" applyFill="1"/>
    <xf numFmtId="165" fontId="0" fillId="0" borderId="0" xfId="1" applyFont="1" applyFill="1"/>
    <xf numFmtId="0" fontId="6" fillId="0" borderId="0" xfId="0" applyFont="1" applyFill="1"/>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0" xfId="0" applyFont="1" applyFill="1" applyBorder="1" applyAlignment="1">
      <alignment horizontal="right" vertical="center" wrapText="1"/>
    </xf>
    <xf numFmtId="165" fontId="5" fillId="0" borderId="10" xfId="0" applyNumberFormat="1" applyFont="1" applyFill="1" applyBorder="1" applyAlignment="1">
      <alignment horizontal="right" vertical="center" wrapText="1"/>
    </xf>
    <xf numFmtId="164" fontId="5" fillId="0" borderId="10" xfId="0" applyNumberFormat="1" applyFont="1" applyFill="1" applyBorder="1" applyAlignment="1">
      <alignment horizontal="right" vertical="center" wrapText="1"/>
    </xf>
    <xf numFmtId="0" fontId="7" fillId="0" borderId="8" xfId="0" applyFont="1" applyFill="1" applyBorder="1" applyAlignment="1">
      <alignment vertical="center" wrapText="1"/>
    </xf>
    <xf numFmtId="165" fontId="5" fillId="0" borderId="10" xfId="1" applyFont="1" applyFill="1" applyBorder="1" applyAlignment="1">
      <alignment horizontal="center" vertical="center" wrapText="1"/>
    </xf>
    <xf numFmtId="165" fontId="0" fillId="0" borderId="0" xfId="0" applyNumberFormat="1" applyFill="1"/>
    <xf numFmtId="165" fontId="5" fillId="0" borderId="10" xfId="1" applyFont="1" applyFill="1" applyBorder="1" applyAlignment="1">
      <alignment horizontal="right" vertical="center" wrapText="1"/>
    </xf>
    <xf numFmtId="0" fontId="8" fillId="0" borderId="8" xfId="0" applyFont="1" applyFill="1" applyBorder="1" applyAlignment="1">
      <alignment vertical="center" wrapText="1"/>
    </xf>
    <xf numFmtId="0" fontId="14" fillId="0" borderId="0" xfId="0" applyFont="1" applyFill="1"/>
    <xf numFmtId="0" fontId="15" fillId="0" borderId="0" xfId="0" applyFont="1" applyFill="1"/>
    <xf numFmtId="166" fontId="17" fillId="0" borderId="0" xfId="1" applyNumberFormat="1" applyFont="1" applyFill="1"/>
    <xf numFmtId="0" fontId="2" fillId="0" borderId="0" xfId="0" applyFont="1" applyFill="1"/>
    <xf numFmtId="166" fontId="16" fillId="0" borderId="0" xfId="1" applyNumberFormat="1" applyFont="1" applyFill="1"/>
    <xf numFmtId="0" fontId="1" fillId="0" borderId="2" xfId="0" applyFont="1" applyFill="1" applyBorder="1" applyAlignment="1">
      <alignment vertical="center" wrapText="1"/>
    </xf>
    <xf numFmtId="166" fontId="1" fillId="0" borderId="2" xfId="1" applyNumberFormat="1" applyFont="1" applyFill="1" applyBorder="1" applyAlignment="1">
      <alignment vertical="center" wrapText="1"/>
    </xf>
    <xf numFmtId="0" fontId="1" fillId="0" borderId="16" xfId="0" applyFont="1" applyFill="1" applyBorder="1" applyAlignment="1">
      <alignment vertical="center" wrapText="1"/>
    </xf>
    <xf numFmtId="0" fontId="16" fillId="0" borderId="16" xfId="0" applyFont="1" applyFill="1" applyBorder="1"/>
    <xf numFmtId="0" fontId="10" fillId="0" borderId="16" xfId="0" applyFont="1" applyFill="1" applyBorder="1" applyAlignment="1">
      <alignment horizontal="center" vertical="center" wrapText="1"/>
    </xf>
    <xf numFmtId="0" fontId="1" fillId="0" borderId="21" xfId="0" applyFont="1" applyFill="1" applyBorder="1" applyAlignment="1">
      <alignment wrapText="1"/>
    </xf>
    <xf numFmtId="0" fontId="16" fillId="0" borderId="21" xfId="0" applyFont="1" applyFill="1" applyBorder="1"/>
    <xf numFmtId="0" fontId="1" fillId="0" borderId="21" xfId="0" applyFont="1" applyFill="1" applyBorder="1" applyAlignment="1">
      <alignment vertical="center" wrapText="1"/>
    </xf>
    <xf numFmtId="0" fontId="2" fillId="0" borderId="24" xfId="0" applyFont="1" applyFill="1" applyBorder="1" applyAlignment="1">
      <alignment vertical="center" wrapText="1"/>
    </xf>
    <xf numFmtId="0" fontId="2" fillId="0" borderId="0" xfId="0" applyFont="1" applyFill="1" applyBorder="1" applyAlignment="1">
      <alignment vertical="center" wrapText="1"/>
    </xf>
    <xf numFmtId="0" fontId="2" fillId="0" borderId="17" xfId="0" applyFont="1" applyFill="1" applyBorder="1" applyAlignment="1">
      <alignment vertical="center" wrapText="1"/>
    </xf>
    <xf numFmtId="165" fontId="1" fillId="0" borderId="16" xfId="1" applyNumberFormat="1" applyFont="1" applyFill="1" applyBorder="1" applyAlignment="1">
      <alignment horizontal="center" vertical="center" wrapText="1"/>
    </xf>
    <xf numFmtId="0" fontId="1" fillId="0" borderId="14" xfId="0" applyFont="1" applyFill="1" applyBorder="1" applyAlignment="1">
      <alignment vertical="center" wrapText="1"/>
    </xf>
    <xf numFmtId="0" fontId="2" fillId="0" borderId="21" xfId="0" applyFont="1" applyFill="1" applyBorder="1" applyAlignment="1">
      <alignment vertical="center" wrapText="1"/>
    </xf>
    <xf numFmtId="165" fontId="1" fillId="0" borderId="21" xfId="1" applyNumberFormat="1" applyFont="1" applyFill="1" applyBorder="1" applyAlignment="1">
      <alignment horizontal="center" vertical="center" wrapText="1"/>
    </xf>
    <xf numFmtId="165" fontId="10" fillId="0" borderId="16" xfId="1" applyNumberFormat="1" applyFont="1" applyFill="1" applyBorder="1" applyAlignment="1">
      <alignment horizontal="center" vertical="center" wrapText="1"/>
    </xf>
    <xf numFmtId="165" fontId="16" fillId="0" borderId="0" xfId="0" applyNumberFormat="1" applyFont="1" applyFill="1"/>
    <xf numFmtId="0" fontId="2" fillId="0" borderId="5" xfId="0" applyFont="1" applyFill="1" applyBorder="1" applyAlignment="1">
      <alignment vertical="center" wrapText="1"/>
    </xf>
    <xf numFmtId="0" fontId="10" fillId="0" borderId="16" xfId="0" applyFont="1" applyFill="1" applyBorder="1" applyAlignment="1">
      <alignment vertical="center" wrapText="1"/>
    </xf>
    <xf numFmtId="165" fontId="10" fillId="0" borderId="16" xfId="1" applyFont="1" applyFill="1" applyBorder="1" applyAlignment="1">
      <alignment horizontal="center" vertical="center" wrapText="1"/>
    </xf>
    <xf numFmtId="165" fontId="1" fillId="0" borderId="16" xfId="1" applyFont="1" applyFill="1" applyBorder="1" applyAlignment="1">
      <alignment horizontal="center" vertical="center" wrapText="1"/>
    </xf>
    <xf numFmtId="0" fontId="2" fillId="0" borderId="15" xfId="0" applyFont="1" applyFill="1" applyBorder="1" applyAlignment="1">
      <alignment vertical="center" wrapText="1"/>
    </xf>
    <xf numFmtId="0" fontId="2" fillId="0" borderId="4"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0" fillId="0" borderId="22" xfId="0" applyFont="1" applyFill="1" applyBorder="1" applyAlignment="1">
      <alignment vertical="center" wrapText="1"/>
    </xf>
    <xf numFmtId="165" fontId="10" fillId="0" borderId="0" xfId="1" applyFont="1" applyFill="1" applyBorder="1" applyAlignment="1">
      <alignment horizontal="center" vertical="center" wrapText="1"/>
    </xf>
    <xf numFmtId="0" fontId="10" fillId="0" borderId="0" xfId="0" applyFont="1" applyFill="1" applyBorder="1" applyAlignment="1">
      <alignment vertical="center" wrapText="1"/>
    </xf>
    <xf numFmtId="0" fontId="1" fillId="0" borderId="17" xfId="0" applyFont="1" applyFill="1" applyBorder="1" applyAlignment="1">
      <alignment vertical="center" wrapText="1"/>
    </xf>
    <xf numFmtId="165" fontId="1" fillId="0" borderId="16" xfId="1" applyFont="1" applyFill="1" applyBorder="1" applyAlignment="1">
      <alignment vertical="center" wrapText="1"/>
    </xf>
    <xf numFmtId="0" fontId="2" fillId="0" borderId="6" xfId="0" applyFont="1" applyFill="1" applyBorder="1" applyAlignment="1">
      <alignment horizontal="center" vertical="center" wrapText="1"/>
    </xf>
    <xf numFmtId="165" fontId="2" fillId="0" borderId="6" xfId="1" applyFont="1" applyFill="1" applyBorder="1" applyAlignment="1">
      <alignment horizontal="center" vertical="center" wrapText="1"/>
    </xf>
    <xf numFmtId="0" fontId="2" fillId="0" borderId="14" xfId="0" applyFont="1" applyFill="1" applyBorder="1" applyAlignment="1">
      <alignment vertical="center" wrapText="1"/>
    </xf>
    <xf numFmtId="165" fontId="1" fillId="0" borderId="4" xfId="1" applyFont="1" applyFill="1" applyBorder="1" applyAlignment="1">
      <alignment horizontal="center" vertical="center" wrapText="1"/>
    </xf>
    <xf numFmtId="165" fontId="2" fillId="0" borderId="6" xfId="0" applyNumberFormat="1" applyFont="1" applyFill="1" applyBorder="1" applyAlignment="1">
      <alignment horizontal="center" vertical="center" wrapText="1"/>
    </xf>
    <xf numFmtId="0" fontId="2" fillId="0" borderId="3" xfId="0" applyFont="1" applyFill="1" applyBorder="1" applyAlignment="1">
      <alignment vertical="center" wrapText="1"/>
    </xf>
    <xf numFmtId="0" fontId="16" fillId="0" borderId="22" xfId="0" applyFont="1" applyFill="1" applyBorder="1"/>
    <xf numFmtId="0" fontId="1" fillId="0" borderId="17" xfId="0" applyFont="1" applyFill="1" applyBorder="1" applyAlignment="1">
      <alignment horizontal="center" vertical="center" wrapText="1"/>
    </xf>
    <xf numFmtId="165" fontId="1" fillId="0" borderId="21" xfId="1" applyFont="1" applyFill="1" applyBorder="1" applyAlignment="1">
      <alignment horizontal="center" vertical="center" wrapText="1"/>
    </xf>
    <xf numFmtId="0" fontId="1" fillId="0" borderId="22" xfId="0" applyFont="1" applyFill="1" applyBorder="1" applyAlignment="1">
      <alignment vertical="center" wrapText="1"/>
    </xf>
    <xf numFmtId="0" fontId="2" fillId="0" borderId="15" xfId="0" applyFont="1" applyFill="1" applyBorder="1" applyAlignment="1">
      <alignment horizontal="center" vertical="center" wrapText="1"/>
    </xf>
    <xf numFmtId="165" fontId="1" fillId="0" borderId="16" xfId="1" applyFont="1" applyFill="1" applyBorder="1" applyAlignment="1">
      <alignment horizontal="center"/>
    </xf>
    <xf numFmtId="164" fontId="16" fillId="0" borderId="0" xfId="0" applyNumberFormat="1" applyFont="1" applyFill="1"/>
    <xf numFmtId="165" fontId="16" fillId="0" borderId="0" xfId="1" applyFont="1" applyFill="1"/>
    <xf numFmtId="165" fontId="1" fillId="0" borderId="0" xfId="1" applyFont="1" applyFill="1"/>
    <xf numFmtId="43" fontId="16" fillId="0" borderId="0" xfId="0" applyNumberFormat="1" applyFont="1" applyFill="1"/>
    <xf numFmtId="41" fontId="1" fillId="0" borderId="16" xfId="2" applyFont="1" applyFill="1" applyBorder="1" applyAlignment="1">
      <alignment horizontal="center" vertical="center" wrapText="1"/>
    </xf>
    <xf numFmtId="41" fontId="2" fillId="0" borderId="0" xfId="2" applyFont="1" applyFill="1" applyBorder="1" applyAlignment="1">
      <alignment vertical="center" wrapText="1"/>
    </xf>
    <xf numFmtId="41" fontId="2" fillId="0" borderId="16" xfId="2" applyFont="1" applyFill="1" applyBorder="1" applyAlignment="1">
      <alignment vertical="center" wrapText="1"/>
    </xf>
    <xf numFmtId="41" fontId="2" fillId="0" borderId="21" xfId="2" applyFont="1" applyFill="1" applyBorder="1" applyAlignment="1">
      <alignment vertical="center" wrapText="1"/>
    </xf>
    <xf numFmtId="41" fontId="10" fillId="0" borderId="16" xfId="2" applyFont="1" applyFill="1" applyBorder="1" applyAlignment="1">
      <alignment horizontal="center" vertical="center" wrapText="1"/>
    </xf>
    <xf numFmtId="41" fontId="2" fillId="0" borderId="15" xfId="2" applyFont="1" applyFill="1" applyBorder="1" applyAlignment="1">
      <alignment vertical="center" wrapText="1"/>
    </xf>
    <xf numFmtId="167" fontId="1" fillId="0" borderId="16" xfId="2" applyNumberFormat="1" applyFont="1" applyFill="1" applyBorder="1" applyAlignment="1">
      <alignment horizontal="center" vertical="center" wrapText="1"/>
    </xf>
    <xf numFmtId="167" fontId="1" fillId="0" borderId="4" xfId="2" applyNumberFormat="1" applyFont="1" applyFill="1" applyBorder="1" applyAlignment="1">
      <alignment horizontal="center" vertical="center" wrapText="1"/>
    </xf>
    <xf numFmtId="167" fontId="10" fillId="0" borderId="4" xfId="2" applyNumberFormat="1" applyFont="1" applyFill="1" applyBorder="1" applyAlignment="1">
      <alignment horizontal="center" vertical="center" wrapText="1"/>
    </xf>
    <xf numFmtId="167" fontId="2" fillId="0" borderId="6" xfId="2" applyNumberFormat="1" applyFont="1" applyFill="1" applyBorder="1" applyAlignment="1">
      <alignment horizontal="center" vertical="center" wrapText="1"/>
    </xf>
    <xf numFmtId="167" fontId="1" fillId="0" borderId="0" xfId="2" applyNumberFormat="1" applyFont="1" applyFill="1" applyBorder="1" applyAlignment="1">
      <alignment horizontal="center" vertical="center" wrapText="1"/>
    </xf>
    <xf numFmtId="167" fontId="1" fillId="0" borderId="17" xfId="2" applyNumberFormat="1" applyFont="1" applyFill="1" applyBorder="1" applyAlignment="1">
      <alignment horizontal="center" vertical="center" wrapText="1"/>
    </xf>
    <xf numFmtId="167" fontId="1" fillId="0" borderId="16" xfId="2" applyNumberFormat="1" applyFont="1" applyFill="1" applyBorder="1" applyAlignment="1">
      <alignment vertical="center" wrapText="1"/>
    </xf>
    <xf numFmtId="167" fontId="1" fillId="0" borderId="21" xfId="2" applyNumberFormat="1" applyFont="1" applyFill="1" applyBorder="1" applyAlignment="1">
      <alignment vertical="center" wrapText="1"/>
    </xf>
    <xf numFmtId="167" fontId="1" fillId="0" borderId="21" xfId="2" applyNumberFormat="1" applyFont="1" applyFill="1" applyBorder="1" applyAlignment="1">
      <alignment horizontal="center" vertical="center" wrapText="1"/>
    </xf>
    <xf numFmtId="167" fontId="10" fillId="0" borderId="16" xfId="2" applyNumberFormat="1" applyFont="1" applyFill="1" applyBorder="1" applyAlignment="1">
      <alignment horizontal="center" vertical="center" wrapText="1"/>
    </xf>
    <xf numFmtId="167" fontId="10" fillId="0" borderId="22" xfId="2" applyNumberFormat="1" applyFont="1" applyFill="1" applyBorder="1" applyAlignment="1">
      <alignment horizontal="center" vertical="center" wrapText="1"/>
    </xf>
    <xf numFmtId="165" fontId="1" fillId="0" borderId="20" xfId="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0" fillId="0" borderId="5" xfId="0" applyFont="1" applyFill="1" applyBorder="1" applyAlignment="1">
      <alignment vertical="center" wrapText="1"/>
    </xf>
    <xf numFmtId="0" fontId="18" fillId="0" borderId="16" xfId="0" applyFont="1" applyFill="1" applyBorder="1" applyAlignment="1">
      <alignment vertical="center" wrapText="1"/>
    </xf>
    <xf numFmtId="41" fontId="18" fillId="0" borderId="16" xfId="2" applyFont="1" applyFill="1" applyBorder="1" applyAlignment="1">
      <alignment vertical="center" wrapText="1"/>
    </xf>
    <xf numFmtId="167" fontId="10" fillId="0" borderId="21" xfId="2" applyNumberFormat="1" applyFont="1" applyFill="1" applyBorder="1" applyAlignment="1">
      <alignment vertical="center" wrapText="1"/>
    </xf>
    <xf numFmtId="167" fontId="2" fillId="0" borderId="0" xfId="2" applyNumberFormat="1" applyFont="1" applyFill="1" applyBorder="1" applyAlignment="1">
      <alignment vertical="center" wrapText="1"/>
    </xf>
    <xf numFmtId="167" fontId="2" fillId="0" borderId="16" xfId="2" applyNumberFormat="1" applyFont="1" applyFill="1" applyBorder="1" applyAlignment="1">
      <alignment vertical="center" wrapText="1"/>
    </xf>
    <xf numFmtId="167" fontId="10" fillId="0" borderId="16" xfId="2" applyNumberFormat="1" applyFont="1" applyFill="1" applyBorder="1" applyAlignment="1">
      <alignment vertical="center" wrapText="1"/>
    </xf>
    <xf numFmtId="167" fontId="18" fillId="0" borderId="16" xfId="2" applyNumberFormat="1" applyFont="1" applyFill="1" applyBorder="1" applyAlignment="1">
      <alignment vertical="center" wrapText="1"/>
    </xf>
    <xf numFmtId="167" fontId="2" fillId="0" borderId="15" xfId="2" applyNumberFormat="1" applyFont="1" applyFill="1" applyBorder="1" applyAlignment="1">
      <alignment vertical="center" wrapText="1"/>
    </xf>
    <xf numFmtId="167" fontId="1" fillId="0" borderId="4" xfId="2" applyNumberFormat="1" applyFont="1" applyFill="1" applyBorder="1" applyAlignment="1">
      <alignment vertical="center" wrapText="1"/>
    </xf>
    <xf numFmtId="167" fontId="9" fillId="0" borderId="0" xfId="2" applyNumberFormat="1" applyFont="1" applyFill="1" applyBorder="1" applyAlignment="1">
      <alignment vertical="center" wrapText="1"/>
    </xf>
    <xf numFmtId="2" fontId="1" fillId="0" borderId="16" xfId="2" applyNumberFormat="1" applyFont="1" applyFill="1" applyBorder="1" applyAlignment="1">
      <alignment horizontal="center" vertical="center" wrapText="1"/>
    </xf>
    <xf numFmtId="2" fontId="1" fillId="0" borderId="4" xfId="2" applyNumberFormat="1" applyFont="1" applyFill="1" applyBorder="1" applyAlignment="1">
      <alignment horizontal="center" vertical="center" wrapText="1"/>
    </xf>
    <xf numFmtId="2" fontId="1" fillId="0" borderId="17" xfId="2" applyNumberFormat="1" applyFont="1" applyFill="1" applyBorder="1" applyAlignment="1">
      <alignment horizontal="center" vertical="center" wrapText="1"/>
    </xf>
    <xf numFmtId="167" fontId="1" fillId="0" borderId="20" xfId="2" applyNumberFormat="1" applyFont="1" applyFill="1" applyBorder="1" applyAlignment="1">
      <alignment vertical="center" wrapText="1"/>
    </xf>
    <xf numFmtId="167" fontId="2" fillId="0" borderId="16" xfId="2" applyNumberFormat="1" applyFont="1" applyFill="1" applyBorder="1" applyAlignment="1">
      <alignment horizontal="center" vertical="center" wrapText="1"/>
    </xf>
    <xf numFmtId="167" fontId="16" fillId="0" borderId="0" xfId="0" applyNumberFormat="1" applyFont="1" applyFill="1"/>
    <xf numFmtId="0" fontId="2" fillId="0" borderId="5" xfId="0" applyFont="1" applyFill="1" applyBorder="1" applyAlignment="1">
      <alignment vertical="center" wrapText="1"/>
    </xf>
    <xf numFmtId="0" fontId="2" fillId="0" borderId="15" xfId="0" applyFont="1" applyFill="1" applyBorder="1" applyAlignment="1">
      <alignment vertical="center" wrapText="1"/>
    </xf>
    <xf numFmtId="0" fontId="2" fillId="0" borderId="6" xfId="0" applyFont="1" applyFill="1" applyBorder="1" applyAlignment="1">
      <alignment vertical="center" wrapText="1"/>
    </xf>
    <xf numFmtId="0" fontId="2" fillId="0" borderId="2" xfId="0" applyFont="1" applyFill="1" applyBorder="1" applyAlignment="1">
      <alignment vertical="center" wrapText="1"/>
    </xf>
    <xf numFmtId="0" fontId="2" fillId="0" borderId="18" xfId="0" applyFont="1" applyFill="1" applyBorder="1" applyAlignment="1">
      <alignment vertical="center" wrapText="1"/>
    </xf>
    <xf numFmtId="0" fontId="2" fillId="0" borderId="23" xfId="0" applyFont="1" applyFill="1" applyBorder="1" applyAlignment="1">
      <alignment vertical="center" wrapText="1"/>
    </xf>
    <xf numFmtId="0" fontId="2" fillId="0" borderId="19" xfId="0" applyFont="1" applyFill="1" applyBorder="1" applyAlignment="1">
      <alignment vertical="center" wrapText="1"/>
    </xf>
    <xf numFmtId="0" fontId="2" fillId="0" borderId="16"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9" xfId="0" applyFont="1" applyFill="1" applyBorder="1" applyAlignment="1">
      <alignment horizontal="center" vertical="center" wrapText="1"/>
    </xf>
  </cellXfs>
  <cellStyles count="3">
    <cellStyle name="Milliers" xfId="1" builtinId="3"/>
    <cellStyle name="Milliers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3"/>
  <sheetViews>
    <sheetView tabSelected="1" view="pageBreakPreview" zoomScaleNormal="100" zoomScaleSheetLayoutView="100" workbookViewId="0">
      <pane ySplit="7" topLeftCell="A8" activePane="bottomLeft" state="frozen"/>
      <selection pane="bottomLeft" activeCell="G10" sqref="G10"/>
    </sheetView>
  </sheetViews>
  <sheetFormatPr baseColWidth="10" defaultColWidth="9.109375" defaultRowHeight="13.8" x14ac:dyDescent="0.25"/>
  <cols>
    <col min="1" max="1" width="55.109375" style="5" customWidth="1"/>
    <col min="2" max="2" width="20.109375" style="5" customWidth="1"/>
    <col min="3" max="3" width="19.6640625" style="5" customWidth="1"/>
    <col min="4" max="4" width="22" style="5" customWidth="1"/>
    <col min="5" max="5" width="18.33203125" style="5" bestFit="1" customWidth="1"/>
    <col min="6" max="6" width="19.5546875" style="34" customWidth="1"/>
    <col min="7" max="7" width="19.109375" style="5" customWidth="1"/>
    <col min="8" max="8" width="22.88671875" style="5" customWidth="1"/>
    <col min="9" max="11" width="28.88671875" style="5" customWidth="1"/>
    <col min="12" max="12" width="34.109375" style="5" customWidth="1"/>
    <col min="13" max="16384" width="9.109375" style="5"/>
  </cols>
  <sheetData>
    <row r="1" spans="1:7" ht="20.399999999999999" x14ac:dyDescent="0.35">
      <c r="A1" s="30" t="s">
        <v>5</v>
      </c>
      <c r="B1" s="31"/>
      <c r="C1" s="31"/>
      <c r="F1" s="32"/>
    </row>
    <row r="2" spans="1:7" ht="15.6" x14ac:dyDescent="0.3">
      <c r="A2" s="33"/>
      <c r="B2" s="33"/>
      <c r="C2" s="33"/>
      <c r="F2" s="32"/>
    </row>
    <row r="3" spans="1:7" ht="15.6" x14ac:dyDescent="0.3">
      <c r="A3" s="33" t="s">
        <v>6</v>
      </c>
      <c r="B3" s="33"/>
      <c r="C3" s="33"/>
      <c r="F3" s="32"/>
    </row>
    <row r="5" spans="1:7" ht="15.6" x14ac:dyDescent="0.3">
      <c r="A5" s="33" t="s">
        <v>7</v>
      </c>
    </row>
    <row r="6" spans="1:7" ht="14.4" thickBot="1" x14ac:dyDescent="0.3"/>
    <row r="7" spans="1:7" ht="120" customHeight="1" thickBot="1" x14ac:dyDescent="0.3">
      <c r="A7" s="4" t="s">
        <v>8</v>
      </c>
      <c r="B7" s="35" t="s">
        <v>9</v>
      </c>
      <c r="C7" s="35" t="s">
        <v>33</v>
      </c>
      <c r="D7" s="35" t="s">
        <v>34</v>
      </c>
      <c r="E7" s="35" t="s">
        <v>10</v>
      </c>
      <c r="F7" s="36" t="s">
        <v>32</v>
      </c>
      <c r="G7" s="35" t="s">
        <v>11</v>
      </c>
    </row>
    <row r="8" spans="1:7" ht="45.75" customHeight="1" thickBot="1" x14ac:dyDescent="0.3">
      <c r="A8" s="117" t="s">
        <v>40</v>
      </c>
      <c r="B8" s="119"/>
      <c r="C8" s="119"/>
      <c r="D8" s="119"/>
      <c r="E8" s="119"/>
      <c r="F8" s="119"/>
      <c r="G8" s="120"/>
    </row>
    <row r="9" spans="1:7" ht="39.75" customHeight="1" x14ac:dyDescent="0.25">
      <c r="A9" s="122" t="s">
        <v>94</v>
      </c>
      <c r="B9" s="121"/>
      <c r="C9" s="121"/>
      <c r="D9" s="121"/>
      <c r="E9" s="121"/>
      <c r="F9" s="121"/>
      <c r="G9" s="123"/>
    </row>
    <row r="10" spans="1:7" ht="62.4" x14ac:dyDescent="0.25">
      <c r="A10" s="37" t="s">
        <v>95</v>
      </c>
      <c r="B10" s="37" t="s">
        <v>0</v>
      </c>
      <c r="C10" s="87">
        <f>80000+40000</f>
        <v>120000</v>
      </c>
      <c r="D10" s="37" t="s">
        <v>0</v>
      </c>
      <c r="E10" s="37"/>
      <c r="F10" s="93">
        <f>49189+116.48</f>
        <v>49305.48</v>
      </c>
      <c r="G10" s="37"/>
    </row>
    <row r="11" spans="1:7" ht="60" customHeight="1" x14ac:dyDescent="0.25">
      <c r="A11" s="37" t="s">
        <v>78</v>
      </c>
      <c r="B11" s="38"/>
      <c r="C11" s="87">
        <f>30000+20000</f>
        <v>50000</v>
      </c>
      <c r="D11" s="39"/>
      <c r="E11" s="37"/>
      <c r="F11" s="93">
        <v>64756</v>
      </c>
      <c r="G11" s="37"/>
    </row>
    <row r="12" spans="1:7" ht="52.5" customHeight="1" x14ac:dyDescent="0.3">
      <c r="A12" s="40" t="s">
        <v>79</v>
      </c>
      <c r="B12" s="41"/>
      <c r="C12" s="87">
        <f>40000+20000</f>
        <v>60000</v>
      </c>
      <c r="D12" s="41"/>
      <c r="E12" s="42"/>
      <c r="F12" s="103">
        <f>+(11728720+4644456+2147064+2862100)/590.42</f>
        <v>36215.473730564685</v>
      </c>
      <c r="G12" s="42"/>
    </row>
    <row r="13" spans="1:7" ht="46.8" x14ac:dyDescent="0.25">
      <c r="A13" s="43" t="s">
        <v>63</v>
      </c>
      <c r="B13" s="44"/>
      <c r="C13" s="82"/>
      <c r="D13" s="44"/>
      <c r="E13" s="44"/>
      <c r="F13" s="104"/>
      <c r="G13" s="45"/>
    </row>
    <row r="14" spans="1:7" ht="48" customHeight="1" x14ac:dyDescent="0.25">
      <c r="A14" s="37" t="s">
        <v>58</v>
      </c>
      <c r="B14" s="9"/>
      <c r="C14" s="83"/>
      <c r="D14" s="46">
        <v>10000</v>
      </c>
      <c r="E14" s="37">
        <v>20</v>
      </c>
      <c r="F14" s="93">
        <v>3455.6659078211101</v>
      </c>
      <c r="G14" s="9"/>
    </row>
    <row r="15" spans="1:7" ht="45" customHeight="1" x14ac:dyDescent="0.25">
      <c r="A15" s="37" t="s">
        <v>59</v>
      </c>
      <c r="B15" s="37"/>
      <c r="C15" s="81"/>
      <c r="D15" s="46">
        <v>30000</v>
      </c>
      <c r="E15" s="37"/>
      <c r="F15" s="93">
        <v>11287.619142921472</v>
      </c>
      <c r="G15" s="37"/>
    </row>
    <row r="16" spans="1:7" ht="42.75" customHeight="1" thickBot="1" x14ac:dyDescent="0.3">
      <c r="A16" s="47" t="s">
        <v>69</v>
      </c>
      <c r="B16" s="48"/>
      <c r="C16" s="84"/>
      <c r="D16" s="49">
        <v>70000</v>
      </c>
      <c r="E16" s="42">
        <v>50</v>
      </c>
      <c r="F16" s="94"/>
      <c r="G16" s="9"/>
    </row>
    <row r="17" spans="1:8" ht="45.75" customHeight="1" thickBot="1" x14ac:dyDescent="0.3">
      <c r="A17" s="8" t="s">
        <v>61</v>
      </c>
      <c r="B17" s="9"/>
      <c r="C17" s="83"/>
      <c r="D17" s="50">
        <v>10000</v>
      </c>
      <c r="E17" s="9"/>
      <c r="F17" s="105"/>
      <c r="G17" s="9"/>
    </row>
    <row r="18" spans="1:8" ht="60" customHeight="1" thickBot="1" x14ac:dyDescent="0.3">
      <c r="A18" s="8" t="s">
        <v>60</v>
      </c>
      <c r="B18" s="9"/>
      <c r="C18" s="83"/>
      <c r="D18" s="50">
        <v>30000</v>
      </c>
      <c r="E18" s="9"/>
      <c r="F18" s="105"/>
      <c r="G18" s="9"/>
    </row>
    <row r="19" spans="1:8" ht="41.25" customHeight="1" thickBot="1" x14ac:dyDescent="0.3">
      <c r="A19" s="8" t="s">
        <v>62</v>
      </c>
      <c r="B19" s="9"/>
      <c r="C19" s="83"/>
      <c r="D19" s="50">
        <v>10000</v>
      </c>
      <c r="E19" s="9"/>
      <c r="F19" s="105"/>
      <c r="G19" s="9"/>
      <c r="H19" s="51"/>
    </row>
    <row r="20" spans="1:8" ht="47.4" thickBot="1" x14ac:dyDescent="0.3">
      <c r="A20" s="52" t="s">
        <v>71</v>
      </c>
      <c r="B20" s="44"/>
      <c r="C20" s="82"/>
      <c r="D20" s="44"/>
      <c r="E20" s="44"/>
      <c r="F20" s="104"/>
      <c r="G20" s="45"/>
    </row>
    <row r="21" spans="1:8" ht="87.75" customHeight="1" thickBot="1" x14ac:dyDescent="0.3">
      <c r="A21" s="53" t="s">
        <v>65</v>
      </c>
      <c r="B21" s="53"/>
      <c r="C21" s="85"/>
      <c r="D21" s="54">
        <v>70472.149999999994</v>
      </c>
      <c r="E21" s="53"/>
      <c r="F21" s="106">
        <v>16938</v>
      </c>
      <c r="G21" s="37"/>
    </row>
    <row r="22" spans="1:8" ht="63" thickBot="1" x14ac:dyDescent="0.3">
      <c r="A22" s="8" t="s">
        <v>66</v>
      </c>
      <c r="B22" s="53"/>
      <c r="C22" s="85"/>
      <c r="D22" s="54">
        <v>43000</v>
      </c>
      <c r="E22" s="53"/>
      <c r="F22" s="106">
        <v>39724.120000000003</v>
      </c>
      <c r="G22" s="37"/>
    </row>
    <row r="23" spans="1:8" ht="31.8" thickBot="1" x14ac:dyDescent="0.3">
      <c r="A23" s="100" t="s">
        <v>67</v>
      </c>
      <c r="B23" s="101"/>
      <c r="C23" s="102"/>
      <c r="D23" s="54">
        <v>15000</v>
      </c>
      <c r="E23" s="101"/>
      <c r="F23" s="107"/>
      <c r="G23" s="101"/>
    </row>
    <row r="24" spans="1:8" ht="63" thickBot="1" x14ac:dyDescent="0.3">
      <c r="A24" s="52" t="s">
        <v>41</v>
      </c>
      <c r="B24" s="56"/>
      <c r="C24" s="86"/>
      <c r="D24" s="56"/>
      <c r="E24" s="56"/>
      <c r="F24" s="108"/>
      <c r="G24" s="57"/>
    </row>
    <row r="25" spans="1:8" ht="47.4" thickBot="1" x14ac:dyDescent="0.3">
      <c r="A25" s="58" t="s">
        <v>96</v>
      </c>
      <c r="B25" s="59" t="s">
        <v>0</v>
      </c>
      <c r="C25" s="89">
        <f>70000-20000</f>
        <v>50000</v>
      </c>
      <c r="D25" s="59"/>
      <c r="E25" s="59"/>
      <c r="F25" s="109">
        <v>0</v>
      </c>
      <c r="G25" s="59"/>
    </row>
    <row r="26" spans="1:8" ht="31.2" x14ac:dyDescent="0.25">
      <c r="A26" s="60" t="s">
        <v>64</v>
      </c>
      <c r="B26" s="60"/>
      <c r="C26" s="97"/>
      <c r="D26" s="61">
        <v>10171</v>
      </c>
      <c r="E26" s="62"/>
      <c r="F26" s="110"/>
      <c r="G26" s="63"/>
    </row>
    <row r="27" spans="1:8" ht="31.2" x14ac:dyDescent="0.25">
      <c r="A27" s="53" t="s">
        <v>77</v>
      </c>
      <c r="B27" s="53"/>
      <c r="C27" s="96">
        <f>25000-5000</f>
        <v>20000</v>
      </c>
      <c r="D27" s="54"/>
      <c r="E27" s="53"/>
      <c r="F27" s="106">
        <f>+(7040580)/590.42</f>
        <v>11924.697672843062</v>
      </c>
      <c r="G27" s="37"/>
    </row>
    <row r="28" spans="1:8" ht="15.6" x14ac:dyDescent="0.25">
      <c r="A28" s="124" t="s">
        <v>80</v>
      </c>
      <c r="B28" s="124"/>
      <c r="C28" s="124"/>
      <c r="D28" s="124"/>
      <c r="E28" s="124"/>
      <c r="F28" s="124"/>
      <c r="G28" s="124"/>
    </row>
    <row r="29" spans="1:8" ht="60.9" customHeight="1" x14ac:dyDescent="0.25">
      <c r="A29" s="37" t="s">
        <v>81</v>
      </c>
      <c r="B29" s="38"/>
      <c r="C29" s="96">
        <f>15000+10000</f>
        <v>25000</v>
      </c>
      <c r="D29" s="37"/>
      <c r="E29" s="37"/>
      <c r="F29" s="111">
        <v>0</v>
      </c>
      <c r="G29" s="37"/>
    </row>
    <row r="30" spans="1:8" ht="46.8" x14ac:dyDescent="0.25">
      <c r="A30" s="37" t="s">
        <v>82</v>
      </c>
      <c r="B30" s="38"/>
      <c r="C30" s="96">
        <f>25000+10000</f>
        <v>35000</v>
      </c>
      <c r="D30" s="37"/>
      <c r="E30" s="37"/>
      <c r="F30" s="111">
        <v>0</v>
      </c>
      <c r="G30" s="37"/>
    </row>
    <row r="31" spans="1:8" ht="55.5" customHeight="1" x14ac:dyDescent="0.25">
      <c r="A31" s="37" t="s">
        <v>83</v>
      </c>
      <c r="B31" s="37"/>
      <c r="C31" s="87">
        <v>20000</v>
      </c>
      <c r="D31" s="55">
        <v>7000</v>
      </c>
      <c r="E31" s="37"/>
      <c r="F31" s="87">
        <v>7000</v>
      </c>
      <c r="G31" s="37"/>
    </row>
    <row r="32" spans="1:8" ht="57.75" customHeight="1" x14ac:dyDescent="0.25">
      <c r="A32" s="9" t="s">
        <v>84</v>
      </c>
      <c r="B32" s="37"/>
      <c r="C32" s="93"/>
      <c r="D32" s="64"/>
      <c r="E32" s="37"/>
      <c r="F32" s="93"/>
      <c r="G32" s="37"/>
    </row>
    <row r="33" spans="1:7" ht="60" customHeight="1" thickBot="1" x14ac:dyDescent="0.3">
      <c r="A33" s="47" t="s">
        <v>85</v>
      </c>
      <c r="B33" s="37"/>
      <c r="C33" s="87">
        <v>20000</v>
      </c>
      <c r="D33" s="55">
        <v>7000</v>
      </c>
      <c r="E33" s="37"/>
      <c r="F33" s="112">
        <v>0</v>
      </c>
      <c r="G33" s="37"/>
    </row>
    <row r="34" spans="1:7" ht="16.2" thickBot="1" x14ac:dyDescent="0.3">
      <c r="A34" s="117" t="s">
        <v>86</v>
      </c>
      <c r="B34" s="121"/>
      <c r="C34" s="119"/>
      <c r="D34" s="119"/>
      <c r="E34" s="119"/>
      <c r="F34" s="119"/>
      <c r="G34" s="120"/>
    </row>
    <row r="35" spans="1:7" ht="16.2" thickBot="1" x14ac:dyDescent="0.3">
      <c r="A35" s="47" t="s">
        <v>87</v>
      </c>
      <c r="B35" s="38"/>
      <c r="C35" s="88">
        <f>204000+20000+10000</f>
        <v>234000</v>
      </c>
      <c r="D35" s="59"/>
      <c r="E35" s="59"/>
      <c r="F35" s="112">
        <v>0</v>
      </c>
      <c r="G35" s="59"/>
    </row>
    <row r="36" spans="1:7" ht="16.2" thickBot="1" x14ac:dyDescent="0.3">
      <c r="A36" s="47" t="s">
        <v>88</v>
      </c>
      <c r="B36" s="38"/>
      <c r="C36" s="88">
        <v>30000</v>
      </c>
      <c r="D36" s="3"/>
      <c r="E36" s="59"/>
      <c r="F36" s="112">
        <v>0</v>
      </c>
      <c r="G36" s="59"/>
    </row>
    <row r="37" spans="1:7" ht="16.2" thickBot="1" x14ac:dyDescent="0.3">
      <c r="A37" s="47" t="s">
        <v>89</v>
      </c>
      <c r="B37" s="38"/>
      <c r="C37" s="88">
        <v>16000</v>
      </c>
      <c r="D37" s="3"/>
      <c r="E37" s="59"/>
      <c r="F37" s="112">
        <v>0</v>
      </c>
      <c r="G37" s="59"/>
    </row>
    <row r="38" spans="1:7" ht="16.2" thickBot="1" x14ac:dyDescent="0.3">
      <c r="A38" s="47" t="s">
        <v>90</v>
      </c>
      <c r="B38" s="38"/>
      <c r="C38" s="88">
        <v>15000</v>
      </c>
      <c r="D38" s="3"/>
      <c r="E38" s="59"/>
      <c r="F38" s="112">
        <v>0</v>
      </c>
      <c r="G38" s="59"/>
    </row>
    <row r="39" spans="1:7" ht="16.2" thickBot="1" x14ac:dyDescent="0.3">
      <c r="A39" s="52" t="s">
        <v>35</v>
      </c>
      <c r="B39" s="38"/>
      <c r="C39" s="90">
        <f>SUM(C8:C38)</f>
        <v>695000</v>
      </c>
      <c r="D39" s="66">
        <f>SUM(D8:D38)</f>
        <v>312643.15000000002</v>
      </c>
      <c r="E39" s="65">
        <f>+E10+E14+E16+E22+E25+E31</f>
        <v>70</v>
      </c>
      <c r="F39" s="90">
        <f>SUM(F8:F38)</f>
        <v>240607.05645415033</v>
      </c>
      <c r="G39" s="11"/>
    </row>
    <row r="40" spans="1:7" ht="16.2" thickBot="1" x14ac:dyDescent="0.3">
      <c r="A40" s="117" t="s">
        <v>42</v>
      </c>
      <c r="B40" s="118"/>
      <c r="C40" s="119"/>
      <c r="D40" s="119"/>
      <c r="E40" s="119"/>
      <c r="F40" s="119"/>
      <c r="G40" s="120"/>
    </row>
    <row r="41" spans="1:7" ht="31.8" thickBot="1" x14ac:dyDescent="0.3">
      <c r="A41" s="67" t="s">
        <v>45</v>
      </c>
      <c r="B41" s="44"/>
      <c r="C41" s="56"/>
      <c r="D41" s="56"/>
      <c r="E41" s="56"/>
      <c r="F41" s="108"/>
      <c r="G41" s="57"/>
    </row>
    <row r="42" spans="1:7" ht="47.4" thickBot="1" x14ac:dyDescent="0.3">
      <c r="A42" s="47" t="s">
        <v>74</v>
      </c>
      <c r="B42" s="38"/>
      <c r="C42" s="88">
        <v>120000</v>
      </c>
      <c r="D42" s="68">
        <v>27500</v>
      </c>
      <c r="E42" s="3"/>
      <c r="F42" s="109">
        <f>(62369189/590.42)</f>
        <v>105635.29182615766</v>
      </c>
      <c r="G42" s="59"/>
    </row>
    <row r="43" spans="1:7" ht="31.8" thickBot="1" x14ac:dyDescent="0.3">
      <c r="A43" s="47" t="s">
        <v>70</v>
      </c>
      <c r="B43" s="38"/>
      <c r="C43" s="88"/>
      <c r="D43" s="68">
        <v>18770</v>
      </c>
      <c r="E43" s="3"/>
      <c r="F43" s="109">
        <v>3500</v>
      </c>
      <c r="G43" s="59"/>
    </row>
    <row r="44" spans="1:7" ht="31.8" thickBot="1" x14ac:dyDescent="0.3">
      <c r="A44" s="67" t="s">
        <v>44</v>
      </c>
      <c r="B44" s="38"/>
      <c r="C44" s="88"/>
      <c r="D44" s="3"/>
      <c r="E44" s="3"/>
      <c r="F44" s="109"/>
      <c r="G44" s="59"/>
    </row>
    <row r="45" spans="1:7" ht="31.8" thickBot="1" x14ac:dyDescent="0.3">
      <c r="A45" s="47" t="s">
        <v>43</v>
      </c>
      <c r="B45" s="38"/>
      <c r="C45" s="89">
        <f>10000+5000+3000+15000</f>
        <v>33000</v>
      </c>
      <c r="D45" s="3"/>
      <c r="E45" s="3"/>
      <c r="F45" s="109">
        <f>(13007686/590.42)+1245.34</f>
        <v>23276.582166593274</v>
      </c>
      <c r="G45" s="59"/>
    </row>
    <row r="46" spans="1:7" ht="42" customHeight="1" thickBot="1" x14ac:dyDescent="0.3">
      <c r="A46" s="47" t="s">
        <v>46</v>
      </c>
      <c r="B46" s="38"/>
      <c r="C46" s="88">
        <v>40000</v>
      </c>
      <c r="D46" s="68">
        <v>23000</v>
      </c>
      <c r="E46" s="3"/>
      <c r="F46" s="109">
        <v>35936.42</v>
      </c>
      <c r="G46" s="59"/>
    </row>
    <row r="47" spans="1:7" ht="26.25" customHeight="1" thickBot="1" x14ac:dyDescent="0.3">
      <c r="A47" s="47" t="s">
        <v>36</v>
      </c>
      <c r="B47" s="38"/>
      <c r="C47" s="88">
        <v>30000</v>
      </c>
      <c r="D47" s="68">
        <v>20000</v>
      </c>
      <c r="E47" s="3"/>
      <c r="F47" s="109">
        <f>19956+9869</f>
        <v>29825</v>
      </c>
      <c r="G47" s="59"/>
    </row>
    <row r="48" spans="1:7" ht="24.75" customHeight="1" thickBot="1" x14ac:dyDescent="0.3">
      <c r="A48" s="52" t="s">
        <v>29</v>
      </c>
      <c r="B48" s="38"/>
      <c r="C48" s="90">
        <f>SUM(C42:C47)</f>
        <v>223000</v>
      </c>
      <c r="D48" s="69">
        <f>SUM(D42:D47)</f>
        <v>89270</v>
      </c>
      <c r="E48" s="65">
        <f>SUM(E42:E47)</f>
        <v>0</v>
      </c>
      <c r="F48" s="90">
        <f>SUM(F42:F47)</f>
        <v>198173.29399275093</v>
      </c>
      <c r="G48" s="11"/>
    </row>
    <row r="49" spans="1:7" ht="49.5" customHeight="1" thickBot="1" x14ac:dyDescent="0.3">
      <c r="A49" s="117" t="s">
        <v>37</v>
      </c>
      <c r="B49" s="118"/>
      <c r="C49" s="119"/>
      <c r="D49" s="119"/>
      <c r="E49" s="119"/>
      <c r="F49" s="119"/>
      <c r="G49" s="120"/>
    </row>
    <row r="50" spans="1:7" ht="16.2" thickBot="1" x14ac:dyDescent="0.3">
      <c r="A50" s="70" t="s">
        <v>12</v>
      </c>
      <c r="B50" s="63"/>
      <c r="C50" s="59"/>
      <c r="D50" s="59"/>
      <c r="E50" s="59"/>
      <c r="F50" s="109"/>
      <c r="G50" s="59"/>
    </row>
    <row r="51" spans="1:7" ht="32.1" customHeight="1" thickBot="1" x14ac:dyDescent="0.3">
      <c r="A51" s="47" t="s">
        <v>47</v>
      </c>
      <c r="B51" s="38"/>
      <c r="C51" s="88">
        <f>150000-10000</f>
        <v>140000</v>
      </c>
      <c r="D51" s="3"/>
      <c r="E51" s="59"/>
      <c r="F51" s="109">
        <v>60000</v>
      </c>
      <c r="G51" s="59"/>
    </row>
    <row r="52" spans="1:7" ht="63" thickBot="1" x14ac:dyDescent="0.3">
      <c r="A52" s="67" t="s">
        <v>48</v>
      </c>
      <c r="B52" s="38"/>
      <c r="C52" s="88" t="s">
        <v>0</v>
      </c>
      <c r="D52" s="3"/>
      <c r="E52" s="59"/>
      <c r="F52" s="109"/>
      <c r="G52" s="59"/>
    </row>
    <row r="53" spans="1:7" ht="32.1" customHeight="1" thickBot="1" x14ac:dyDescent="0.3">
      <c r="A53" s="47" t="s">
        <v>50</v>
      </c>
      <c r="B53" s="38"/>
      <c r="C53" s="88">
        <v>55000</v>
      </c>
      <c r="D53" s="3"/>
      <c r="E53" s="59"/>
      <c r="F53" s="109">
        <f>(24590900/590.42)</f>
        <v>41649.842485010675</v>
      </c>
      <c r="G53" s="59"/>
    </row>
    <row r="54" spans="1:7" ht="32.1" customHeight="1" thickBot="1" x14ac:dyDescent="0.3">
      <c r="A54" s="67" t="s">
        <v>49</v>
      </c>
      <c r="B54" s="38"/>
      <c r="C54" s="88"/>
      <c r="D54" s="3"/>
      <c r="E54" s="59"/>
      <c r="F54" s="109"/>
      <c r="G54" s="59"/>
    </row>
    <row r="55" spans="1:7" ht="31.8" thickBot="1" x14ac:dyDescent="0.3">
      <c r="A55" s="47" t="s">
        <v>38</v>
      </c>
      <c r="B55" s="38"/>
      <c r="C55" s="88">
        <v>43000</v>
      </c>
      <c r="D55" s="3"/>
      <c r="E55" s="59"/>
      <c r="F55" s="109">
        <v>20000</v>
      </c>
      <c r="G55" s="59"/>
    </row>
    <row r="56" spans="1:7" ht="31.8" thickBot="1" x14ac:dyDescent="0.3">
      <c r="A56" s="47" t="s">
        <v>39</v>
      </c>
      <c r="B56" s="37"/>
      <c r="C56" s="88">
        <f>20000+5000</f>
        <v>25000</v>
      </c>
      <c r="D56" s="3"/>
      <c r="E56" s="59"/>
      <c r="F56" s="112">
        <v>0</v>
      </c>
      <c r="G56" s="59"/>
    </row>
    <row r="57" spans="1:7" ht="31.8" thickBot="1" x14ac:dyDescent="0.3">
      <c r="A57" s="47" t="s">
        <v>92</v>
      </c>
      <c r="B57" s="37"/>
      <c r="C57" s="91">
        <v>50000</v>
      </c>
      <c r="D57" s="3"/>
      <c r="E57" s="59"/>
      <c r="F57" s="109">
        <f>((21503040+1030000)/590.42)</f>
        <v>38164.425324345386</v>
      </c>
      <c r="G57" s="59"/>
    </row>
    <row r="58" spans="1:7" ht="42" customHeight="1" thickBot="1" x14ac:dyDescent="0.3">
      <c r="A58" s="67" t="s">
        <v>51</v>
      </c>
      <c r="B58" s="37"/>
      <c r="C58" s="87"/>
      <c r="D58" s="3"/>
      <c r="E58" s="59"/>
      <c r="F58" s="109"/>
      <c r="G58" s="59"/>
    </row>
    <row r="59" spans="1:7" ht="44.25" customHeight="1" thickBot="1" x14ac:dyDescent="0.3">
      <c r="A59" s="47" t="s">
        <v>52</v>
      </c>
      <c r="B59" s="38"/>
      <c r="C59" s="87">
        <v>20000</v>
      </c>
      <c r="D59" s="3"/>
      <c r="E59" s="59"/>
      <c r="F59" s="112">
        <v>0</v>
      </c>
      <c r="G59" s="59"/>
    </row>
    <row r="60" spans="1:7" ht="29.25" customHeight="1" thickBot="1" x14ac:dyDescent="0.3">
      <c r="A60" s="47" t="s">
        <v>53</v>
      </c>
      <c r="B60" s="37"/>
      <c r="C60" s="87">
        <v>30000</v>
      </c>
      <c r="D60" s="3"/>
      <c r="E60" s="59"/>
      <c r="F60" s="112">
        <v>0</v>
      </c>
      <c r="G60" s="59"/>
    </row>
    <row r="61" spans="1:7" ht="38.25" customHeight="1" thickBot="1" x14ac:dyDescent="0.3">
      <c r="A61" s="47" t="s">
        <v>54</v>
      </c>
      <c r="B61" s="37"/>
      <c r="C61" s="87">
        <v>19000</v>
      </c>
      <c r="D61" s="3"/>
      <c r="E61" s="59"/>
      <c r="F61" s="112">
        <v>0</v>
      </c>
      <c r="G61" s="59"/>
    </row>
    <row r="62" spans="1:7" ht="16.2" thickBot="1" x14ac:dyDescent="0.3">
      <c r="A62" s="47" t="s">
        <v>55</v>
      </c>
      <c r="B62" s="71"/>
      <c r="C62" s="92">
        <v>30000</v>
      </c>
      <c r="D62" s="72"/>
      <c r="E62" s="63"/>
      <c r="F62" s="113">
        <v>0</v>
      </c>
      <c r="G62" s="63"/>
    </row>
    <row r="63" spans="1:7" ht="31.8" thickBot="1" x14ac:dyDescent="0.3">
      <c r="A63" s="67" t="s">
        <v>56</v>
      </c>
      <c r="B63" s="37"/>
      <c r="C63" s="93"/>
      <c r="D63" s="2"/>
      <c r="E63" s="37"/>
      <c r="F63" s="93"/>
      <c r="G63" s="37"/>
    </row>
    <row r="64" spans="1:7" ht="31.8" thickBot="1" x14ac:dyDescent="0.3">
      <c r="A64" s="47" t="s">
        <v>72</v>
      </c>
      <c r="B64" s="42"/>
      <c r="C64" s="94"/>
      <c r="D64" s="73">
        <v>10400</v>
      </c>
      <c r="E64" s="42"/>
      <c r="F64" s="95">
        <v>7066</v>
      </c>
      <c r="G64" s="59"/>
    </row>
    <row r="65" spans="1:8" ht="27.9" customHeight="1" thickBot="1" x14ac:dyDescent="0.3">
      <c r="A65" s="47" t="s">
        <v>73</v>
      </c>
      <c r="B65" s="37"/>
      <c r="C65" s="87"/>
      <c r="D65" s="55">
        <v>25000</v>
      </c>
      <c r="E65" s="37"/>
      <c r="F65" s="87">
        <v>5003</v>
      </c>
      <c r="G65" s="59"/>
    </row>
    <row r="66" spans="1:8" ht="47.4" thickBot="1" x14ac:dyDescent="0.3">
      <c r="A66" s="47" t="s">
        <v>75</v>
      </c>
      <c r="B66" s="37"/>
      <c r="C66" s="87">
        <v>30000</v>
      </c>
      <c r="D66" s="55">
        <v>30000</v>
      </c>
      <c r="E66" s="74"/>
      <c r="F66" s="112">
        <v>0</v>
      </c>
      <c r="G66" s="63"/>
    </row>
    <row r="67" spans="1:8" ht="141" thickBot="1" x14ac:dyDescent="0.3">
      <c r="A67" s="47" t="s">
        <v>76</v>
      </c>
      <c r="B67" s="42"/>
      <c r="C67" s="95"/>
      <c r="D67" s="73">
        <v>40650</v>
      </c>
      <c r="E67" s="37"/>
      <c r="F67" s="87">
        <v>24729</v>
      </c>
      <c r="G67" s="37"/>
    </row>
    <row r="68" spans="1:8" ht="16.2" thickBot="1" x14ac:dyDescent="0.3">
      <c r="A68" s="52" t="s">
        <v>30</v>
      </c>
      <c r="B68" s="65" t="s">
        <v>0</v>
      </c>
      <c r="C68" s="66">
        <f>SUM(C50:C67)</f>
        <v>442000</v>
      </c>
      <c r="D68" s="66">
        <f>SUM(D50:D67)</f>
        <v>106050</v>
      </c>
      <c r="E68" s="75">
        <f>+E52+E53+E55+E56+E67</f>
        <v>0</v>
      </c>
      <c r="F68" s="90">
        <f>SUM(F50:F67)</f>
        <v>196612.26780935607</v>
      </c>
      <c r="G68" s="57"/>
    </row>
    <row r="69" spans="1:8" ht="42" customHeight="1" thickBot="1" x14ac:dyDescent="0.3">
      <c r="A69" s="4" t="s">
        <v>13</v>
      </c>
      <c r="C69" s="98">
        <v>288000</v>
      </c>
      <c r="D69" s="55">
        <f>(D39+D48+D68)*0.15</f>
        <v>76194.472500000003</v>
      </c>
      <c r="E69" s="99"/>
      <c r="F69" s="114">
        <f>(48869.16)+(77369.78)</f>
        <v>126238.94</v>
      </c>
      <c r="G69" s="7"/>
    </row>
    <row r="70" spans="1:8" ht="36.75" customHeight="1" thickBot="1" x14ac:dyDescent="0.3">
      <c r="A70" s="8" t="s">
        <v>91</v>
      </c>
      <c r="B70" s="9" t="s">
        <v>0</v>
      </c>
      <c r="C70" s="55">
        <f>(C39+C48+C68)*0.1</f>
        <v>136000</v>
      </c>
      <c r="D70" s="55">
        <f>(D39+D48+D68)*0.05</f>
        <v>25398.157500000001</v>
      </c>
      <c r="E70" s="2"/>
      <c r="F70" s="93">
        <f>(88702.07)+(10924.81)</f>
        <v>99626.880000000005</v>
      </c>
      <c r="G70" s="11"/>
    </row>
    <row r="71" spans="1:8" ht="32.25" customHeight="1" thickBot="1" x14ac:dyDescent="0.35">
      <c r="A71" s="47" t="s">
        <v>14</v>
      </c>
      <c r="B71" s="37" t="s">
        <v>0</v>
      </c>
      <c r="C71" s="76">
        <f>(C39+C48+C68)*0.07</f>
        <v>95200.000000000015</v>
      </c>
      <c r="D71" s="76">
        <f>(D39+D48+D68)*0.07</f>
        <v>35557.420500000007</v>
      </c>
      <c r="E71" s="10"/>
      <c r="F71" s="93">
        <f>(6268.8+4250)+(15389)</f>
        <v>25907.8</v>
      </c>
      <c r="G71" s="59"/>
    </row>
    <row r="72" spans="1:8" ht="30" customHeight="1" thickBot="1" x14ac:dyDescent="0.3">
      <c r="A72" s="52" t="s">
        <v>31</v>
      </c>
      <c r="B72" s="9" t="s">
        <v>0</v>
      </c>
      <c r="C72" s="6">
        <f>+C39+C48+C68+C69+C70+C71</f>
        <v>1879200</v>
      </c>
      <c r="D72" s="6">
        <f>D39+D48+D68+D69+D70+D71</f>
        <v>645113.20050000004</v>
      </c>
      <c r="E72" s="10"/>
      <c r="F72" s="115">
        <f>+F39+F48+F68+F69+F70+F71</f>
        <v>887166.23825625738</v>
      </c>
      <c r="G72" s="11"/>
      <c r="H72" s="116"/>
    </row>
    <row r="73" spans="1:8" ht="30" customHeight="1" thickBot="1" x14ac:dyDescent="0.3">
      <c r="A73" s="8" t="s">
        <v>15</v>
      </c>
      <c r="B73" s="37" t="s">
        <v>0</v>
      </c>
      <c r="C73" s="55">
        <f>C72*0.07</f>
        <v>131544</v>
      </c>
      <c r="D73" s="55">
        <f>D72*0.07</f>
        <v>45157.924035000004</v>
      </c>
      <c r="E73" s="2"/>
      <c r="F73" s="105">
        <f>+F72*0.07</f>
        <v>62101.636677938019</v>
      </c>
      <c r="G73" s="35"/>
      <c r="H73" s="116"/>
    </row>
    <row r="74" spans="1:8" ht="30" customHeight="1" thickBot="1" x14ac:dyDescent="0.3">
      <c r="A74" s="52" t="s">
        <v>57</v>
      </c>
      <c r="B74" s="9" t="s">
        <v>0</v>
      </c>
      <c r="C74" s="6">
        <f>+C72+C73</f>
        <v>2010744</v>
      </c>
      <c r="D74" s="6">
        <f>+D72+D73</f>
        <v>690271.12453500007</v>
      </c>
      <c r="E74" s="10">
        <f>+E39+E48+E68+E69+E70+E71</f>
        <v>70</v>
      </c>
      <c r="F74" s="115">
        <f>+F72+F73</f>
        <v>949267.87493419542</v>
      </c>
      <c r="G74" s="11"/>
    </row>
    <row r="75" spans="1:8" ht="30" customHeight="1" thickBot="1" x14ac:dyDescent="0.3">
      <c r="A75" s="52" t="s">
        <v>16</v>
      </c>
      <c r="B75" s="9"/>
      <c r="C75" s="6"/>
      <c r="D75" s="10"/>
      <c r="E75" s="10"/>
      <c r="F75" s="105"/>
      <c r="G75" s="44"/>
    </row>
    <row r="78" spans="1:8" x14ac:dyDescent="0.25">
      <c r="C78" s="77"/>
      <c r="D78" s="77"/>
    </row>
    <row r="79" spans="1:8" ht="15.6" x14ac:dyDescent="0.3">
      <c r="B79" s="77"/>
      <c r="C79" s="78"/>
      <c r="E79" s="79"/>
    </row>
    <row r="80" spans="1:8" ht="15.6" x14ac:dyDescent="0.3">
      <c r="D80" s="77"/>
      <c r="E80" s="79"/>
    </row>
    <row r="81" spans="3:5" ht="25.5" customHeight="1" x14ac:dyDescent="0.25">
      <c r="C81" s="80"/>
      <c r="D81" s="77"/>
      <c r="E81" s="78"/>
    </row>
    <row r="83" spans="3:5" x14ac:dyDescent="0.25">
      <c r="D83" s="77"/>
    </row>
  </sheetData>
  <mergeCells count="6">
    <mergeCell ref="A49:G49"/>
    <mergeCell ref="A8:G8"/>
    <mergeCell ref="A40:G40"/>
    <mergeCell ref="A34:G34"/>
    <mergeCell ref="A9:G9"/>
    <mergeCell ref="A28:G28"/>
  </mergeCells>
  <pageMargins left="0.7" right="0.7" top="0.75" bottom="0.75" header="0.3" footer="0.3"/>
  <pageSetup scale="52" fitToHeight="0" orientation="portrait" r:id="rId1"/>
  <rowBreaks count="2" manualBreakCount="2">
    <brk id="39" max="16383" man="1"/>
    <brk id="78"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0"/>
  <sheetViews>
    <sheetView topLeftCell="A2" workbookViewId="0">
      <selection activeCell="E17" sqref="E17"/>
    </sheetView>
  </sheetViews>
  <sheetFormatPr baseColWidth="10" defaultColWidth="9.109375" defaultRowHeight="14.4" x14ac:dyDescent="0.3"/>
  <cols>
    <col min="1" max="1" width="15.5546875" style="15" customWidth="1"/>
    <col min="2" max="2" width="9.44140625" style="15" bestFit="1" customWidth="1"/>
    <col min="3" max="3" width="9.44140625" style="15" customWidth="1"/>
    <col min="4" max="4" width="9.109375" style="15"/>
    <col min="5" max="5" width="12.5546875" style="15" bestFit="1" customWidth="1"/>
    <col min="6" max="6" width="11.109375" style="15" customWidth="1"/>
    <col min="7" max="7" width="12" style="15" customWidth="1"/>
    <col min="8" max="8" width="14.88671875" style="15" customWidth="1"/>
    <col min="9" max="9" width="15.6640625" style="15" customWidth="1"/>
    <col min="10" max="10" width="13" style="15" customWidth="1"/>
    <col min="11" max="11" width="14.109375" style="15" customWidth="1"/>
    <col min="12" max="12" width="11" style="16" customWidth="1"/>
    <col min="13" max="13" width="11.109375" style="15" bestFit="1" customWidth="1"/>
    <col min="14" max="16384" width="9.109375" style="15"/>
  </cols>
  <sheetData>
    <row r="1" spans="1:13" ht="15.6" x14ac:dyDescent="0.3">
      <c r="A1" s="14" t="s">
        <v>17</v>
      </c>
      <c r="B1" s="14"/>
      <c r="C1" s="14"/>
      <c r="D1" s="14"/>
      <c r="E1" s="14"/>
      <c r="F1" s="14"/>
    </row>
    <row r="2" spans="1:13" x14ac:dyDescent="0.3">
      <c r="A2" s="17"/>
      <c r="B2" s="17"/>
      <c r="C2" s="17"/>
      <c r="D2" s="17"/>
      <c r="E2" s="17"/>
      <c r="F2" s="17"/>
    </row>
    <row r="3" spans="1:13" x14ac:dyDescent="0.3">
      <c r="A3" s="17" t="s">
        <v>18</v>
      </c>
      <c r="B3" s="17"/>
      <c r="C3" s="17"/>
      <c r="D3" s="17"/>
      <c r="E3" s="17"/>
      <c r="F3" s="17"/>
    </row>
    <row r="4" spans="1:13" ht="15" thickBot="1" x14ac:dyDescent="0.35"/>
    <row r="5" spans="1:13" ht="15" thickBot="1" x14ac:dyDescent="0.35">
      <c r="A5" s="125" t="s">
        <v>1</v>
      </c>
      <c r="B5" s="127" t="s">
        <v>101</v>
      </c>
      <c r="C5" s="128"/>
      <c r="D5" s="129"/>
      <c r="E5" s="127" t="s">
        <v>68</v>
      </c>
      <c r="F5" s="128"/>
      <c r="G5" s="129"/>
      <c r="H5" s="18" t="s">
        <v>3</v>
      </c>
      <c r="I5" s="18" t="s">
        <v>4</v>
      </c>
      <c r="J5" s="18" t="s">
        <v>102</v>
      </c>
      <c r="K5" s="125" t="s">
        <v>19</v>
      </c>
    </row>
    <row r="6" spans="1:13" ht="28.2" thickBot="1" x14ac:dyDescent="0.35">
      <c r="A6" s="126"/>
      <c r="B6" s="19" t="s">
        <v>99</v>
      </c>
      <c r="C6" s="19" t="s">
        <v>98</v>
      </c>
      <c r="D6" s="19" t="s">
        <v>100</v>
      </c>
      <c r="E6" s="19" t="s">
        <v>99</v>
      </c>
      <c r="F6" s="19" t="s">
        <v>98</v>
      </c>
      <c r="G6" s="19" t="s">
        <v>100</v>
      </c>
      <c r="H6" s="19"/>
      <c r="I6" s="19"/>
      <c r="J6" s="19"/>
      <c r="K6" s="126"/>
    </row>
    <row r="7" spans="1:13" ht="28.2" thickBot="1" x14ac:dyDescent="0.35">
      <c r="A7" s="20"/>
      <c r="B7" s="19" t="s">
        <v>97</v>
      </c>
      <c r="C7" s="19" t="s">
        <v>98</v>
      </c>
      <c r="D7" s="19"/>
      <c r="E7" s="19" t="s">
        <v>97</v>
      </c>
      <c r="F7" s="19" t="s">
        <v>98</v>
      </c>
      <c r="G7" s="19"/>
      <c r="H7" s="19" t="s">
        <v>99</v>
      </c>
      <c r="I7" s="19" t="s">
        <v>98</v>
      </c>
      <c r="J7" s="19" t="s">
        <v>100</v>
      </c>
      <c r="K7" s="19"/>
    </row>
    <row r="8" spans="1:13" ht="32.4" customHeight="1" thickBot="1" x14ac:dyDescent="0.35">
      <c r="A8" s="21" t="s">
        <v>20</v>
      </c>
      <c r="B8" s="22">
        <f>201600*0.6</f>
        <v>120960</v>
      </c>
      <c r="C8" s="22">
        <f>201600*0.4</f>
        <v>80640</v>
      </c>
      <c r="D8" s="22">
        <v>0</v>
      </c>
      <c r="E8" s="23">
        <f>111751.89*0.6</f>
        <v>67051.133999999991</v>
      </c>
      <c r="F8" s="23">
        <f>111751.89*0.4</f>
        <v>44700.756000000001</v>
      </c>
      <c r="G8" s="23">
        <v>0</v>
      </c>
      <c r="H8" s="24">
        <f>B8+E8</f>
        <v>188011.13399999999</v>
      </c>
      <c r="I8" s="24">
        <f>C8+F8</f>
        <v>125340.75599999999</v>
      </c>
      <c r="J8" s="24">
        <f>D8+G8</f>
        <v>0</v>
      </c>
      <c r="K8" s="24">
        <f>H8+I8+J8</f>
        <v>313351.89</v>
      </c>
    </row>
    <row r="9" spans="1:13" ht="47.1" customHeight="1" thickBot="1" x14ac:dyDescent="0.35">
      <c r="A9" s="25" t="s">
        <v>21</v>
      </c>
      <c r="B9" s="22">
        <f>53650*0.4</f>
        <v>21460</v>
      </c>
      <c r="C9" s="22">
        <f>53650*0.4</f>
        <v>21460</v>
      </c>
      <c r="D9" s="22">
        <f>53650*0.2</f>
        <v>10730</v>
      </c>
      <c r="E9" s="26">
        <f>89242.15*0.4</f>
        <v>35696.86</v>
      </c>
      <c r="F9" s="26">
        <f>89242.15*0.4</f>
        <v>35696.86</v>
      </c>
      <c r="G9" s="22">
        <f>89242.15*0.2</f>
        <v>17848.43</v>
      </c>
      <c r="H9" s="24">
        <f t="shared" ref="H9:H18" si="0">B9+E9</f>
        <v>57156.86</v>
      </c>
      <c r="I9" s="24">
        <f t="shared" ref="I9:I17" si="1">C9+F9</f>
        <v>57156.86</v>
      </c>
      <c r="J9" s="24">
        <f t="shared" ref="J9:J17" si="2">D9+G9</f>
        <v>28578.43</v>
      </c>
      <c r="K9" s="24">
        <f t="shared" ref="K9:K17" si="3">H9+I9+J9</f>
        <v>142892.15</v>
      </c>
    </row>
    <row r="10" spans="1:13" ht="72" customHeight="1" thickBot="1" x14ac:dyDescent="0.35">
      <c r="A10" s="25" t="s">
        <v>22</v>
      </c>
      <c r="B10" s="22">
        <f>157748*0.4</f>
        <v>63099.200000000004</v>
      </c>
      <c r="C10" s="22">
        <f>157748*0.4</f>
        <v>63099.200000000004</v>
      </c>
      <c r="D10" s="22">
        <f>157748*0.2</f>
        <v>31549.600000000002</v>
      </c>
      <c r="E10" s="23">
        <f>43000*0.4</f>
        <v>17200</v>
      </c>
      <c r="F10" s="23">
        <f>43000*0.4</f>
        <v>17200</v>
      </c>
      <c r="G10" s="22">
        <f>43000*0.2</f>
        <v>8600</v>
      </c>
      <c r="H10" s="24">
        <f t="shared" si="0"/>
        <v>80299.200000000012</v>
      </c>
      <c r="I10" s="24">
        <f t="shared" si="1"/>
        <v>80299.200000000012</v>
      </c>
      <c r="J10" s="24">
        <f t="shared" si="2"/>
        <v>40149.600000000006</v>
      </c>
      <c r="K10" s="24">
        <f t="shared" si="3"/>
        <v>200748.00000000003</v>
      </c>
      <c r="M10" s="27"/>
    </row>
    <row r="11" spans="1:13" ht="35.1" customHeight="1" thickBot="1" x14ac:dyDescent="0.35">
      <c r="A11" s="25" t="s">
        <v>23</v>
      </c>
      <c r="B11" s="22">
        <f>204000*0.4</f>
        <v>81600</v>
      </c>
      <c r="C11" s="22">
        <f>204000*0.4</f>
        <v>81600</v>
      </c>
      <c r="D11" s="22">
        <f>204000*0.2</f>
        <v>40800</v>
      </c>
      <c r="E11" s="22"/>
      <c r="F11" s="22"/>
      <c r="G11" s="22"/>
      <c r="H11" s="24">
        <f t="shared" si="0"/>
        <v>81600</v>
      </c>
      <c r="I11" s="24">
        <f t="shared" si="1"/>
        <v>81600</v>
      </c>
      <c r="J11" s="24">
        <f t="shared" si="2"/>
        <v>40800</v>
      </c>
      <c r="K11" s="24">
        <f t="shared" si="3"/>
        <v>204000</v>
      </c>
      <c r="M11" s="27"/>
    </row>
    <row r="12" spans="1:13" ht="27" thickBot="1" x14ac:dyDescent="0.35">
      <c r="A12" s="25" t="s">
        <v>24</v>
      </c>
      <c r="B12" s="22">
        <f>16000*0.4</f>
        <v>6400</v>
      </c>
      <c r="C12" s="22">
        <f>16000*0.4</f>
        <v>6400</v>
      </c>
      <c r="D12" s="22">
        <f>16000*0.2</f>
        <v>3200</v>
      </c>
      <c r="E12" s="22"/>
      <c r="F12" s="22"/>
      <c r="G12" s="22"/>
      <c r="H12" s="24">
        <f t="shared" si="0"/>
        <v>6400</v>
      </c>
      <c r="I12" s="24">
        <f t="shared" si="1"/>
        <v>6400</v>
      </c>
      <c r="J12" s="24">
        <f t="shared" si="2"/>
        <v>3200</v>
      </c>
      <c r="K12" s="24">
        <f t="shared" si="3"/>
        <v>16000</v>
      </c>
      <c r="M12" s="27"/>
    </row>
    <row r="13" spans="1:13" ht="51" customHeight="1" thickBot="1" x14ac:dyDescent="0.35">
      <c r="A13" s="25" t="s">
        <v>25</v>
      </c>
      <c r="B13" s="22">
        <f>845612.5*0.4</f>
        <v>338245</v>
      </c>
      <c r="C13" s="22">
        <f>845612.5*0.4</f>
        <v>338245</v>
      </c>
      <c r="D13" s="22">
        <f>845612.5*0.2</f>
        <v>169122.5</v>
      </c>
      <c r="E13" s="28">
        <f>375721*0.4</f>
        <v>150288.4</v>
      </c>
      <c r="F13" s="28">
        <f>375721*0.4</f>
        <v>150288.4</v>
      </c>
      <c r="G13" s="22">
        <f>375721*0.2</f>
        <v>75144.2</v>
      </c>
      <c r="H13" s="24">
        <f t="shared" si="0"/>
        <v>488533.4</v>
      </c>
      <c r="I13" s="24">
        <f t="shared" si="1"/>
        <v>488533.4</v>
      </c>
      <c r="J13" s="24">
        <f t="shared" si="2"/>
        <v>244266.7</v>
      </c>
      <c r="K13" s="24">
        <f t="shared" si="3"/>
        <v>1221333.5</v>
      </c>
      <c r="M13" s="27"/>
    </row>
    <row r="14" spans="1:13" ht="48.9" customHeight="1" thickBot="1" x14ac:dyDescent="0.35">
      <c r="A14" s="25" t="s">
        <v>26</v>
      </c>
      <c r="B14" s="22">
        <f>400679.5*0.4</f>
        <v>160271.80000000002</v>
      </c>
      <c r="C14" s="22">
        <f>400679.5*0.4</f>
        <v>160271.80000000002</v>
      </c>
      <c r="D14" s="22">
        <f>400679.5*0.2</f>
        <v>80135.900000000009</v>
      </c>
      <c r="E14" s="23">
        <f>25398.16*0.4</f>
        <v>10159.264000000001</v>
      </c>
      <c r="F14" s="23">
        <f>25398.16*0.4</f>
        <v>10159.264000000001</v>
      </c>
      <c r="G14" s="23">
        <f>25398.16*0.2</f>
        <v>5079.6320000000005</v>
      </c>
      <c r="H14" s="24">
        <f>B14+E14</f>
        <v>170431.06400000001</v>
      </c>
      <c r="I14" s="24">
        <f t="shared" si="1"/>
        <v>170431.06400000001</v>
      </c>
      <c r="J14" s="24">
        <f t="shared" si="2"/>
        <v>85215.532000000007</v>
      </c>
      <c r="K14" s="24">
        <f t="shared" si="3"/>
        <v>426077.66000000003</v>
      </c>
      <c r="M14" s="27"/>
    </row>
    <row r="15" spans="1:13" ht="39" customHeight="1" thickBot="1" x14ac:dyDescent="0.35">
      <c r="A15" s="29" t="s">
        <v>27</v>
      </c>
      <c r="B15" s="22">
        <f t="shared" ref="B15:G15" si="4">SUM(B8:B14)</f>
        <v>792036</v>
      </c>
      <c r="C15" s="22">
        <f t="shared" si="4"/>
        <v>751716</v>
      </c>
      <c r="D15" s="22">
        <f t="shared" si="4"/>
        <v>335538</v>
      </c>
      <c r="E15" s="23">
        <f t="shared" si="4"/>
        <v>280395.658</v>
      </c>
      <c r="F15" s="23">
        <f t="shared" si="4"/>
        <v>258045.28</v>
      </c>
      <c r="G15" s="23">
        <f t="shared" si="4"/>
        <v>106672.262</v>
      </c>
      <c r="H15" s="24">
        <f t="shared" ref="H15:H17" si="5">B15+E15</f>
        <v>1072431.6580000001</v>
      </c>
      <c r="I15" s="24">
        <f t="shared" si="1"/>
        <v>1009761.28</v>
      </c>
      <c r="J15" s="24">
        <f t="shared" si="2"/>
        <v>442210.26199999999</v>
      </c>
      <c r="K15" s="24">
        <f t="shared" si="3"/>
        <v>2524403.2000000002</v>
      </c>
      <c r="L15" s="12"/>
      <c r="M15" s="27"/>
    </row>
    <row r="16" spans="1:13" ht="15" thickBot="1" x14ac:dyDescent="0.35">
      <c r="A16" s="25" t="s">
        <v>28</v>
      </c>
      <c r="B16" s="22">
        <f t="shared" ref="B16:G16" si="6">B15*0.07</f>
        <v>55442.520000000004</v>
      </c>
      <c r="C16" s="22">
        <f t="shared" si="6"/>
        <v>52620.12</v>
      </c>
      <c r="D16" s="22">
        <f t="shared" si="6"/>
        <v>23487.660000000003</v>
      </c>
      <c r="E16" s="23">
        <f t="shared" si="6"/>
        <v>19627.696060000002</v>
      </c>
      <c r="F16" s="23">
        <f t="shared" si="6"/>
        <v>18063.169600000001</v>
      </c>
      <c r="G16" s="23">
        <f t="shared" si="6"/>
        <v>7467.0583400000005</v>
      </c>
      <c r="H16" s="24">
        <f t="shared" si="5"/>
        <v>75070.216060000006</v>
      </c>
      <c r="I16" s="24">
        <f t="shared" si="1"/>
        <v>70683.289600000004</v>
      </c>
      <c r="J16" s="24">
        <f t="shared" si="2"/>
        <v>30954.718340000003</v>
      </c>
      <c r="K16" s="24">
        <f t="shared" si="3"/>
        <v>176708.22400000002</v>
      </c>
      <c r="L16" s="13"/>
      <c r="M16" s="27"/>
    </row>
    <row r="17" spans="1:13" ht="15" thickBot="1" x14ac:dyDescent="0.35">
      <c r="A17" s="29" t="s">
        <v>2</v>
      </c>
      <c r="B17" s="22">
        <f>SUM(B15:B16)</f>
        <v>847478.52</v>
      </c>
      <c r="C17" s="22">
        <f>SUM(C15:C16)</f>
        <v>804336.12</v>
      </c>
      <c r="D17" s="22">
        <f>SUM(D15:D16)</f>
        <v>359025.66000000003</v>
      </c>
      <c r="E17" s="23">
        <f>E15+E16</f>
        <v>300023.35405999998</v>
      </c>
      <c r="F17" s="23">
        <f>F15+F16</f>
        <v>276108.44959999999</v>
      </c>
      <c r="G17" s="23">
        <f>G15+G16</f>
        <v>114139.32034000001</v>
      </c>
      <c r="H17" s="24">
        <f t="shared" si="5"/>
        <v>1147501.8740600001</v>
      </c>
      <c r="I17" s="24">
        <f t="shared" si="1"/>
        <v>1080444.5696</v>
      </c>
      <c r="J17" s="24">
        <f t="shared" si="2"/>
        <v>473164.98034000001</v>
      </c>
      <c r="K17" s="24">
        <f t="shared" si="3"/>
        <v>2701111.4240000006</v>
      </c>
      <c r="L17" s="12"/>
      <c r="M17" s="27"/>
    </row>
    <row r="18" spans="1:13" ht="15" thickBot="1" x14ac:dyDescent="0.35">
      <c r="B18" s="1">
        <f>+B17+C17+D17</f>
        <v>2010840.3000000003</v>
      </c>
      <c r="C18" s="1"/>
      <c r="D18" s="1" t="s">
        <v>0</v>
      </c>
      <c r="E18" s="27">
        <f>E17+F17+G17</f>
        <v>690271.12399999995</v>
      </c>
      <c r="F18" s="27"/>
      <c r="H18" s="24">
        <f t="shared" si="0"/>
        <v>2701111.4240000001</v>
      </c>
      <c r="I18" s="24">
        <f t="shared" ref="I18" si="7">C18+F18</f>
        <v>0</v>
      </c>
    </row>
    <row r="19" spans="1:13" x14ac:dyDescent="0.3">
      <c r="B19" s="15" t="s">
        <v>0</v>
      </c>
      <c r="D19" s="15" t="s">
        <v>0</v>
      </c>
    </row>
    <row r="20" spans="1:13" x14ac:dyDescent="0.3">
      <c r="B20" s="15" t="s">
        <v>93</v>
      </c>
      <c r="D20" s="15" t="s">
        <v>0</v>
      </c>
      <c r="E20" s="27"/>
    </row>
  </sheetData>
  <mergeCells count="4">
    <mergeCell ref="K5:K6"/>
    <mergeCell ref="A5:A6"/>
    <mergeCell ref="B5:D5"/>
    <mergeCell ref="E5:G5"/>
  </mergeCells>
  <pageMargins left="0.7" right="0.7" top="0.75" bottom="0.75" header="0.3"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Sheet1</vt:lpstr>
      <vt:lpstr>Sheet2</vt:lpstr>
      <vt:lpstr>Sheet1!Zone_d_impression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Idrissou Labande</cp:lastModifiedBy>
  <cp:lastPrinted>2018-09-19T10:12:40Z</cp:lastPrinted>
  <dcterms:created xsi:type="dcterms:W3CDTF">2017-11-15T21:17:43Z</dcterms:created>
  <dcterms:modified xsi:type="dcterms:W3CDTF">2019-11-15T17:24:44Z</dcterms:modified>
</cp:coreProperties>
</file>