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00" activeTab="0"/>
  </bookViews>
  <sheets>
    <sheet name="BUDGET ADDITIONNEL" sheetId="1" r:id="rId1"/>
    <sheet name="BUDGET CONSOLIDE" sheetId="2" r:id="rId2"/>
    <sheet name="PRODOC" sheetId="3" r:id="rId3"/>
    <sheet name="UNDP SUMARY" sheetId="4" r:id="rId4"/>
    <sheet name="Alert" sheetId="5" r:id="rId5"/>
    <sheet name="Feuil3" sheetId="6" state="hidden" r:id="rId6"/>
    <sheet name="POLE" sheetId="7" r:id="rId7"/>
    <sheet name="ASP" sheetId="8" r:id="rId8"/>
    <sheet name="AAP" sheetId="9" r:id="rId9"/>
    <sheet name="CAT SUM" sheetId="10" state="hidden" r:id="rId10"/>
    <sheet name="UNDG-Template" sheetId="11" state="hidden" r:id="rId11"/>
  </sheets>
  <externalReferences>
    <externalReference r:id="rId14"/>
  </externalReferences>
  <definedNames>
    <definedName name="_xlnm._FilterDatabase" localSheetId="0" hidden="1">'BUDGET ADDITIONNEL'!$A$8:$L$127</definedName>
  </definedNames>
  <calcPr fullCalcOnLoad="1"/>
</workbook>
</file>

<file path=xl/comments9.xml><?xml version="1.0" encoding="utf-8"?>
<comments xmlns="http://schemas.openxmlformats.org/spreadsheetml/2006/main">
  <authors>
    <author>HP</author>
  </authors>
  <commentList>
    <comment ref="F92" authorId="0">
      <text>
        <r>
          <rPr>
            <b/>
            <sz val="9"/>
            <rFont val="Tahoma"/>
            <family val="2"/>
          </rPr>
          <t>HP:</t>
        </r>
        <r>
          <rPr>
            <sz val="9"/>
            <rFont val="Tahoma"/>
            <family val="2"/>
          </rPr>
          <t xml:space="preserve">
3 jours avant pour preparation, 1 jour atelier et 1 jour retour
</t>
        </r>
      </text>
    </comment>
    <comment ref="F93" authorId="0">
      <text>
        <r>
          <rPr>
            <b/>
            <sz val="9"/>
            <rFont val="Tahoma"/>
            <family val="2"/>
          </rPr>
          <t>HP:</t>
        </r>
        <r>
          <rPr>
            <sz val="9"/>
            <rFont val="Tahoma"/>
            <family val="2"/>
          </rPr>
          <t xml:space="preserve">
3 jours avant pour preparation, 1 jour atelier et 1 jour retour
</t>
        </r>
      </text>
    </comment>
    <comment ref="F94" authorId="0">
      <text>
        <r>
          <rPr>
            <b/>
            <sz val="9"/>
            <rFont val="Tahoma"/>
            <family val="2"/>
          </rPr>
          <t>HP:</t>
        </r>
        <r>
          <rPr>
            <sz val="9"/>
            <rFont val="Tahoma"/>
            <family val="2"/>
          </rPr>
          <t xml:space="preserve">
3 jours avant pour preparation, 1 jour atelier et 1 jour retour
</t>
        </r>
      </text>
    </comment>
  </commentList>
</comments>
</file>

<file path=xl/sharedStrings.xml><?xml version="1.0" encoding="utf-8"?>
<sst xmlns="http://schemas.openxmlformats.org/spreadsheetml/2006/main" count="1673" uniqueCount="726">
  <si>
    <t>Budget title:</t>
  </si>
  <si>
    <t>Njia Za Makubaliano : Les Chemins vers les Accords 2e PHASE</t>
  </si>
  <si>
    <t>Project Period:</t>
  </si>
  <si>
    <t>Budget Revisee</t>
  </si>
  <si>
    <t>Quantite</t>
  </si>
  <si>
    <t>Cout Unitaire</t>
  </si>
  <si>
    <t>Duree/           Frequence</t>
  </si>
  <si>
    <t>BUDGET NARRATIF</t>
  </si>
  <si>
    <t>ACTIVITES</t>
  </si>
  <si>
    <t>CATEGORIE DE DEPENSE*</t>
  </si>
  <si>
    <t xml:space="preserve"> </t>
  </si>
  <si>
    <t>BL</t>
  </si>
  <si>
    <t>PRODUITS</t>
  </si>
  <si>
    <t>USD</t>
  </si>
  <si>
    <t>Mois</t>
  </si>
  <si>
    <t>A</t>
  </si>
  <si>
    <t>Sous Total</t>
  </si>
  <si>
    <t>Produit 1.2. Information des communautés et leaders sur les négociations pour l’accès à la terre dans les Bashali</t>
  </si>
  <si>
    <t>Produit 1.3. Médiation des conflits fonciers (liés à l’accès à la terre) dans les Bashali</t>
  </si>
  <si>
    <t>Activité 1.3.1. Accompagnement de la résolution des conflits fonciers</t>
  </si>
  <si>
    <t>Produit 1.4. Appui aux initiatives de mise en valeur (exploitation) de terres négociées auprès de concessionnaires dans les Bashali</t>
  </si>
  <si>
    <t>Total</t>
  </si>
  <si>
    <t>Total Resultat 1</t>
  </si>
  <si>
    <t>Total Resultat 2</t>
  </si>
  <si>
    <t>Total Resultat 3</t>
  </si>
  <si>
    <t>A.4.2</t>
  </si>
  <si>
    <t xml:space="preserve">Final Evaluation </t>
  </si>
  <si>
    <t>Direct project staff Activity monitoring Local Travel (hotel accomodation, per diem, boat ticket, etc.)</t>
  </si>
  <si>
    <t>Total Suivi  Evaluation et Cout de Peronnel Lies aux Activite</t>
  </si>
  <si>
    <t>TOTAL ACTIVITES</t>
  </si>
  <si>
    <t>B</t>
  </si>
  <si>
    <t>PERSONNEL ET AUTRES EMPLOYES</t>
  </si>
  <si>
    <t>B.1.2</t>
  </si>
  <si>
    <t>Personnel et autres employés</t>
  </si>
  <si>
    <t>Sous-total Personnel et autres employes</t>
  </si>
  <si>
    <t>C</t>
  </si>
  <si>
    <t>Fournitures, produits de base, materiels</t>
  </si>
  <si>
    <t>Sous-total Fournitures, produits de base, materiels</t>
  </si>
  <si>
    <t>D</t>
  </si>
  <si>
    <t>Equipements, vehicules et mobilier</t>
  </si>
  <si>
    <t>D.1.1</t>
  </si>
  <si>
    <t xml:space="preserve">I.T. Equipment (Laptops,Printers,Scanners,Camera) </t>
  </si>
  <si>
    <t>Sous-total Equipements, vehicules et mobilier</t>
  </si>
  <si>
    <t>E</t>
  </si>
  <si>
    <t>Services Contractuels</t>
  </si>
  <si>
    <t>Sous-total Services Contractuels</t>
  </si>
  <si>
    <t>F</t>
  </si>
  <si>
    <t>Frais de deplacement</t>
  </si>
  <si>
    <t>F.1.1</t>
  </si>
  <si>
    <t>Management staff Local Travel (hotel accomodation, per diem, boat ticket, etc..)</t>
  </si>
  <si>
    <t>F.1.2</t>
  </si>
  <si>
    <t>International travel</t>
  </si>
  <si>
    <t>Sous-total Frais de deplacement</t>
  </si>
  <si>
    <t>G</t>
  </si>
  <si>
    <t>Transferts et subventions</t>
  </si>
  <si>
    <t xml:space="preserve">sub-grantee Partners institutional costs </t>
  </si>
  <si>
    <t>Sous-total Transferts et subventions</t>
  </si>
  <si>
    <t>H</t>
  </si>
  <si>
    <t>Frais generaux de fonctionnement et autres couts directs</t>
  </si>
  <si>
    <t>H.1.1</t>
  </si>
  <si>
    <t>Bank Charges 1% Alert DRC EXP.</t>
  </si>
  <si>
    <t>H.1.2</t>
  </si>
  <si>
    <t xml:space="preserve">Fuel(1 vehicle + 1 Generator) </t>
  </si>
  <si>
    <t>H.1.3</t>
  </si>
  <si>
    <t xml:space="preserve">Vehicle maintenance,Spare parts </t>
  </si>
  <si>
    <t>H.1.4</t>
  </si>
  <si>
    <t xml:space="preserve">Vehicle insurances/entry cards,FONER fee etc </t>
  </si>
  <si>
    <t>H.1.5</t>
  </si>
  <si>
    <t>Local staff Medical support  15%</t>
  </si>
  <si>
    <t>H.1.6</t>
  </si>
  <si>
    <t>Training Support/Staff Development 15%</t>
  </si>
  <si>
    <t>H.1.7</t>
  </si>
  <si>
    <t>H.1.8</t>
  </si>
  <si>
    <t>Housing/Accommodation-DRC Expat staff 8%</t>
  </si>
  <si>
    <t>H.1.9</t>
  </si>
  <si>
    <t>Other international benefits - visa d'etablissement, CEPGL, Insurance, return home flights: 8%</t>
  </si>
  <si>
    <t>H.1.10</t>
  </si>
  <si>
    <t xml:space="preserve">Office Furniture &amp; Equipment </t>
  </si>
  <si>
    <t>H.1.11</t>
  </si>
  <si>
    <t>Office Consumables and Stationery Supplies,Office Insurance etc-30%</t>
  </si>
  <si>
    <t>H.1.12</t>
  </si>
  <si>
    <t>Office utilities (Maintenance,Water, electricity etc)(15%)</t>
  </si>
  <si>
    <t>Communications (Email &amp; Phone,Internet) (30%)</t>
  </si>
  <si>
    <t>Legal &amp; Professional Fees (Lawyer+IT Cons)-(25%)</t>
  </si>
  <si>
    <t>Sous-total Frais generaux de fonctionnement et autres couts directs</t>
  </si>
  <si>
    <t xml:space="preserve">TOTAL OPERATIONS ET AUTRES COUTS </t>
  </si>
  <si>
    <t>Avance pour Organizations Partenaire</t>
  </si>
  <si>
    <t xml:space="preserve">TOTAL DIRECT OPERATIONS ET ACTIVITIE </t>
  </si>
  <si>
    <t>Couts Indirects (7%)***</t>
  </si>
  <si>
    <t>Total Global</t>
  </si>
  <si>
    <t>Fonds de Coherence pour la Stabilisation: Budget par Categorie de Dépense*</t>
  </si>
  <si>
    <t>(a) Nom de l'organisation:International Alert</t>
  </si>
  <si>
    <t>(b) Titre du Projet:Njia Za Makubaliano : Les Chemins vers les Accords</t>
  </si>
  <si>
    <t>(c) Pour la Periode: 01/01/2019-30/06/2020</t>
  </si>
  <si>
    <t>(d) Total du Budget (USD):</t>
  </si>
  <si>
    <t>CATEGORY</t>
  </si>
  <si>
    <t>Annee 1</t>
  </si>
  <si>
    <t>Annee 2</t>
  </si>
  <si>
    <t xml:space="preserve">Total </t>
  </si>
  <si>
    <t>% Total Budget</t>
  </si>
  <si>
    <t xml:space="preserve">Total des Couts liés au Programme </t>
  </si>
  <si>
    <t>Couts Indirects</t>
  </si>
  <si>
    <t>GRAND TOTAL</t>
  </si>
  <si>
    <t xml:space="preserve">*Voir la note explicative sur l’élaboration d’un budget à soumettre au Fonds de Cohérence pour la Stabilisation </t>
  </si>
  <si>
    <t>Sensibiliser les groupes armés à déposer les armes</t>
  </si>
  <si>
    <t>Assurer le retour des déplacés internes et de réfugiés dans leurs milieux d'origine</t>
  </si>
  <si>
    <t>Faire du plaidoyer auprès des bailleurs de fonds et opérateurs économiques pour la relance de sociétés de l'Etat</t>
  </si>
  <si>
    <t>Ouvrir les routes de deserte agricole et élaborer des projets intégrateurs pour promouvoir l'emploie des jeunes</t>
  </si>
  <si>
    <t>créer de centres  d'encadrement des  jeunes</t>
  </si>
  <si>
    <t>Office Rental(25%)</t>
  </si>
  <si>
    <t>A.4.1</t>
  </si>
  <si>
    <t>B.1.1</t>
  </si>
  <si>
    <t>B.1.16</t>
  </si>
  <si>
    <t>B.1.17</t>
  </si>
  <si>
    <t>G.1.1</t>
  </si>
  <si>
    <t>Security Services (15%)</t>
  </si>
  <si>
    <t xml:space="preserve">A4. Suivi  Evaluation </t>
  </si>
  <si>
    <t>Activité 2.1.1. Réunions trimestrielles du conseil consultatif provincial</t>
  </si>
  <si>
    <t>Activité 3.1.1 Réunions trimestrielles du conseil consultatif provincial</t>
  </si>
  <si>
    <t>% Genre</t>
  </si>
  <si>
    <t xml:space="preserve"> Résultat 2. Les acteurs communautaires, politiques et sécuritaires améliorent  leurs connaissances, pratiques/perceptions et comportement en vue de renforcent la sécurité des populations civiles dans la chefferie de Bashali </t>
  </si>
  <si>
    <t xml:space="preserve"> Résultat 3.  Les acteurs communautaires, politiques et sécuritaires améliorent  leurs connaissances, pratiques/perceptions et comportement en vue de renforcent la sécurité des populations civiles dans la chefferie de Bwito</t>
  </si>
  <si>
    <t>Produit 2.1 Les leaders politiques au niveau provincial et national  s'impliquent dans les initiatives de renforcement de la sécurité des populations civiles dans les Bashali</t>
  </si>
  <si>
    <t xml:space="preserve">Résultat 1. L’accès  sécurisé à la terre des petits paysans en chefferie de Bashali est renforcé </t>
  </si>
  <si>
    <t>Collecte des données qualitatives</t>
  </si>
  <si>
    <t>Renforcement des capacités des partenaires en M&amp;E</t>
  </si>
  <si>
    <t>A.4.4</t>
  </si>
  <si>
    <t>A.4.5</t>
  </si>
  <si>
    <t xml:space="preserve"> (7%)***</t>
  </si>
  <si>
    <t xml:space="preserve">Budget Detaille trois catégories de dépenses </t>
  </si>
  <si>
    <t>PMO</t>
  </si>
  <si>
    <t>Equipements et mobilier</t>
  </si>
  <si>
    <t xml:space="preserve">Couts indirects 7% pour International Alert </t>
  </si>
  <si>
    <t>PROPOSITION DU BUDGET DE AIDE ET ACTION POUR LA PAIX</t>
  </si>
  <si>
    <t xml:space="preserve">BUDGET DETAIL NJIA  EXTENSION </t>
  </si>
  <si>
    <t>PROGRAM ACTIVITIES</t>
  </si>
  <si>
    <t xml:space="preserve">Description de l'activite </t>
  </si>
  <si>
    <t>Unite</t>
  </si>
  <si>
    <t>C. Unitaire</t>
  </si>
  <si>
    <t xml:space="preserve">Frequence </t>
  </si>
  <si>
    <t xml:space="preserve">PROJECTION </t>
  </si>
  <si>
    <t xml:space="preserve">Mois </t>
  </si>
  <si>
    <t>TOTAL</t>
  </si>
  <si>
    <t>Ecart</t>
  </si>
  <si>
    <r>
      <t>Produit 3.1</t>
    </r>
    <r>
      <rPr>
        <sz val="11"/>
        <color theme="1"/>
        <rFont val="Calibri"/>
        <family val="2"/>
      </rPr>
      <t xml:space="preserve"> Les leaders politiques au niveau provincial et national s'impliquent dans les initiatives de renforcement de la sécurité des populations civiles dans le Bwito</t>
    </r>
  </si>
  <si>
    <t>Réunions du Consceil Consultatif Provincial</t>
  </si>
  <si>
    <t>Location salle</t>
  </si>
  <si>
    <t>Jour</t>
  </si>
  <si>
    <t>Restauration participants (diner et déjeuner)</t>
  </si>
  <si>
    <t>personne</t>
  </si>
  <si>
    <t>Remboursement carburant honorables participants</t>
  </si>
  <si>
    <t>Litre</t>
  </si>
  <si>
    <t>Flip shart</t>
  </si>
  <si>
    <t>Pièce</t>
  </si>
  <si>
    <t>Rame papier</t>
  </si>
  <si>
    <t>Rame</t>
  </si>
  <si>
    <t>Carnets</t>
  </si>
  <si>
    <t>Stylo</t>
  </si>
  <si>
    <t>Marker</t>
  </si>
  <si>
    <t>Scotch à papier</t>
  </si>
  <si>
    <t>Descente de suivi des actvités par le Consceil Consultatif Provincial dans la zone du projet</t>
  </si>
  <si>
    <t>Location véhicule</t>
  </si>
  <si>
    <t>Perdieum honorables membres CPP</t>
  </si>
  <si>
    <t>Logement honorables membre CPP</t>
  </si>
  <si>
    <t>Nuitée</t>
  </si>
  <si>
    <t>Sous total  Activité 3.1.1.</t>
  </si>
  <si>
    <r>
      <t>Produit 3.2</t>
    </r>
    <r>
      <rPr>
        <sz val="11"/>
        <color theme="1"/>
        <rFont val="Calibri"/>
        <family val="2"/>
      </rPr>
      <t xml:space="preserve"> Les leaders communautaires et  les autorités locales   s'impliquent dans les initiatives de renforcement de la sécurité des populations civiles dans les Bwito</t>
    </r>
  </si>
  <si>
    <t>Activité 3.2.1. Activité de redevabilité/suivi des engagements des parties issues des ateliers avec les autorités  locales et leadrs communautaires sur la sécurité </t>
  </si>
  <si>
    <t>Restauration  participants (Diner et déjeuné)</t>
  </si>
  <si>
    <t>Remboursement transport participants</t>
  </si>
  <si>
    <t>Location vehicule staff AAP</t>
  </si>
  <si>
    <t>Perdieum staff AAP</t>
  </si>
  <si>
    <t>jour</t>
  </si>
  <si>
    <t>Logement staff AAP</t>
  </si>
  <si>
    <t>Sous total  Activité 3.2.1.</t>
  </si>
  <si>
    <t>Activité 3.2.2. Appui au fonctionnement des structures communauatires de paix et du Cadre Echange et d'Information</t>
  </si>
  <si>
    <t>Fournitures structures</t>
  </si>
  <si>
    <t>Unités de communication structurs</t>
  </si>
  <si>
    <t>Vodacom</t>
  </si>
  <si>
    <t>Carte</t>
  </si>
  <si>
    <t>Airtel</t>
  </si>
  <si>
    <t xml:space="preserve">Carte </t>
  </si>
  <si>
    <t>Orange</t>
  </si>
  <si>
    <t>Transport mambres du Cadre d'échange et d'information</t>
  </si>
  <si>
    <t>Frais de transport membres du Cadre d'échange et d'information</t>
  </si>
  <si>
    <t>Membre</t>
  </si>
  <si>
    <t>Sous total  Activité 3.2.2.</t>
  </si>
  <si>
    <t>Activité 3.2.3. Appui à la pérennisation des acquis du projet Njia</t>
  </si>
  <si>
    <t>Réunion d'identification de la stratégie de perennisation</t>
  </si>
  <si>
    <t>Mis en place de la stratégie de pérennisation</t>
  </si>
  <si>
    <t>Structure</t>
  </si>
  <si>
    <t>Sous total  Activité 3.2.3.</t>
  </si>
  <si>
    <t xml:space="preserve">Activité 3.2.5. Ateliers des sensibilisations des responsables des FARDC, de la police et des services de sécurité sur le respect des droits des populations civiles </t>
  </si>
  <si>
    <t>Restauration  participants (Diner et pause-café)</t>
  </si>
  <si>
    <t>Remboursement transport participants locaux</t>
  </si>
  <si>
    <t>Remboursement transport participants venus de Kanyabayonga</t>
  </si>
  <si>
    <t>Remboursement transport participants venus de Kibirizi</t>
  </si>
  <si>
    <t>Remboursement transport participants venus de nyanzale</t>
  </si>
  <si>
    <t>Remboursement transport participants venus de Bishusha/Bukombo</t>
  </si>
  <si>
    <t>Remboursement transport participants venus de Kibkuku</t>
  </si>
  <si>
    <t>Remboursement transport participants venus de Tongo</t>
  </si>
  <si>
    <t>Logement des participants lointains</t>
  </si>
  <si>
    <t>Logement participants venus de Kanyabayonga</t>
  </si>
  <si>
    <t>Logement participants venus de Kibirizi</t>
  </si>
  <si>
    <t>Logement participants venus de nyanzale</t>
  </si>
  <si>
    <t>Logement participants venus de Bishusha/Bukombo</t>
  </si>
  <si>
    <t>Logement participants venus de Kibkuku</t>
  </si>
  <si>
    <t>Logement participants venus de Tongo</t>
  </si>
  <si>
    <t>Restauration participants lointains</t>
  </si>
  <si>
    <t>Restauration participants venus de Kanyabayonga (soupé et petit-déjeuné)</t>
  </si>
  <si>
    <t>Restauration participants venus de Kibirizi (soupé et petit-déjeuné)</t>
  </si>
  <si>
    <t>Restauration participants venus de nyanzale (soupé et petit-déjeuné)</t>
  </si>
  <si>
    <t>Restauration participants venus de Bishusha/Bukombo  (soupé et petit-déjeuné)</t>
  </si>
  <si>
    <t>Restauration participants venus de Kibkuku (soupé et petit-déjeuné)</t>
  </si>
  <si>
    <t>Restauration participants venus de Tongo (soupé et petit-déjeuné)</t>
  </si>
  <si>
    <t xml:space="preserve">Fabrication calicot </t>
  </si>
  <si>
    <t>Eau participants</t>
  </si>
  <si>
    <t>Carton</t>
  </si>
  <si>
    <t xml:space="preserve">Location vehicule staff AAP </t>
  </si>
  <si>
    <t>Sous total  Activité 3.2.5.</t>
  </si>
  <si>
    <t>Subtotal Résultat 3</t>
  </si>
  <si>
    <t xml:space="preserve">TOTAL ACTIVITE </t>
  </si>
  <si>
    <t xml:space="preserve">COUT OPERATIONEL </t>
  </si>
  <si>
    <t>HR</t>
  </si>
  <si>
    <t>Coordonnateur, Faustin MUTSUKUNDE</t>
  </si>
  <si>
    <t>Charge de Project, Samuel KAGHENI</t>
  </si>
  <si>
    <t>Admin, Aloys MUHONGYA</t>
  </si>
  <si>
    <t>Secretaire caissière, Justine KAVIRA</t>
  </si>
  <si>
    <t>Superviseur projet, Amos HABAMUNGU</t>
  </si>
  <si>
    <t>Chargé de suivi et évaluation, Madeleine ALIMOYA</t>
  </si>
  <si>
    <t>Animateur,  MUHINDO KOLINZO Sem</t>
  </si>
  <si>
    <t>Animateur, IRANKUNDA Emmanuel</t>
  </si>
  <si>
    <t xml:space="preserve">Frais bancaires, Contribution aux taxes et impots </t>
  </si>
  <si>
    <t>S.HR</t>
  </si>
  <si>
    <t>OFFICE COST</t>
  </si>
  <si>
    <t>Location bureau Goma</t>
  </si>
  <si>
    <t>Location bureau de 5 structures</t>
  </si>
  <si>
    <t>Communication agents sous projet</t>
  </si>
  <si>
    <t>Fournitures bureau Goma</t>
  </si>
  <si>
    <t>Carburant générateur</t>
  </si>
  <si>
    <t>S.OFFICE COST</t>
  </si>
  <si>
    <t>TOTAL COUT OPERATION</t>
  </si>
  <si>
    <t>TOTAL GENERAL</t>
  </si>
  <si>
    <t>PROPOSITION DU BUDGET DE ACTION SOLIDAIRE POUR LA PAIX</t>
  </si>
  <si>
    <t>Aou-2020</t>
  </si>
  <si>
    <t>Njanv-2021</t>
  </si>
  <si>
    <t>Fev-2020</t>
  </si>
  <si>
    <t>Appui au fonctionnement des CITC</t>
  </si>
  <si>
    <t>CITC</t>
  </si>
  <si>
    <t>Sous total  Activité 1.3.1.</t>
  </si>
  <si>
    <t>Activité 1.4.1 Identification des paysans sans terres beneficiaires directes  de 3 sites pilotes</t>
  </si>
  <si>
    <t>Atelier avec les représentants des paysans des Bashali à Kitshanga</t>
  </si>
  <si>
    <t>salle</t>
  </si>
  <si>
    <t>jr</t>
  </si>
  <si>
    <t>Transport participants venus de Mweso</t>
  </si>
  <si>
    <t>course</t>
  </si>
  <si>
    <t>Transport participants venus de Nyamitaba</t>
  </si>
  <si>
    <t>Transport local des participants de Kitshanga</t>
  </si>
  <si>
    <t>Restauration pendant l'atelier</t>
  </si>
  <si>
    <t>plat</t>
  </si>
  <si>
    <t>Pause-café</t>
  </si>
  <si>
    <t>Plat</t>
  </si>
  <si>
    <t>Logement participants venus de lointains</t>
  </si>
  <si>
    <t>nuité</t>
  </si>
  <si>
    <t>Fourniture</t>
  </si>
  <si>
    <t>ff</t>
  </si>
  <si>
    <t>Location véhicule pour l'équipe ASP pour toute la mission en faveur de deux autres sites</t>
  </si>
  <si>
    <t>Sous total  atelier de Kitshanga</t>
  </si>
  <si>
    <t>Atelier avec lesreprésentants des paysans sans terre de pinga</t>
  </si>
  <si>
    <t>Perdiem pour les participants lointains</t>
  </si>
  <si>
    <t>Transport participants venus de l'axe Bukonde</t>
  </si>
  <si>
    <t>Transport participants venus de l'axe Kalembe</t>
  </si>
  <si>
    <t>Transport local des participants de Pinga</t>
  </si>
  <si>
    <t>Location véhicule pour l'équipe ASP</t>
  </si>
  <si>
    <t>Sous total  atelier de Pinga</t>
  </si>
  <si>
    <t xml:space="preserve">Atelier avec les représentants des paysans de Bwito </t>
  </si>
  <si>
    <t>Transport participants venus de Katsiru</t>
  </si>
  <si>
    <t>Transport participants venus de Binza</t>
  </si>
  <si>
    <t xml:space="preserve">Transport local des participants </t>
  </si>
  <si>
    <t xml:space="preserve">Sous total  atelier de Bwito </t>
  </si>
  <si>
    <t>Sous total  Activité 1.4.1.</t>
  </si>
  <si>
    <t xml:space="preserve">Activité 1.4.2. Atelier de plaidoyer avec les concessionnaires pour l'installation des paysans sans terre dans les concsssions de USTAWI </t>
  </si>
  <si>
    <t>Billet avion participants venus de Kinshasa</t>
  </si>
  <si>
    <t xml:space="preserve">billet </t>
  </si>
  <si>
    <t>Perdiem participants venus de Kinshasa</t>
  </si>
  <si>
    <t>Transport participants venus de Pinga</t>
  </si>
  <si>
    <t>Transport venus de Bashali et Bwito</t>
  </si>
  <si>
    <t>Perdiem concessionnaires venus de Bashali,Pinga et Bwito</t>
  </si>
  <si>
    <t>Fournitures</t>
  </si>
  <si>
    <t>Transport local</t>
  </si>
  <si>
    <t>Location véhicule équipe GPPM</t>
  </si>
  <si>
    <t>Sous total  Activité 1.4.2.</t>
  </si>
  <si>
    <t>Formation des pépinieristes</t>
  </si>
  <si>
    <t>Logement participants venus de loin</t>
  </si>
  <si>
    <t>Perdiem participants venus de loin</t>
  </si>
  <si>
    <t xml:space="preserve">Transport participants venus de Pinga </t>
  </si>
  <si>
    <t>couse</t>
  </si>
  <si>
    <t>Transport participants venus de Bwito</t>
  </si>
  <si>
    <t>Transport participant venu de Mweso</t>
  </si>
  <si>
    <t xml:space="preserve">Transport local </t>
  </si>
  <si>
    <t>Perdiem du consultant</t>
  </si>
  <si>
    <t>Logement du consultant</t>
  </si>
  <si>
    <t>Honnaire du consultant</t>
  </si>
  <si>
    <t>total formation des pépinieristes</t>
  </si>
  <si>
    <t>Formation des paysans sur les nouvelles techniques agricoles</t>
  </si>
  <si>
    <t>couese</t>
  </si>
  <si>
    <t>Location véhicule pour le consultant et équipe ASP</t>
  </si>
  <si>
    <t>y compris les jours de la formation des pépinieristes</t>
  </si>
  <si>
    <t>total formation en nouvelles techniques agricoles</t>
  </si>
  <si>
    <t>Sous total  Activité 1.4.3.</t>
  </si>
  <si>
    <t>Activité 1.4.4. Appuyer la realisation d'une etude de faisabilité assortie d'un business plan pour la cooperative USTAWI</t>
  </si>
  <si>
    <t>Frais de couverture de l'étdue et la rapportage</t>
  </si>
  <si>
    <t>Sous total  Activité 1.4.4.</t>
  </si>
  <si>
    <t>Activité 1.4.5.       Appuyuer Lancement des 6 pepinières de the/café/Cacao à raison de 2 à kitshanga, 2 à Bwito et 2 à Pinga</t>
  </si>
  <si>
    <t>Site de Bashali</t>
  </si>
  <si>
    <t>Site de Bwito</t>
  </si>
  <si>
    <t>Site de Pinga</t>
  </si>
  <si>
    <t>Sous total  Activité 1.4.5.</t>
  </si>
  <si>
    <t>Activité 1.4.6. Finaliser l'obtention de tous les documents juridiques de la cooperative USTAWI</t>
  </si>
  <si>
    <t>frais de couverture des charges de liées à l'obtention des documents juridiques à Kinshasa</t>
  </si>
  <si>
    <t>Sous total  Activité 1.4.6.</t>
  </si>
  <si>
    <t>Activité 1.4.7. Organiser trois actions de plaidoyer et de mobilisation des fonds à Goma et Kinshasa en faveur du business plan produit pour la cooperative</t>
  </si>
  <si>
    <t>Atelier de plaidoeyr à Goma</t>
  </si>
  <si>
    <t>Location véhicule pour la mobilisation du Gouvernement provincial avec les Bami à Goma</t>
  </si>
  <si>
    <t>Jr</t>
  </si>
  <si>
    <t>totola atelier de Goma</t>
  </si>
  <si>
    <t>Atelier de plaidoyer à Kinshasa avec les ministres et bailleurs et contacts en bilatéral avec les bailleurs</t>
  </si>
  <si>
    <t>Gopass et taxes villes</t>
  </si>
  <si>
    <t>Facilitation pendant la mobilisation(communication,repas)</t>
  </si>
  <si>
    <t>réunion</t>
  </si>
  <si>
    <t>total atelier Kinshasa</t>
  </si>
  <si>
    <t>Subtotal Résultat 1</t>
  </si>
  <si>
    <r>
      <t xml:space="preserve">Produit 2.2. </t>
    </r>
    <r>
      <rPr>
        <sz val="11"/>
        <color theme="1"/>
        <rFont val="Calibri"/>
        <family val="2"/>
      </rPr>
      <t>Les leaders communautaires et  les autorités locales   s'impliquent dans les initiatives de renforcement de la sécurité des populations civiles dans les Bwito</t>
    </r>
  </si>
  <si>
    <t>Activité 2.2.1. Plaidoyer auprès des autorités locales sur les plans d’action par le CEI de Bashali</t>
  </si>
  <si>
    <t>frais de transport lors des réunions du CEI</t>
  </si>
  <si>
    <t xml:space="preserve">Sous total </t>
  </si>
  <si>
    <t>Sous total Activité 2.2.1.</t>
  </si>
  <si>
    <t>Activité 2.2.3. Appuyer la Chefferie des Bashali dans la rehabilitation du Pont Ifofa de Pinga decidé par la reunion mixte du comité de securité facilité par le projet en 2019 à Pinga</t>
  </si>
  <si>
    <t>Materiels et couts du service</t>
  </si>
  <si>
    <t>Sous total Activité 2.2.3.</t>
  </si>
  <si>
    <t>Activité 2.2.4. Organiser la rencontre de finalisation du conflit entre Hunde et Nyanga sur l'assassinat du Mwami Ngulu Maneno à Mutongo</t>
  </si>
  <si>
    <t>Transport participants venus de Kitshanga</t>
  </si>
  <si>
    <t>Transport AT Walikale, Chef de Secteur et Mwami</t>
  </si>
  <si>
    <t>billet</t>
  </si>
  <si>
    <t>Transport AT Masisi de Masisi à Pinga via Goma</t>
  </si>
  <si>
    <t>Carburant pour les Honorables et Ministres</t>
  </si>
  <si>
    <t>litres</t>
  </si>
  <si>
    <t>Location véhicule pour équipe ASP</t>
  </si>
  <si>
    <t>sous total 2.2.4.</t>
  </si>
  <si>
    <t>Activité 2.2.6. Appui au fonctionnement des structures communauatires de paix et du Cadre Echange et d'Information</t>
  </si>
  <si>
    <t>Frais couvrant le loyer, les fournitures et la permenance</t>
  </si>
  <si>
    <t>frais</t>
  </si>
  <si>
    <t>Sous total  Activité 2.2.6 .</t>
  </si>
  <si>
    <t>appui pour la pérenisation des activités des structures de suivi</t>
  </si>
  <si>
    <t>sous total activité 2.2.7</t>
  </si>
  <si>
    <t>Faciliter la mobilisation au GPPM, Minisères sectoriels lors des activités</t>
  </si>
  <si>
    <t>trimestre</t>
  </si>
  <si>
    <t>sous total activité 2.2.8</t>
  </si>
  <si>
    <t>Subtotal Résultat 2</t>
  </si>
  <si>
    <t>Secrétaire Exécutif</t>
  </si>
  <si>
    <t>Charge de Project</t>
  </si>
  <si>
    <t>Chargé de l'Administration et finance</t>
  </si>
  <si>
    <t>Chargé de suivi et évaluation</t>
  </si>
  <si>
    <t>Assistante financière</t>
  </si>
  <si>
    <t>Animateurs</t>
  </si>
  <si>
    <t>Cleaner</t>
  </si>
  <si>
    <t>Location</t>
  </si>
  <si>
    <t>Electricity</t>
  </si>
  <si>
    <t>Internet</t>
  </si>
  <si>
    <t>Carburant</t>
  </si>
  <si>
    <t>Accomodation</t>
  </si>
  <si>
    <t>Communication</t>
  </si>
  <si>
    <t>Fournitures bureau</t>
  </si>
  <si>
    <t>Moi</t>
  </si>
  <si>
    <t>frais étatiques (DGI,INSS,INPP,ONEM)</t>
  </si>
  <si>
    <t xml:space="preserve">Frais bancaires </t>
  </si>
  <si>
    <t xml:space="preserve">PROPOSITION DU BUDGET DE POLE INSTITUTUTE </t>
  </si>
  <si>
    <t xml:space="preserve">Activité 1.2.1.Monter et diffuser des émissions radio en rapport avec la thématique"accès à la terre" </t>
  </si>
  <si>
    <t>4 emissions par mois</t>
  </si>
  <si>
    <t>Conception des Emissions Radiophoniques</t>
  </si>
  <si>
    <t>Enregistrement des emissions</t>
  </si>
  <si>
    <t>emission diffusée 1 fois par jour pendant 6 mois</t>
  </si>
  <si>
    <t xml:space="preserve">Diffusion des emission </t>
  </si>
  <si>
    <t>Sous total  Activité 1.2.1</t>
  </si>
  <si>
    <t>1. Restauration pour participants</t>
  </si>
  <si>
    <t>2. Transports pour participants</t>
  </si>
  <si>
    <t>3. Logement 3Staff Pole</t>
  </si>
  <si>
    <t>4.Perdiem 3 Staff Pole</t>
  </si>
  <si>
    <t>4. Location salle de reunion</t>
  </si>
  <si>
    <t>5. Peage route vehicule et lavage véhicule</t>
  </si>
  <si>
    <t>6 Location véhicule</t>
  </si>
  <si>
    <t>7 Facilitation</t>
  </si>
  <si>
    <t>Pole FM</t>
  </si>
  <si>
    <t>Sous total  Activité 1.2.2</t>
  </si>
  <si>
    <t>1.2.3.Organiser des TEP et Magazines sur le foncier.</t>
  </si>
  <si>
    <t>1.2.3.1 organiser les Magazines sur le foncier</t>
  </si>
  <si>
    <t>un Magazine par semaine et une diffusion par jour</t>
  </si>
  <si>
    <t>Conception des Magazines Radiophoniques</t>
  </si>
  <si>
    <t>Enregistrement des Magazines</t>
  </si>
  <si>
    <t xml:space="preserve">Diffusion des Magazines </t>
  </si>
  <si>
    <t>Sous total  Activité 1.2.3</t>
  </si>
  <si>
    <t>Activité 2.1.1. Monter et diffuser des émission en rapport avec la sécurité et la paix dans la zone (TEP, Magazines et autres)</t>
  </si>
  <si>
    <t>2.1.1.1 organisation des emission</t>
  </si>
  <si>
    <t>4 emissions sur la securite par mois</t>
  </si>
  <si>
    <t>2.1.1.2. organisation des megazines sur la securite</t>
  </si>
  <si>
    <t>4 Magazines sur la securite par mois</t>
  </si>
  <si>
    <t>Sous total Activité 2.1.1.</t>
  </si>
  <si>
    <t>Produit 2.2. Les leaders communautaires et les autorités locales s'impliquent dans les initiatives de renforcement de la sécurité des populations civiles dans les Bwito</t>
  </si>
  <si>
    <t xml:space="preserve">Activité 2.2.1. Organiser des formations en transformation sociale et politique non violente; etc pour les jeunes </t>
  </si>
  <si>
    <t>4 formation par mois pour 50 jeunes</t>
  </si>
  <si>
    <t>Materials</t>
  </si>
  <si>
    <t>24 formations pour 50 jeunes pendant les 6 mois</t>
  </si>
  <si>
    <t xml:space="preserve">Perdiem </t>
  </si>
  <si>
    <t>transport</t>
  </si>
  <si>
    <t xml:space="preserve">Activité 2.2.3. Organiser des espaces de dialogues entre les jeunes </t>
  </si>
  <si>
    <t>4 dialogues par mois, soit 24 seances de travail pour 6 mois. Le formateur senior pourrait participer a 3 seances de dialogues entre jeunes</t>
  </si>
  <si>
    <t>donner juste de l'eau</t>
  </si>
  <si>
    <t>2 nuits sur terrain</t>
  </si>
  <si>
    <t>Organiser deux ateliers de dialogues intergénérationnels entre les jeunes issus de groupes armés, les jeunes qui n’ont jamais intégrés les groupes armés, les notables locaux et certains anciens leaders de groupes armés reconvertis on commencera par des dialogues intragroupes avant d'arriver aux dialogues intergénérationnels)</t>
  </si>
  <si>
    <t>3 jours de dialogues dans chaque territoire</t>
  </si>
  <si>
    <t>5 staff de Pole participeront a ces dialogues</t>
  </si>
  <si>
    <t>3. Logement 5 Staff Pole</t>
  </si>
  <si>
    <t>4.Perdiem 5 Staff Pole</t>
  </si>
  <si>
    <t>Transport participants venus d'ailleurs</t>
  </si>
  <si>
    <t>Logements certains participants</t>
  </si>
  <si>
    <t>Perdiems participants venus d'ailleurs</t>
  </si>
  <si>
    <t>Sous total Activité 2.2.4.</t>
  </si>
  <si>
    <t>2.2.6. Organiser à l' intention des structures locales de paix sessions de renforcement des capacités en analyse de contexte, analyse sensible aux conflits, conduite des actions de plaidoyer et communication - sensibilisation (avec un accent particulier sur le foncier). </t>
  </si>
  <si>
    <t>2 formations de 4 jours chacune pour 25 personnes</t>
  </si>
  <si>
    <t>4. Logement 3Staff Pole</t>
  </si>
  <si>
    <t>4.Perdiem 4 Staff Pole</t>
  </si>
  <si>
    <t>Sous total - Activite  2.2.6.</t>
  </si>
  <si>
    <t>Assistant a la capacitation (formateur Junior): 100%</t>
  </si>
  <si>
    <t>Sous total cout staff</t>
  </si>
  <si>
    <t>Location bureau (25%)</t>
  </si>
  <si>
    <t>fournitures de bureau  (25%)</t>
  </si>
  <si>
    <t>Voyages nationaux</t>
  </si>
  <si>
    <t>frais bancaires (1.8%)</t>
  </si>
  <si>
    <t>PROPOSITION DU BUDGET ALERT</t>
  </si>
  <si>
    <t>Activité 2.1.1 .Visites de suivi des activités de projets de stabilisation sur terrain par le conseil consultatif provincial &amp; Secretariat Technique</t>
  </si>
  <si>
    <t>Per diem/pers</t>
  </si>
  <si>
    <t>Logement/pers</t>
  </si>
  <si>
    <t xml:space="preserve">Location véhicule/mission </t>
  </si>
  <si>
    <t xml:space="preserve">Remboursement frais de transport participants </t>
  </si>
  <si>
    <t>location salle/ site</t>
  </si>
  <si>
    <r>
      <t>Produit 2.2</t>
    </r>
    <r>
      <rPr>
        <sz val="12"/>
        <color indexed="8"/>
        <rFont val="Calibri Light"/>
        <family val="2"/>
      </rPr>
      <t xml:space="preserve"> Les leaders communautaires   et autorités locales s'impliquent dans les initiatives de renforcement de la sécurité des populations civiles dans les Bashali</t>
    </r>
  </si>
  <si>
    <t>Flip Chart</t>
  </si>
  <si>
    <t>Carnet</t>
  </si>
  <si>
    <t>Activité 2.2.17. Appui en kits solaire et informatique au centre de jeune de Bashali</t>
  </si>
  <si>
    <t>Panneau solaire 8 pièces de 250 W</t>
  </si>
  <si>
    <t>Batterie 6 pièces de 120 A</t>
  </si>
  <si>
    <t>Convertisseur de 3000W</t>
  </si>
  <si>
    <t>Cable conducteur courant de 16mm carré 50 metres</t>
  </si>
  <si>
    <t>Regulateur</t>
  </si>
  <si>
    <t>Tableau divisionnaire</t>
  </si>
  <si>
    <t>Paratonneur Anti-foudre</t>
  </si>
  <si>
    <t>6 pièces fer cornières</t>
  </si>
  <si>
    <t>Inverseur</t>
  </si>
  <si>
    <t>Main d'oeouvre</t>
  </si>
  <si>
    <t>Ordinateurs</t>
  </si>
  <si>
    <t>imprimante- Photocopieuse</t>
  </si>
  <si>
    <t>Sous total Activité 2.2.17.</t>
  </si>
  <si>
    <t>Total Résultat 2</t>
  </si>
  <si>
    <r>
      <t>Produit 3.1</t>
    </r>
    <r>
      <rPr>
        <sz val="12"/>
        <color indexed="8"/>
        <rFont val="Calibri Light"/>
        <family val="2"/>
      </rPr>
      <t xml:space="preserve"> Les leaders politiques au niveau provincial et national s'impliquent dans les initiatives de renforcement de la sécurité des populations civiles dans le Bwito</t>
    </r>
  </si>
  <si>
    <t>Activité 3.2.1. Construction du commissariat de PNC à Kikuku</t>
  </si>
  <si>
    <t>Installation Chantier</t>
  </si>
  <si>
    <t>Fondation</t>
  </si>
  <si>
    <t>Elevation Mur</t>
  </si>
  <si>
    <t>Toiture</t>
  </si>
  <si>
    <t>Finitions</t>
  </si>
  <si>
    <t>Plafond</t>
  </si>
  <si>
    <t>Installation electriques</t>
  </si>
  <si>
    <t>Insalallation sanitaire</t>
  </si>
  <si>
    <t>peinture</t>
  </si>
  <si>
    <t>Table bureau</t>
  </si>
  <si>
    <t>Chaises</t>
  </si>
  <si>
    <t>Bancs</t>
  </si>
  <si>
    <t>Armoires</t>
  </si>
  <si>
    <t>Etages</t>
  </si>
  <si>
    <t>Sous total 3.2.1.</t>
  </si>
  <si>
    <r>
      <t>Produit 3.2</t>
    </r>
    <r>
      <rPr>
        <sz val="12"/>
        <color indexed="8"/>
        <rFont val="Calibri Light"/>
        <family val="2"/>
      </rPr>
      <t xml:space="preserve"> Les leaders communautaires   et autorités locales s'impliquent dans les initiatives de renforcement de la sécurité des populations civiles dans les Bwito</t>
    </r>
  </si>
  <si>
    <t>3.1.Activité Equipement de la maison du Mwami de Bwito à Kikuku</t>
  </si>
  <si>
    <t xml:space="preserve">Sallon </t>
  </si>
  <si>
    <t>Salle à Manger</t>
  </si>
  <si>
    <t>Lit</t>
  </si>
  <si>
    <t>litterie</t>
  </si>
  <si>
    <t xml:space="preserve">Matelas </t>
  </si>
  <si>
    <t>Etagere</t>
  </si>
  <si>
    <t>Garde robe</t>
  </si>
  <si>
    <t>Chaises en libuyu</t>
  </si>
  <si>
    <t>Tablettes</t>
  </si>
  <si>
    <t>3.2. Activité Appuyer le retour du Mwami à Kikuku</t>
  </si>
  <si>
    <t>Ticket avion aller - retour</t>
  </si>
  <si>
    <t xml:space="preserve">Location véhicule </t>
  </si>
  <si>
    <t>Restauration et pause- café</t>
  </si>
  <si>
    <t>Sous total 3.2.</t>
  </si>
  <si>
    <t>4. COORDINATION  DES ACTIVITES DU PROJET NJIA</t>
  </si>
  <si>
    <t>2x Atelier de planification des activités; recolte des resultats membre du consortium et Partenaires de mise en œuvre du projet Njia</t>
  </si>
  <si>
    <t>location salle 3 jours x2</t>
  </si>
  <si>
    <t>pause café</t>
  </si>
  <si>
    <t>Repas</t>
  </si>
  <si>
    <t>Sous total 4</t>
  </si>
  <si>
    <t>4.2 Visites de suivi des activités de projets de stabilisation sur terrain par les Ministères sectoriels de la  province &amp; ST</t>
  </si>
  <si>
    <t>Sous-total 4.2</t>
  </si>
  <si>
    <t>Sous Total 4.3</t>
  </si>
  <si>
    <t>6. Rapport final du projet</t>
  </si>
  <si>
    <t xml:space="preserve">forfait </t>
  </si>
  <si>
    <t>Sous Total 6</t>
  </si>
  <si>
    <t>Admin</t>
  </si>
  <si>
    <t>Chauffeur</t>
  </si>
  <si>
    <t>6 mois</t>
  </si>
  <si>
    <t>1.2.2. Organiser des Tribune d"expression populaire (TEP) et magazine sur les questions securitaires</t>
  </si>
  <si>
    <t>1.4.1.1 Atelier avec les représentants des paysans des Bashali à Kitshanga</t>
  </si>
  <si>
    <t xml:space="preserve">1.4.1.3 Atelier avec les représentants des paysans de Bwito </t>
  </si>
  <si>
    <t>S.Total</t>
  </si>
  <si>
    <t>Activité 1.4.3. Formation des pépinieristes et des paysans sur les nouvelles techniques agricoles</t>
  </si>
  <si>
    <t>Partner</t>
  </si>
  <si>
    <t>POLE</t>
  </si>
  <si>
    <t>ASP</t>
  </si>
  <si>
    <t>ALERT</t>
  </si>
  <si>
    <t>Activité 2.1.2. Monter et diffuser des émission en rapport avec la sécurité et la paix dans la zone (TEP, Magazines et autres)</t>
  </si>
  <si>
    <t>Produit 2.2 Les leaders communautaires   et autorités locales s'impliquent dans les initiatives de renforcement de la sécurité des populations civiles dans les Bashali</t>
  </si>
  <si>
    <t>Activité 2.2.2. Plaidoyer auprès des autorités locales sur les plans d’action par le CEI de Bashali</t>
  </si>
  <si>
    <t>Produit 3.1 Les leaders politiques au niveau provincial et national s'impliquent dans les initiatives de renforcement de la sécurité des populations civiles dans le Bwito</t>
  </si>
  <si>
    <t>AAP</t>
  </si>
  <si>
    <t>Produit 3.2 Les leaders communautaires et  les autorités locales   s'impliquent dans les initiatives de renforcement de la sécurité des populations civiles dans les Bwito</t>
  </si>
  <si>
    <t xml:space="preserve">Activité 3.2.4. Ateliers des sensibilisations des responsables des FARDC, de la police et des services de sécurité sur le respect des droits des populations civiles </t>
  </si>
  <si>
    <t>Activité 3.2.5. Construction du commissariat de PNC à Kikuku</t>
  </si>
  <si>
    <t>3.2.6 Activité Equipement de la maison du Mwami de Bwito à Kikuku</t>
  </si>
  <si>
    <t>3.2.7 Activité Appuyer le retour du Mwami à Kikuku</t>
  </si>
  <si>
    <t>3.2.9 Visites de suivi des activités de projets de stabilisation sur terrain par les Ministères sectoriels de la  province &amp; ST</t>
  </si>
  <si>
    <t>3.2.10 Plaidoyer auprès des autorités Provinciales, nationales (Ministères sectoriels et STAREC) sur l'état d'avancement du projet Njia et Engagement politique (Voyage de validation de site de construction, plaidoyer à Kinshasa au ministère de l'intérieur et autres ministères sectoriels)</t>
  </si>
  <si>
    <t xml:space="preserve">Project Officer </t>
  </si>
  <si>
    <t>Project Manager</t>
  </si>
  <si>
    <t>Monitoring &amp; Evaluation Officer 70%</t>
  </si>
  <si>
    <t>B.1.4</t>
  </si>
  <si>
    <t>Monitoring &amp; Evaluation Manager 20%</t>
  </si>
  <si>
    <t>B.1.6</t>
  </si>
  <si>
    <t>B.1.7</t>
  </si>
  <si>
    <t>Administrators Goma 15%</t>
  </si>
  <si>
    <t>B.1.8</t>
  </si>
  <si>
    <t>Assistant Logisticians Goma  15%</t>
  </si>
  <si>
    <t>B.1.9</t>
  </si>
  <si>
    <t xml:space="preserve">Drivers Goma  80% </t>
  </si>
  <si>
    <t>B.1.10</t>
  </si>
  <si>
    <t>Office cleaners Goma  25%</t>
  </si>
  <si>
    <t>B.1.11</t>
  </si>
  <si>
    <t>Gardinier/Cuisinier 30%</t>
  </si>
  <si>
    <t>B.1.12</t>
  </si>
  <si>
    <t>DRC Country Manager 8%</t>
  </si>
  <si>
    <t>B.1.13</t>
  </si>
  <si>
    <t>DRC Peacebuilding Portfolio Manager 8%</t>
  </si>
  <si>
    <t>B.1.14</t>
  </si>
  <si>
    <t>DRC Finance Manager 8%</t>
  </si>
  <si>
    <t>B.1.15</t>
  </si>
  <si>
    <t>Operations Coordinator 10%</t>
  </si>
  <si>
    <t xml:space="preserve"> Budget Année 2- NCE</t>
  </si>
  <si>
    <r>
      <t xml:space="preserve">Perdiem pour les participants lointains </t>
    </r>
    <r>
      <rPr>
        <sz val="12"/>
        <color indexed="8"/>
        <rFont val="Calibri"/>
        <family val="2"/>
      </rPr>
      <t>2</t>
    </r>
    <r>
      <rPr>
        <sz val="12"/>
        <color indexed="8"/>
        <rFont val="Calibri"/>
        <family val="2"/>
      </rPr>
      <t>0</t>
    </r>
  </si>
  <si>
    <r>
      <t>Activité 1.4.3. Formation des pépinieristes et des paysans sur les</t>
    </r>
    <r>
      <rPr>
        <sz val="12"/>
        <color indexed="8"/>
        <rFont val="Calibri"/>
        <family val="2"/>
      </rPr>
      <t xml:space="preserve"> nouvelles</t>
    </r>
    <r>
      <rPr>
        <sz val="12"/>
        <color indexed="8"/>
        <rFont val="Calibri"/>
        <family val="2"/>
      </rPr>
      <t xml:space="preserve"> techniques agricoles</t>
    </r>
  </si>
  <si>
    <r>
      <t xml:space="preserve">Transport </t>
    </r>
    <r>
      <rPr>
        <sz val="12"/>
        <color indexed="8"/>
        <rFont val="Calibri"/>
        <family val="2"/>
      </rPr>
      <t>Trois Bami:Bashali,Kaembe,Kalekene</t>
    </r>
  </si>
  <si>
    <r>
      <t xml:space="preserve">Perdiem </t>
    </r>
    <r>
      <rPr>
        <sz val="12"/>
        <color indexed="8"/>
        <rFont val="Calibri"/>
        <family val="2"/>
      </rPr>
      <t>trois Bami</t>
    </r>
  </si>
  <si>
    <r>
      <t xml:space="preserve">Logement </t>
    </r>
    <r>
      <rPr>
        <sz val="12"/>
        <color indexed="8"/>
        <rFont val="Calibri"/>
        <family val="2"/>
      </rPr>
      <t xml:space="preserve">staffs ASP,Alert </t>
    </r>
  </si>
  <si>
    <r>
      <t xml:space="preserve">Billet avion </t>
    </r>
    <r>
      <rPr>
        <sz val="12"/>
        <color indexed="8"/>
        <rFont val="Calibri"/>
        <family val="2"/>
      </rPr>
      <t>équipe ASP et Alert A/R</t>
    </r>
    <r>
      <rPr>
        <sz val="12"/>
        <color indexed="8"/>
        <rFont val="Calibri"/>
        <family val="2"/>
      </rPr>
      <t xml:space="preserve"> </t>
    </r>
  </si>
  <si>
    <r>
      <t xml:space="preserve">Perdiem </t>
    </r>
    <r>
      <rPr>
        <sz val="12"/>
        <color indexed="8"/>
        <rFont val="Calibri"/>
        <family val="2"/>
      </rPr>
      <t>équipe ASP et Alert</t>
    </r>
  </si>
  <si>
    <r>
      <t>Location véhicule équi</t>
    </r>
    <r>
      <rPr>
        <sz val="12"/>
        <color indexed="8"/>
        <rFont val="Calibri"/>
        <family val="2"/>
      </rPr>
      <t>pe ASP,Alert et GPPM</t>
    </r>
  </si>
  <si>
    <r>
      <t xml:space="preserve">Transport participants </t>
    </r>
    <r>
      <rPr>
        <sz val="12"/>
        <color indexed="8"/>
        <rFont val="Calibri"/>
        <family val="2"/>
      </rPr>
      <t>local</t>
    </r>
  </si>
  <si>
    <r>
      <t xml:space="preserve">Transport participants venus de </t>
    </r>
    <r>
      <rPr>
        <sz val="12"/>
        <color indexed="8"/>
        <rFont val="Calibri"/>
        <family val="2"/>
      </rPr>
      <t>Lukweti et Mpeti</t>
    </r>
  </si>
  <si>
    <r>
      <t>Perdiem 2 AT,3 Bami et 2 Honorables,</t>
    </r>
    <r>
      <rPr>
        <sz val="12"/>
        <color indexed="8"/>
        <rFont val="Calibri"/>
        <family val="2"/>
      </rPr>
      <t>1</t>
    </r>
    <r>
      <rPr>
        <sz val="12"/>
        <color indexed="8"/>
        <rFont val="Calibri"/>
        <family val="2"/>
      </rPr>
      <t xml:space="preserve"> Ministres</t>
    </r>
  </si>
  <si>
    <r>
      <t xml:space="preserve">Activité 2.2.7. Appui </t>
    </r>
    <r>
      <rPr>
        <sz val="12"/>
        <color indexed="8"/>
        <rFont val="Calibri"/>
        <family val="2"/>
      </rPr>
      <t xml:space="preserve">à la </t>
    </r>
    <r>
      <rPr>
        <sz val="12"/>
        <color indexed="8"/>
        <rFont val="Calibri"/>
        <family val="2"/>
      </rPr>
      <t>pérennisation des acquis du projet Njia</t>
    </r>
  </si>
  <si>
    <r>
      <t>Activité</t>
    </r>
    <r>
      <rPr>
        <sz val="12"/>
        <color indexed="8"/>
        <rFont val="Calibri"/>
        <family val="2"/>
      </rPr>
      <t xml:space="preserve"> 2.2.8</t>
    </r>
    <r>
      <rPr>
        <sz val="12"/>
        <color indexed="8"/>
        <rFont val="Calibri"/>
        <family val="2"/>
      </rPr>
      <t xml:space="preserve"> : Appui au GPPM, STAREC et Ministère sectoriels</t>
    </r>
  </si>
  <si>
    <t>Contribution location bureau</t>
  </si>
  <si>
    <t>Senior Finance and Grant Compliance Officer 25%</t>
  </si>
  <si>
    <t xml:space="preserve">Rideau et Nettoyage </t>
  </si>
  <si>
    <t>4.3 Plaidoyer auprès des autorités Locales,  Provinciales, nationales (Ministères sectoriels et STAREC) sur l'état d'avancement du projet Njia et Engagement politique (Voyage de validation de site de construction, plaidoyer à Kinshasa au ministère de l'intérieur et autres ministères sectoriels)</t>
  </si>
  <si>
    <t xml:space="preserve">Perdiems </t>
  </si>
  <si>
    <t>1 TPs sur la securité</t>
  </si>
  <si>
    <t>01/01/2019-31/01/2021</t>
  </si>
  <si>
    <t>Activité 2.2.4. Organiser deux ateliers de dialogues intergénérationnels entre les jeunes issus de groupes armés, les jeunes qui n’ont jamais intégrés les groupes armés, les notables locaux et certains anciens leaders de groupes armés reconvertis on commencera par des dialogues intragroupes avant d'arriver aux dialogues intergénérationnels)</t>
  </si>
  <si>
    <t>Activité 2.2.6. Appuyer la Chefferie des Bashali dans la rehabilitation du Pont Ifofa de Pinga decidé par la reunion mixte du comité de securité facilité par le projet en 2019 à Pinga</t>
  </si>
  <si>
    <t>Activité 2.2.7. Organiser la rencontre de finalisation du conflit entre Hunde et Nyanga sur l'assassinat du Mwami Ngulu Maneno à Mutongo</t>
  </si>
  <si>
    <t>Activité 2.2.8 Appui au fonctionnement des structures communauatires de paix et du Cadre Echange et d'Information</t>
  </si>
  <si>
    <t>Activité 2.2.9. Appui à la pérennisation des acquis du projet Njia</t>
  </si>
  <si>
    <t>Activité 2.2.10 : Appui au GPPM, STAREC et Ministère sectoriels</t>
  </si>
  <si>
    <t>Activité 2.2.11. Appui en kits solaire et informatique au centre de jeune de Bashali</t>
  </si>
  <si>
    <t>3.2.8- 1Atelier de planification des activités; recolte des resultats membre du consortium et Partenaires de mise en œuvre du projet Njia</t>
  </si>
  <si>
    <t>B.1.3</t>
  </si>
  <si>
    <t>B.1.5</t>
  </si>
  <si>
    <t>G.1.2</t>
  </si>
  <si>
    <t>G.1.3</t>
  </si>
  <si>
    <t>LOE</t>
  </si>
  <si>
    <t>Cordinateur (20%)</t>
  </si>
  <si>
    <t>Directeur de la Radio (20% de son salaire)</t>
  </si>
  <si>
    <t>Animateur (50%)</t>
  </si>
  <si>
    <t>Chef de projet (50%)</t>
  </si>
  <si>
    <t>Chef service administration et logistique (20%)</t>
  </si>
  <si>
    <t>Chef service Finance (25%)</t>
  </si>
  <si>
    <t>Assistant financier (25%)</t>
  </si>
  <si>
    <t>Foner, carte d'entrée (10%)</t>
  </si>
  <si>
    <t>carburant (15%)</t>
  </si>
  <si>
    <t>Autres services(electricité-Eau, etc) 15%)</t>
  </si>
  <si>
    <t>communication et internet (15%)</t>
  </si>
  <si>
    <t>Budget for:</t>
  </si>
  <si>
    <t>Njia Za Makubaliano : Les Chemins vers les Accords- 2eme Phase</t>
  </si>
  <si>
    <t>Base Currency:</t>
  </si>
  <si>
    <t>Second Currency:</t>
  </si>
  <si>
    <t>GBP</t>
  </si>
  <si>
    <t>Exchange Rate for Budget:</t>
  </si>
  <si>
    <t>Project Code Funder:</t>
  </si>
  <si>
    <t>AFR000</t>
  </si>
  <si>
    <t>Fund Code International Alert:</t>
  </si>
  <si>
    <t>Programme:</t>
  </si>
  <si>
    <t>Africa</t>
  </si>
  <si>
    <t>Programme Manager:</t>
  </si>
  <si>
    <t>Massimo Fusato</t>
  </si>
  <si>
    <t>Budget Holder</t>
  </si>
  <si>
    <t>Project Title:</t>
  </si>
  <si>
    <t>01/01/2019-30/06/2020</t>
  </si>
  <si>
    <t>Number of months in Funding</t>
  </si>
  <si>
    <t>18</t>
  </si>
  <si>
    <t>Overheads Contribution requested:</t>
  </si>
  <si>
    <t>Date of Proposal</t>
  </si>
  <si>
    <t>05.12.2018</t>
  </si>
  <si>
    <t>Budget Année 1</t>
  </si>
  <si>
    <t xml:space="preserve"> Budget Année 2</t>
  </si>
  <si>
    <t>BUDGET TOTAL ORIGINAL</t>
  </si>
  <si>
    <t>Actual Jan 19-Jan 20</t>
  </si>
  <si>
    <t>Projection Feb-June 2020</t>
  </si>
  <si>
    <t>12 Mois</t>
  </si>
  <si>
    <t>6 Mois</t>
  </si>
  <si>
    <t>18 Mois</t>
  </si>
  <si>
    <t>%</t>
  </si>
  <si>
    <t xml:space="preserve">Produit 1.1. Négociations spécifiques pour faciliter l’accès à la terre aux paysans sans terre dans les Bashali </t>
  </si>
  <si>
    <t>Activité 1.1.1. Ateliers de négociations entre les concessionnaires et les paysans sans terre</t>
  </si>
  <si>
    <t xml:space="preserve">Activité 1.1.2 Plaidoyer au niveau local,provincial, national et/ou régional  </t>
  </si>
  <si>
    <t>Activité 1.2.1. Production des émissions Radio</t>
  </si>
  <si>
    <t xml:space="preserve">1.4.1. Appui aux initiatives économiques sur les terres négociées avec les concessionnaires </t>
  </si>
  <si>
    <t>Activité 2.1.2. Visites de suivi des activités de projets de stabilisation sur terrain par le conseil consultatif provincial</t>
  </si>
  <si>
    <t>Activité 2.1.3. Activité de redevabilité/suivi des engagements des parties issues des ateliers avec les groupes armés sur la sécurité </t>
  </si>
  <si>
    <t>Nouvelle activite</t>
  </si>
  <si>
    <t>Organiser des sessions d’écoute des jeunes (mini dialogue pour jeunes ex combattants, et pour les jeunes non combattants et autres membres de la communauté) de ces jeunes issus des GA</t>
  </si>
  <si>
    <t>Produit 2.2 Les leaders communautaires et des groupes armés s'impliquent dans les initiatives de renforcement de la sécurité des populations civiles dans les Bashali</t>
  </si>
  <si>
    <t>Activité 2.2.1. Ateliers avec les leaders des groupes armés autour de la sécurisation des populations et de leur reddition</t>
  </si>
  <si>
    <t>Organiser des espaces de dialogues entre les deux groupes</t>
  </si>
  <si>
    <t xml:space="preserve">Activité 2.2.2 Sensibilisation des groupes armés pour leur reddition et la facilitation de la sécurisation </t>
  </si>
  <si>
    <t>Organiser des tribunes d’expression populaires entre les jeunes qui ont quitté les groupes armés et ceux qui ne les ont jamais intégrés et les élus de la province</t>
  </si>
  <si>
    <t>Organiser des formations en transformation sociale et politique non violente, résistance à la manipulation politique avec les jeunes issus de GA et des jeunes n’ont jamais intégré les GA</t>
  </si>
  <si>
    <t>Organiser deux ateliers de dialogues intergénérationnels entre les jeunes issus de GA, les jeunes qui n’ont jamais intégrés les groupes armés, les notables locaux et certains anciens leaders de groupes armés reconvertis</t>
  </si>
  <si>
    <t>Activité 2.2.3. Suivre la mise en œuvre des prioritaires de la table ronde de Bashali</t>
  </si>
  <si>
    <t>Activité 2.2.4. Plaidoyer auprès des autorités locales sur les plans d’action par le CEI de Bashali</t>
  </si>
  <si>
    <t>Activité 2.2.5. Appui matériel pour la réhabilitation et l’équipement du centre pour jeunes de Bashali</t>
  </si>
  <si>
    <r>
      <t>ü</t>
    </r>
    <r>
      <rPr>
        <sz val="7"/>
        <color indexed="8"/>
        <rFont val="Times New Roman"/>
        <family val="1"/>
      </rPr>
      <t xml:space="preserve">  </t>
    </r>
    <r>
      <rPr>
        <sz val="11"/>
        <color indexed="8"/>
        <rFont val="Calibri"/>
        <family val="2"/>
      </rPr>
      <t>Activité 3.1.2. Visites de suivi des activités de projets de stabilisation sur terrain par le conseil consultatif provincial</t>
    </r>
  </si>
  <si>
    <t xml:space="preserve"> Activité 3.1.2. Visites de suivi des activités de projets de stabilisation sur terrain par le conseil consultatif provincial</t>
  </si>
  <si>
    <t>Activité 3.1.3. Activité de redevabilité/suivi des engagements des parties issues des ateliers avec les groupes armés sur la sécurité </t>
  </si>
  <si>
    <t xml:space="preserve">Activité 3.2.1 Sensibiliser les groupes armés à déposer les armes et en cas de résistance, ils seront traqués par le gouvernement  </t>
  </si>
  <si>
    <t>Activité 3.2.2 Ateliers avec les leaders des groupes armés autour de la sécurisation des populations et de leur reddition</t>
  </si>
  <si>
    <t>Activité 3.2.3 Fonds flexibles pour répondre à toute eventualité des groupes armés (par exemple pour discuter de leurs cahiers de charge) dans le Bwito et Bashali.</t>
  </si>
  <si>
    <t xml:space="preserve">Activité 3.2.4.1 Ouvrir les routes des dessertes agricoles et créer de projets intégrateurs en vue de promouvoir l’emploi à la jeunesse (projets HIMO).  </t>
  </si>
  <si>
    <t xml:space="preserve"> Activité 3.2.4.2 Renforcer le centre d’encadrement des jeunes.   </t>
  </si>
  <si>
    <t>Activité 3.2.5. Suivre la mise en œuvre des prioritaires de la table ronde de Bwito</t>
  </si>
  <si>
    <t>Activité 3. 2. 6 Réunions Bimensuelle du cadre d’échange d’information de Bwito</t>
  </si>
  <si>
    <t>A.4.3</t>
  </si>
  <si>
    <t>Réunion trimestrielle d'apprentissage et de planification revue à mi-parcours</t>
  </si>
  <si>
    <t>Senior Finance and Grant Compliance Officer 5%</t>
  </si>
  <si>
    <t>Finance Officers 25%</t>
  </si>
  <si>
    <t>B.1.18</t>
  </si>
  <si>
    <t xml:space="preserve">Staff Recruitment </t>
  </si>
  <si>
    <t>B.1.19</t>
  </si>
  <si>
    <t>B.1.20</t>
  </si>
  <si>
    <t>Catégories de dépense</t>
  </si>
  <si>
    <t xml:space="preserve"> budget approuvé </t>
  </si>
  <si>
    <t xml:space="preserve"> fonds additionels demandés  </t>
  </si>
  <si>
    <t xml:space="preserve"> total  </t>
  </si>
  <si>
    <t xml:space="preserve">pourcentage </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</si>
  <si>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</si>
  <si>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</si>
  <si>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</si>
  <si>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</si>
  <si>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</si>
  <si>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</si>
  <si>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</si>
  <si>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</si>
  <si>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8. Coûts indirects*</t>
  </si>
  <si>
    <t xml:space="preserve">TOTAL PNUNO </t>
  </si>
  <si>
    <t>9. Frais d’Agent de Gestion (8%)</t>
  </si>
  <si>
    <t xml:space="preserve">10. Total Budget du Projet </t>
  </si>
  <si>
    <t xml:space="preserve">fonds additionels demandés  </t>
  </si>
  <si>
    <t>Revised Budget Janvier 2019- Juin 2020</t>
  </si>
  <si>
    <t>fonds additionels demandés  Juillet 20- Decembre 2020</t>
  </si>
  <si>
    <t>Comments</t>
  </si>
  <si>
    <t>Nouvelle activité</t>
  </si>
  <si>
    <t>(a) Nom de l'organisation:</t>
  </si>
  <si>
    <t>(b) Titre du Projet:</t>
  </si>
  <si>
    <t xml:space="preserve">(c) Pour la Periode: </t>
  </si>
  <si>
    <t>(e) GMS 8% Agent de Gestion (USD):</t>
  </si>
  <si>
    <t xml:space="preserve">(f) Budget TOTAL </t>
  </si>
  <si>
    <t xml:space="preserve">Total des Couts Indirects </t>
  </si>
  <si>
    <t>Couts total pour PUNO/PNUNO</t>
  </si>
  <si>
    <t xml:space="preserve">Couts GMS 8% pour Agent de Gestion </t>
  </si>
  <si>
    <t>* A completer par les agences des Nations Unies. Voir la note explicative sur l’élaboration d’un budget à soumettre au Fonds de Cohérence pour la Stabilisation.</t>
  </si>
  <si>
    <t>PNUNOs</t>
  </si>
  <si>
    <t xml:space="preserve">Couts programmatique </t>
  </si>
  <si>
    <t xml:space="preserve">Couts indirect </t>
  </si>
  <si>
    <t>Total PNUNOs</t>
  </si>
  <si>
    <t>Cout GMS AG (PNUD) 7%</t>
  </si>
  <si>
    <t xml:space="preserve">Cout d'audit 1% </t>
  </si>
  <si>
    <t>PUNO</t>
  </si>
  <si>
    <t>Programme cost</t>
  </si>
  <si>
    <t>Indirect cost</t>
  </si>
  <si>
    <t xml:space="preserve">Total PUNO </t>
  </si>
  <si>
    <t>International Alert</t>
  </si>
  <si>
    <t>Janvier 2019- Decembre 2020</t>
  </si>
  <si>
    <r>
      <t xml:space="preserve">SOUS-TOTAL COUTS DIRECTS LIES AUX ACTIVITES </t>
    </r>
    <r>
      <rPr>
        <sz val="11"/>
        <color indexed="10"/>
        <rFont val="Calibri"/>
        <family val="2"/>
      </rPr>
      <t>(au minimum 60% du budget total)</t>
    </r>
  </si>
  <si>
    <r>
      <t xml:space="preserve">SOUS-TOTAL COUTS DIRECTS DE SOUTIEN </t>
    </r>
    <r>
      <rPr>
        <sz val="11"/>
        <color indexed="10"/>
        <rFont val="Calibri"/>
        <family val="2"/>
      </rPr>
      <t>(ne peuvent représentés plus de 35% du budget total)</t>
    </r>
  </si>
  <si>
    <r>
      <t xml:space="preserve">SOUS-TOTAL COUTS DIRECTS LIES AUX ACTIVITES </t>
    </r>
    <r>
      <rPr>
        <sz val="10"/>
        <color indexed="10"/>
        <rFont val="Calibri"/>
        <family val="2"/>
      </rPr>
      <t>(au minimum 60% du budget total)</t>
    </r>
  </si>
  <si>
    <r>
      <t xml:space="preserve">SOUS-TOTAL COUTS DIRECTS DE SOUTIEN </t>
    </r>
    <r>
      <rPr>
        <sz val="10"/>
        <color indexed="10"/>
        <rFont val="Calibri"/>
        <family val="2"/>
      </rPr>
      <t>(ne peuvent représentés plus de 35% du budget total)</t>
    </r>
  </si>
  <si>
    <r>
      <t xml:space="preserve">Cout Indirects </t>
    </r>
    <r>
      <rPr>
        <sz val="10"/>
        <color indexed="10"/>
        <rFont val="Calibri"/>
        <family val="2"/>
      </rPr>
      <t>7%</t>
    </r>
  </si>
  <si>
    <r>
      <t xml:space="preserve">Cout GMS </t>
    </r>
    <r>
      <rPr>
        <sz val="11"/>
        <color indexed="10"/>
        <rFont val="Calibri"/>
        <family val="2"/>
      </rPr>
      <t>7%</t>
    </r>
  </si>
  <si>
    <t xml:space="preserve">Activité 1.2.1. Monter et diffuser des émissions radio en rapport avec la thématique "accès à la terre" </t>
  </si>
  <si>
    <t>1.2.3.1 Organiser les magazines sur le foncier</t>
  </si>
  <si>
    <t>1.4.1.2 Atelier avec les représentants des paysans sans terre de pinga</t>
  </si>
  <si>
    <t>Activité 1.4.5. Appuyuer le lancement des 6 pepinières de the/café/Cacao à raison de 2 à Kitshanga, 2 à Bwito et 2 à Pinga</t>
  </si>
  <si>
    <t>Activité 1.4.6. Appuyuer Lancement des 6 pepinières de the/café/Cacao à raison de 2 à Kitshanga, 2 à Bwito et 2 à Pinga</t>
  </si>
  <si>
    <t>2.2.5. Organiser à l' intention des structures locales de paix sessions de renforcement des capacités en analyse de contexte, analyse sensible aux conflits, conduite des actions de plaidoyer et communication - sensibilisation (avec un accent particulier sur le foncier)</t>
  </si>
  <si>
    <t>Sous Total 4.4</t>
  </si>
  <si>
    <t xml:space="preserve">4.4. évaluation des deux plans d’actions issus des deux tables rondes tenues dans le Bashali et Rutshuru </t>
  </si>
  <si>
    <t xml:space="preserve">3.2.11 évaluation des deux plans d’actions issus des deux tables rondes tenues dans le Bashali et Rutshuru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</si>
</sst>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C&quot;;\-#,##0\ &quot;FC&quot;"/>
    <numFmt numFmtId="165" formatCode="#,##0\ &quot;FC&quot;;[Red]\-#,##0\ &quot;FC&quot;"/>
    <numFmt numFmtId="166" formatCode="#,##0.00\ &quot;FC&quot;;\-#,##0.00\ &quot;FC&quot;"/>
    <numFmt numFmtId="167" formatCode="#,##0.00\ &quot;FC&quot;;[Red]\-#,##0.00\ &quot;FC&quot;"/>
    <numFmt numFmtId="168" formatCode="_-* #,##0\ &quot;FC&quot;_-;\-* #,##0\ &quot;FC&quot;_-;_-* &quot;-&quot;\ &quot;FC&quot;_-;_-@_-"/>
    <numFmt numFmtId="169" formatCode="_-* #,##0.00\ &quot;FC&quot;_-;\-* #,##0.00\ &quot;FC&quot;_-;_-* &quot;-&quot;??\ &quot;FC&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00\ &quot;€&quot;_-;\-* #,##0.00\ &quot;€&quot;_-;_-* &quot;-&quot;??\ &quot;€&quot;_-;_-@_-"/>
    <numFmt numFmtId="179" formatCode="_-* #,##0.00\ _€_-;\-* #,##0.00\ _€_-;_-* &quot;-&quot;??\ _€_-;_-@_-"/>
    <numFmt numFmtId="180" formatCode="_-[$$-409]* #,##0_ ;_-[$$-409]* \-#,##0\ ;_-[$$-409]* &quot;-&quot;??_ ;_-@_ "/>
    <numFmt numFmtId="181" formatCode="_ * #,##0_ ;_ * \-#,##0_ ;_ * &quot;-&quot;??_ ;_ @_ "/>
    <numFmt numFmtId="182" formatCode="_-[$$-409]* #,##0.00_ ;_-[$$-409]* \-#,##0.00\ ;_-[$$-409]* &quot;-&quot;??_ ;_-@_ "/>
    <numFmt numFmtId="183" formatCode="_-* #,##0_-;\-* #,##0_-;_-* &quot;-&quot;??_-;_-@_-"/>
    <numFmt numFmtId="184" formatCode="0.0%"/>
    <numFmt numFmtId="185" formatCode="_([$$-409]* #,##0.00_);_([$$-409]* \(#,##0.00\);_([$$-409]* &quot;-&quot;??_);_(@_)"/>
    <numFmt numFmtId="186" formatCode="_-* #,##0.000\ _€_-;\-* #,##0.000\ _€_-;_-* &quot;-&quot;??\ _€_-;_-@_-"/>
    <numFmt numFmtId="187" formatCode="_-* #,##0.0\ _€_-;\-* #,##0.0\ _€_-;_-* &quot;-&quot;??\ _€_-;_-@_-"/>
    <numFmt numFmtId="188" formatCode="_-* #,##0\ _€_-;\-* #,##0\ _€_-;_-* &quot;-&quot;??\ _€_-;_-@_-"/>
    <numFmt numFmtId="189" formatCode="0.000000"/>
    <numFmt numFmtId="190" formatCode="0.00000"/>
    <numFmt numFmtId="191" formatCode="0.0000"/>
    <numFmt numFmtId="192" formatCode="0.000"/>
    <numFmt numFmtId="193" formatCode="0.0"/>
    <numFmt numFmtId="194" formatCode="_(* #.##0.00_);_(* \(#.##0.00\);_(* &quot;-&quot;??_);_(@_)"/>
    <numFmt numFmtId="195" formatCode="_([$$-409]* #.##0.00_);_([$$-409]* \(#.##0.00\);_([$$-409]* &quot;-&quot;??_);_(@_)"/>
    <numFmt numFmtId="196" formatCode="_(* #.##0.00000_);_(* \(#.##0.00000\);_(* &quot;-&quot;?????_);_(@_)"/>
    <numFmt numFmtId="197" formatCode="_(* #.##0.0000_);_(* \(#.##0.0000\);_(* &quot;-&quot;?????_);_(@_)"/>
    <numFmt numFmtId="198" formatCode="_(* #.##0.000_);_(* \(#.##0.000\);_(* &quot;-&quot;?????_);_(@_)"/>
    <numFmt numFmtId="199" formatCode="_(* #.##0.00_);_(* \(#.##0.00\);_(* &quot;-&quot;?????_);_(@_)"/>
    <numFmt numFmtId="200" formatCode="_(* #.##0.0_);_(* \(#.##0.0\);_(* &quot;-&quot;?????_);_(@_)"/>
    <numFmt numFmtId="201" formatCode="_(* #.##0._);_(* \(#.##0.\);_(* &quot;-&quot;?????_);_(@_)"/>
    <numFmt numFmtId="202" formatCode="_(* #.##._);_(* \(#.##.\);_(* &quot;-&quot;?????_);_(@_ⴆ"/>
    <numFmt numFmtId="203" formatCode="[$$-C09]#,##0"/>
    <numFmt numFmtId="204" formatCode="&quot;£&quot;#,##0.00"/>
    <numFmt numFmtId="205" formatCode="[$$-409]#,##0.00"/>
    <numFmt numFmtId="206" formatCode="_-[$€-2]\ * #,##0.00_-;\-[$€-2]\ * #,##0.00_-;_-[$€-2]\ * &quot;-&quot;??_-;_-@_-"/>
    <numFmt numFmtId="207" formatCode="&quot;Yes&quot;;&quot;Yes&quot;;&quot;No&quot;"/>
    <numFmt numFmtId="208" formatCode="&quot;True&quot;;&quot;True&quot;;&quot;False&quot;"/>
    <numFmt numFmtId="209" formatCode="&quot;On&quot;;&quot;On&quot;;&quot;Off&quot;"/>
    <numFmt numFmtId="210" formatCode="[$€-2]\ #,##0.00_);[Red]\([$€-2]\ #,##0.00\)"/>
    <numFmt numFmtId="211" formatCode="_ * #,##0.00_ ;_ * \-#,##0.00_ ;_ * &quot;-&quot;??_ ;_ @_ "/>
    <numFmt numFmtId="212" formatCode="_ * #,##0.0_ ;_ * \-#,##0.0_ ;_ * &quot;-&quot;??_ ;_ @_ "/>
    <numFmt numFmtId="213" formatCode="#,##0.00_ ;\-#,##0.00\ "/>
    <numFmt numFmtId="214" formatCode="#,##0.0;\-#,##0.0"/>
  </numFmts>
  <fonts count="117">
    <font>
      <sz val="11"/>
      <color theme="1"/>
      <name val="Calibri"/>
      <family val="2"/>
    </font>
    <font>
      <sz val="11"/>
      <color indexed="8"/>
      <name val="Calibri"/>
      <family val="2"/>
    </font>
    <font>
      <sz val="10"/>
      <name val="Arial"/>
      <family val="2"/>
    </font>
    <font>
      <b/>
      <sz val="10"/>
      <name val="Arial"/>
      <family val="2"/>
    </font>
    <font>
      <b/>
      <sz val="9"/>
      <name val="Tahoma"/>
      <family val="2"/>
    </font>
    <font>
      <sz val="9"/>
      <name val="Tahoma"/>
      <family val="2"/>
    </font>
    <font>
      <sz val="12"/>
      <color indexed="8"/>
      <name val="Calibri Light"/>
      <family val="2"/>
    </font>
    <font>
      <sz val="12"/>
      <color indexed="8"/>
      <name val="Calibri"/>
      <family val="2"/>
    </font>
    <font>
      <b/>
      <sz val="10"/>
      <color indexed="9"/>
      <name val="Arial"/>
      <family val="2"/>
    </font>
    <font>
      <sz val="7"/>
      <color indexed="8"/>
      <name val="Times New Roman"/>
      <family val="1"/>
    </font>
    <font>
      <sz val="11"/>
      <color indexed="10"/>
      <name val="Calibri"/>
      <family val="2"/>
    </font>
    <font>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0"/>
      <name val="Calibri"/>
      <family val="2"/>
    </font>
    <font>
      <b/>
      <sz val="10"/>
      <name val="Calibri"/>
      <family val="2"/>
    </font>
    <font>
      <sz val="11"/>
      <name val="Calibri"/>
      <family val="2"/>
    </font>
    <font>
      <b/>
      <i/>
      <sz val="10"/>
      <name val="Calibri"/>
      <family val="2"/>
    </font>
    <font>
      <sz val="10"/>
      <color indexed="8"/>
      <name val="Calibri"/>
      <family val="2"/>
    </font>
    <font>
      <b/>
      <sz val="10"/>
      <color indexed="8"/>
      <name val="Calibri"/>
      <family val="2"/>
    </font>
    <font>
      <sz val="9"/>
      <color indexed="10"/>
      <name val="Calibri"/>
      <family val="2"/>
    </font>
    <font>
      <b/>
      <i/>
      <sz val="10"/>
      <color indexed="10"/>
      <name val="Calibri"/>
      <family val="2"/>
    </font>
    <font>
      <b/>
      <sz val="11"/>
      <color indexed="10"/>
      <name val="Calibri"/>
      <family val="2"/>
    </font>
    <font>
      <b/>
      <i/>
      <sz val="10"/>
      <color indexed="8"/>
      <name val="Calibri"/>
      <family val="2"/>
    </font>
    <font>
      <i/>
      <sz val="10"/>
      <color indexed="10"/>
      <name val="Calibri"/>
      <family val="2"/>
    </font>
    <font>
      <i/>
      <sz val="10"/>
      <color indexed="8"/>
      <name val="Calibri"/>
      <family val="2"/>
    </font>
    <font>
      <b/>
      <sz val="11"/>
      <color indexed="22"/>
      <name val="Calibri"/>
      <family val="2"/>
    </font>
    <font>
      <b/>
      <sz val="9"/>
      <color indexed="8"/>
      <name val="Calibri"/>
      <family val="2"/>
    </font>
    <font>
      <b/>
      <sz val="12"/>
      <color indexed="8"/>
      <name val="Calibri"/>
      <family val="2"/>
    </font>
    <font>
      <b/>
      <i/>
      <sz val="11"/>
      <color indexed="8"/>
      <name val="Calibri"/>
      <family val="2"/>
    </font>
    <font>
      <b/>
      <i/>
      <sz val="12"/>
      <color indexed="8"/>
      <name val="Calibri"/>
      <family val="2"/>
    </font>
    <font>
      <b/>
      <i/>
      <sz val="9"/>
      <color indexed="8"/>
      <name val="Calibri"/>
      <family val="2"/>
    </font>
    <font>
      <i/>
      <sz val="11"/>
      <color indexed="8"/>
      <name val="Calibri"/>
      <family val="2"/>
    </font>
    <font>
      <sz val="9"/>
      <color indexed="8"/>
      <name val="Calibri"/>
      <family val="2"/>
    </font>
    <font>
      <sz val="12"/>
      <name val="Calibri"/>
      <family val="2"/>
    </font>
    <font>
      <sz val="9"/>
      <color indexed="8"/>
      <name val="Verdana"/>
      <family val="2"/>
    </font>
    <font>
      <sz val="12"/>
      <color indexed="36"/>
      <name val="Calibri"/>
      <family val="2"/>
    </font>
    <font>
      <b/>
      <sz val="12"/>
      <color indexed="8"/>
      <name val="Calibri Light"/>
      <family val="2"/>
    </font>
    <font>
      <b/>
      <sz val="16"/>
      <color indexed="8"/>
      <name val="Calibri"/>
      <family val="2"/>
    </font>
    <font>
      <sz val="10"/>
      <color indexed="10"/>
      <name val="Arial"/>
      <family val="2"/>
    </font>
    <font>
      <b/>
      <sz val="11"/>
      <name val="Calibri"/>
      <family val="2"/>
    </font>
    <font>
      <b/>
      <sz val="12"/>
      <name val="Calibri"/>
      <family val="2"/>
    </font>
    <font>
      <b/>
      <sz val="10"/>
      <color indexed="10"/>
      <name val="Calibri"/>
      <family val="2"/>
    </font>
    <font>
      <sz val="8"/>
      <name val="Calibri"/>
      <family val="2"/>
    </font>
    <font>
      <sz val="9"/>
      <name val="Calibri"/>
      <family val="2"/>
    </font>
    <font>
      <b/>
      <sz val="8"/>
      <color indexed="8"/>
      <name val="Calibri"/>
      <family val="2"/>
    </font>
    <font>
      <b/>
      <i/>
      <sz val="9"/>
      <name val="Calibri"/>
      <family val="2"/>
    </font>
    <font>
      <b/>
      <i/>
      <sz val="8"/>
      <color indexed="8"/>
      <name val="Calibri"/>
      <family val="2"/>
    </font>
    <font>
      <b/>
      <i/>
      <sz val="11"/>
      <name val="Calibri"/>
      <family val="2"/>
    </font>
    <font>
      <b/>
      <sz val="9"/>
      <name val="Calibri"/>
      <family val="2"/>
    </font>
    <font>
      <b/>
      <sz val="8"/>
      <name val="Calibri"/>
      <family val="2"/>
    </font>
    <font>
      <b/>
      <sz val="12"/>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sz val="9"/>
      <color rgb="FFFF0000"/>
      <name val="Calibri"/>
      <family val="2"/>
    </font>
    <font>
      <b/>
      <i/>
      <sz val="10"/>
      <color rgb="FFFF0000"/>
      <name val="Calibri"/>
      <family val="2"/>
    </font>
    <font>
      <b/>
      <sz val="11"/>
      <color rgb="FFFF0000"/>
      <name val="Calibri"/>
      <family val="2"/>
    </font>
    <font>
      <b/>
      <i/>
      <sz val="10"/>
      <color theme="1"/>
      <name val="Calibri"/>
      <family val="2"/>
    </font>
    <font>
      <i/>
      <sz val="10"/>
      <color rgb="FFFF0000"/>
      <name val="Calibri"/>
      <family val="2"/>
    </font>
    <font>
      <i/>
      <sz val="10"/>
      <color theme="1"/>
      <name val="Calibri"/>
      <family val="2"/>
    </font>
    <font>
      <b/>
      <sz val="11"/>
      <color theme="0" tint="-0.04997999966144562"/>
      <name val="Calibri"/>
      <family val="2"/>
    </font>
    <font>
      <b/>
      <sz val="9"/>
      <color theme="1"/>
      <name val="Calibri"/>
      <family val="2"/>
    </font>
    <font>
      <sz val="12"/>
      <color theme="1"/>
      <name val="Calibri"/>
      <family val="2"/>
    </font>
    <font>
      <b/>
      <sz val="12"/>
      <color theme="1"/>
      <name val="Calibri"/>
      <family val="2"/>
    </font>
    <font>
      <b/>
      <i/>
      <sz val="11"/>
      <color theme="1"/>
      <name val="Calibri"/>
      <family val="2"/>
    </font>
    <font>
      <b/>
      <i/>
      <sz val="12"/>
      <color theme="1"/>
      <name val="Calibri"/>
      <family val="2"/>
    </font>
    <font>
      <b/>
      <i/>
      <sz val="9"/>
      <color theme="1"/>
      <name val="Calibri"/>
      <family val="2"/>
    </font>
    <font>
      <i/>
      <sz val="11"/>
      <color theme="1"/>
      <name val="Calibri"/>
      <family val="2"/>
    </font>
    <font>
      <sz val="9"/>
      <color theme="1"/>
      <name val="Calibri"/>
      <family val="2"/>
    </font>
    <font>
      <sz val="9"/>
      <color rgb="FF000000"/>
      <name val="Verdana"/>
      <family val="2"/>
    </font>
    <font>
      <sz val="12"/>
      <color rgb="FF7030A0"/>
      <name val="Calibri"/>
      <family val="2"/>
    </font>
    <font>
      <sz val="9"/>
      <color theme="1"/>
      <name val="Verdana"/>
      <family val="2"/>
    </font>
    <font>
      <b/>
      <sz val="12"/>
      <color theme="1"/>
      <name val="Calibri Light"/>
      <family val="2"/>
    </font>
    <font>
      <sz val="12"/>
      <color theme="1"/>
      <name val="Calibri Light"/>
      <family val="2"/>
    </font>
    <font>
      <b/>
      <sz val="16"/>
      <color theme="1"/>
      <name val="Calibri"/>
      <family val="2"/>
    </font>
    <font>
      <sz val="10"/>
      <color rgb="FFFF0000"/>
      <name val="Arial"/>
      <family val="2"/>
    </font>
    <font>
      <b/>
      <sz val="10"/>
      <color rgb="FF000000"/>
      <name val="Calibri"/>
      <family val="2"/>
    </font>
    <font>
      <sz val="10"/>
      <color rgb="FF000000"/>
      <name val="Calibri"/>
      <family val="2"/>
    </font>
    <font>
      <b/>
      <sz val="10"/>
      <color rgb="FFFF0000"/>
      <name val="Calibri"/>
      <family val="2"/>
    </font>
    <font>
      <b/>
      <sz val="8"/>
      <color theme="1"/>
      <name val="Calibri"/>
      <family val="2"/>
    </font>
    <font>
      <b/>
      <i/>
      <sz val="8"/>
      <color theme="1"/>
      <name val="Calibri"/>
      <family val="2"/>
    </font>
    <font>
      <b/>
      <sz val="12"/>
      <color theme="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
      <patternFill patternType="solid">
        <fgColor rgb="FF92D050"/>
        <bgColor indexed="64"/>
      </patternFill>
    </fill>
    <fill>
      <patternFill patternType="solid">
        <fgColor rgb="FFD8D8D8"/>
        <bgColor indexed="64"/>
      </patternFill>
    </fill>
    <fill>
      <patternFill patternType="solid">
        <fgColor theme="3" tint="0.39998000860214233"/>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rgb="FFC00000"/>
        <bgColor indexed="64"/>
      </patternFill>
    </fill>
    <fill>
      <patternFill patternType="solid">
        <fgColor theme="0" tint="-0.24997000396251678"/>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theme="1" tint="0.15000000596046448"/>
        <bgColor indexed="64"/>
      </patternFill>
    </fill>
    <fill>
      <patternFill patternType="solid">
        <fgColor theme="8" tint="-0.24997000396251678"/>
        <bgColor indexed="64"/>
      </patternFill>
    </fill>
    <fill>
      <patternFill patternType="solid">
        <fgColor theme="2" tint="-0.24997000396251678"/>
        <bgColor indexed="64"/>
      </patternFill>
    </fill>
    <fill>
      <patternFill patternType="solid">
        <fgColor rgb="FF00B050"/>
        <bgColor indexed="64"/>
      </patternFill>
    </fill>
    <fill>
      <patternFill patternType="solid">
        <fgColor theme="2" tint="-0.4999699890613556"/>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theme="2"/>
        <bgColor indexed="64"/>
      </patternFill>
    </fill>
    <fill>
      <patternFill patternType="solid">
        <fgColor rgb="FFD9D9D9"/>
        <bgColor indexed="64"/>
      </patternFill>
    </fill>
    <fill>
      <patternFill patternType="solid">
        <fgColor rgb="FFFFFFFF"/>
        <bgColor indexed="64"/>
      </patternFill>
    </fill>
    <fill>
      <patternFill patternType="solid">
        <fgColor theme="0" tint="-0.04997999966144562"/>
        <bgColor indexed="64"/>
      </patternFill>
    </fill>
    <fill>
      <patternFill patternType="solid">
        <fgColor theme="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border>
    <border>
      <left style="thin"/>
      <right style="thin"/>
      <top/>
      <bottom/>
    </border>
    <border>
      <left style="medium"/>
      <right/>
      <top style="thin">
        <color rgb="FFEAEAEA"/>
      </top>
      <bottom/>
    </border>
    <border>
      <left style="thin"/>
      <right/>
      <top style="thin"/>
      <bottom style="thin"/>
    </border>
    <border>
      <left style="medium"/>
      <right style="medium"/>
      <top style="medium"/>
      <bottom/>
    </border>
    <border>
      <left style="medium"/>
      <right style="medium"/>
      <top/>
      <bottom/>
    </border>
    <border>
      <left/>
      <right/>
      <top style="thin"/>
      <bottom style="thin"/>
    </border>
    <border>
      <left/>
      <right style="thin"/>
      <top style="thin"/>
      <bottom style="thin"/>
    </border>
    <border>
      <left style="medium"/>
      <right/>
      <top/>
      <bottom/>
    </border>
    <border>
      <left style="medium"/>
      <right/>
      <top/>
      <bottom style="medium"/>
    </border>
    <border>
      <left style="thin"/>
      <right style="thin"/>
      <top/>
      <bottom style="thin"/>
    </border>
    <border>
      <left style="medium"/>
      <right style="thin">
        <color indexed="8"/>
      </right>
      <top style="thin">
        <color indexed="8"/>
      </top>
      <bottom style="thin">
        <color indexed="8"/>
      </bottom>
    </border>
    <border>
      <left style="medium"/>
      <right style="medium"/>
      <top/>
      <bottom style="medium"/>
    </border>
    <border>
      <left/>
      <right style="thin"/>
      <top style="medium"/>
      <bottom style="medium"/>
    </border>
    <border>
      <left>
        <color indexed="63"/>
      </left>
      <right style="thin"/>
      <top style="thin"/>
      <bottom/>
    </border>
    <border>
      <left style="thin"/>
      <right style="thin"/>
      <top style="thin"/>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color rgb="FF000000"/>
      </left>
      <right>
        <color indexed="63"/>
      </right>
      <top>
        <color indexed="63"/>
      </top>
      <bottom style="medium">
        <color rgb="FF000000"/>
      </bottom>
    </border>
    <border>
      <left style="medium">
        <color rgb="FF000000"/>
      </left>
      <right>
        <color indexed="63"/>
      </right>
      <top>
        <color indexed="63"/>
      </top>
      <bottom>
        <color indexed="63"/>
      </bottom>
    </border>
    <border>
      <left style="medium"/>
      <right style="thin"/>
      <top style="medium"/>
      <bottom/>
    </border>
    <border>
      <left/>
      <right style="thin"/>
      <top style="medium"/>
      <bottom/>
    </border>
    <border>
      <left style="medium"/>
      <right style="thin"/>
      <top style="medium"/>
      <bottom style="thin"/>
    </border>
    <border>
      <left style="thin"/>
      <right/>
      <top/>
      <bottom style="thin"/>
    </border>
    <border>
      <left/>
      <right/>
      <top style="thin"/>
      <bottom/>
    </border>
    <border>
      <left style="thin"/>
      <right/>
      <top/>
      <bottom/>
    </border>
    <border>
      <left style="thin"/>
      <right/>
      <top style="medium"/>
      <bottom style="medium"/>
    </border>
    <border>
      <left style="thin"/>
      <right>
        <color indexed="63"/>
      </right>
      <top style="thin"/>
      <bottom style="medium"/>
    </border>
    <border>
      <left>
        <color indexed="63"/>
      </left>
      <right style="thin"/>
      <top/>
      <bottom/>
    </border>
    <border>
      <left>
        <color indexed="63"/>
      </left>
      <right style="thin"/>
      <top style="thin"/>
      <bottom style="medium"/>
    </border>
    <border>
      <left style="medium"/>
      <right style="thin"/>
      <top>
        <color indexed="63"/>
      </top>
      <bottom style="medium"/>
    </border>
    <border>
      <left style="medium"/>
      <right style="medium"/>
      <top style="medium"/>
      <bottom style="mediu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79" fontId="0" fillId="0" borderId="0" applyFont="0" applyFill="0" applyBorder="0" applyAlignment="0" applyProtection="0"/>
    <xf numFmtId="41" fontId="0" fillId="0" borderId="0" applyFont="0" applyFill="0" applyBorder="0" applyAlignment="0" applyProtection="0"/>
    <xf numFmtId="211" fontId="2" fillId="0" borderId="0" applyFont="0" applyFill="0" applyBorder="0" applyAlignment="0" applyProtection="0"/>
    <xf numFmtId="43" fontId="2"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41">
    <xf numFmtId="0" fontId="0" fillId="0" borderId="0" xfId="0" applyFont="1" applyAlignment="1">
      <alignment/>
    </xf>
    <xf numFmtId="0" fontId="29" fillId="33" borderId="0" xfId="0" applyFont="1" applyFill="1" applyBorder="1" applyAlignment="1">
      <alignment/>
    </xf>
    <xf numFmtId="0" fontId="29" fillId="0" borderId="0" xfId="0" applyFont="1" applyBorder="1" applyAlignment="1">
      <alignment/>
    </xf>
    <xf numFmtId="0" fontId="30" fillId="34" borderId="0" xfId="0" applyFont="1" applyFill="1" applyBorder="1" applyAlignment="1" applyProtection="1">
      <alignment/>
      <protection locked="0"/>
    </xf>
    <xf numFmtId="0" fontId="31" fillId="0" borderId="0" xfId="0" applyFont="1" applyAlignment="1">
      <alignment/>
    </xf>
    <xf numFmtId="17" fontId="30" fillId="33" borderId="0" xfId="0" applyNumberFormat="1" applyFont="1" applyFill="1" applyAlignment="1" applyProtection="1">
      <alignment horizontal="center"/>
      <protection locked="0"/>
    </xf>
    <xf numFmtId="0" fontId="29" fillId="0" borderId="0" xfId="0" applyFont="1" applyAlignment="1">
      <alignment/>
    </xf>
    <xf numFmtId="0" fontId="29" fillId="33" borderId="0" xfId="0" applyFont="1" applyFill="1" applyAlignment="1">
      <alignment/>
    </xf>
    <xf numFmtId="0" fontId="30" fillId="33" borderId="10" xfId="0" applyFont="1" applyFill="1" applyBorder="1" applyAlignment="1" quotePrefix="1">
      <alignment/>
    </xf>
    <xf numFmtId="0" fontId="32" fillId="0" borderId="0" xfId="0" applyFont="1" applyAlignment="1">
      <alignment/>
    </xf>
    <xf numFmtId="0" fontId="31" fillId="33" borderId="0" xfId="0" applyFont="1" applyFill="1" applyAlignment="1">
      <alignment/>
    </xf>
    <xf numFmtId="180" fontId="29" fillId="0" borderId="11" xfId="42" applyNumberFormat="1" applyFont="1" applyBorder="1" applyAlignment="1">
      <alignment horizontal="right" wrapText="1"/>
    </xf>
    <xf numFmtId="0" fontId="30" fillId="33" borderId="10" xfId="0" applyFont="1" applyFill="1" applyBorder="1" applyAlignment="1">
      <alignment/>
    </xf>
    <xf numFmtId="9" fontId="29" fillId="0" borderId="11" xfId="63" applyFont="1" applyFill="1" applyBorder="1" applyAlignment="1">
      <alignment horizontal="left" vertical="top" wrapText="1"/>
    </xf>
    <xf numFmtId="180" fontId="29" fillId="0" borderId="11" xfId="63" applyNumberFormat="1" applyFont="1" applyFill="1" applyBorder="1" applyAlignment="1">
      <alignment horizontal="left" vertical="top" wrapText="1"/>
    </xf>
    <xf numFmtId="0" fontId="30" fillId="25" borderId="11" xfId="0" applyFont="1" applyFill="1" applyBorder="1" applyAlignment="1">
      <alignment horizontal="right" vertical="center"/>
    </xf>
    <xf numFmtId="0" fontId="30" fillId="33" borderId="10" xfId="0" applyFont="1" applyFill="1" applyBorder="1" applyAlignment="1" quotePrefix="1">
      <alignment horizontal="left"/>
    </xf>
    <xf numFmtId="180" fontId="30" fillId="35" borderId="11" xfId="42" applyNumberFormat="1" applyFont="1" applyFill="1" applyBorder="1" applyAlignment="1">
      <alignment horizontal="center" vertical="center" wrapText="1"/>
    </xf>
    <xf numFmtId="0" fontId="30" fillId="36" borderId="11" xfId="0" applyFont="1" applyFill="1" applyBorder="1" applyAlignment="1">
      <alignment/>
    </xf>
    <xf numFmtId="0" fontId="29" fillId="33" borderId="12" xfId="0" applyFont="1" applyFill="1" applyBorder="1" applyAlignment="1">
      <alignment/>
    </xf>
    <xf numFmtId="0" fontId="30" fillId="36" borderId="13" xfId="0" applyFont="1" applyFill="1" applyBorder="1" applyAlignment="1">
      <alignment vertical="center"/>
    </xf>
    <xf numFmtId="0" fontId="29" fillId="33" borderId="0" xfId="0" applyFont="1" applyFill="1" applyAlignment="1" applyProtection="1">
      <alignment/>
      <protection locked="0"/>
    </xf>
    <xf numFmtId="0" fontId="29" fillId="0" borderId="0" xfId="0" applyFont="1" applyAlignment="1" applyProtection="1">
      <alignment/>
      <protection locked="0"/>
    </xf>
    <xf numFmtId="183" fontId="29" fillId="0" borderId="0" xfId="42" applyNumberFormat="1" applyFont="1" applyAlignment="1" applyProtection="1">
      <alignment wrapText="1"/>
      <protection locked="0"/>
    </xf>
    <xf numFmtId="0" fontId="30" fillId="0" borderId="0" xfId="0" applyFont="1" applyAlignment="1">
      <alignment/>
    </xf>
    <xf numFmtId="181" fontId="29" fillId="0" borderId="0" xfId="42" applyNumberFormat="1" applyFont="1" applyAlignment="1">
      <alignment/>
    </xf>
    <xf numFmtId="0" fontId="86" fillId="0" borderId="10" xfId="0" applyFont="1" applyFill="1" applyBorder="1" applyAlignment="1">
      <alignment horizontal="left" vertical="top" wrapText="1"/>
    </xf>
    <xf numFmtId="37" fontId="29" fillId="0" borderId="11" xfId="0" applyNumberFormat="1" applyFont="1" applyBorder="1" applyAlignment="1">
      <alignment horizontal="right"/>
    </xf>
    <xf numFmtId="2" fontId="29" fillId="0" borderId="0" xfId="0" applyNumberFormat="1" applyFont="1" applyAlignment="1">
      <alignment/>
    </xf>
    <xf numFmtId="0" fontId="86" fillId="0" borderId="10" xfId="0" applyFont="1" applyBorder="1" applyAlignment="1">
      <alignment vertical="top" wrapText="1"/>
    </xf>
    <xf numFmtId="0" fontId="29" fillId="0" borderId="10" xfId="0" applyFont="1" applyBorder="1" applyAlignment="1">
      <alignment wrapText="1"/>
    </xf>
    <xf numFmtId="0" fontId="87" fillId="0" borderId="10" xfId="0" applyFont="1" applyBorder="1" applyAlignment="1">
      <alignment wrapText="1"/>
    </xf>
    <xf numFmtId="0" fontId="30" fillId="0" borderId="10" xfId="0" applyFont="1" applyBorder="1" applyAlignment="1">
      <alignment wrapText="1"/>
    </xf>
    <xf numFmtId="0" fontId="87" fillId="37" borderId="12" xfId="0" applyFont="1" applyFill="1" applyBorder="1" applyAlignment="1">
      <alignment wrapText="1"/>
    </xf>
    <xf numFmtId="37" fontId="87" fillId="37" borderId="13" xfId="0" applyNumberFormat="1" applyFont="1" applyFill="1" applyBorder="1" applyAlignment="1">
      <alignment horizontal="right"/>
    </xf>
    <xf numFmtId="9" fontId="29" fillId="0" borderId="0" xfId="63" applyFont="1" applyAlignment="1">
      <alignment/>
    </xf>
    <xf numFmtId="37" fontId="29" fillId="0" borderId="0" xfId="0" applyNumberFormat="1" applyFont="1" applyAlignment="1">
      <alignment/>
    </xf>
    <xf numFmtId="0" fontId="29" fillId="0" borderId="0" xfId="0" applyFont="1" applyAlignment="1">
      <alignment vertical="top" wrapText="1"/>
    </xf>
    <xf numFmtId="0" fontId="30" fillId="34" borderId="0" xfId="0" applyFont="1" applyFill="1" applyBorder="1" applyAlignment="1" applyProtection="1">
      <alignment wrapText="1"/>
      <protection locked="0"/>
    </xf>
    <xf numFmtId="0" fontId="29" fillId="33" borderId="0" xfId="0" applyFont="1" applyFill="1" applyBorder="1" applyAlignment="1">
      <alignment wrapText="1"/>
    </xf>
    <xf numFmtId="180" fontId="32" fillId="25" borderId="11" xfId="42" applyNumberFormat="1" applyFont="1" applyFill="1" applyBorder="1" applyAlignment="1">
      <alignment wrapText="1"/>
    </xf>
    <xf numFmtId="180" fontId="29" fillId="0" borderId="11" xfId="0" applyNumberFormat="1" applyFont="1" applyFill="1" applyBorder="1" applyAlignment="1">
      <alignment wrapText="1"/>
    </xf>
    <xf numFmtId="180" fontId="30" fillId="36" borderId="11" xfId="42" applyNumberFormat="1" applyFont="1" applyFill="1" applyBorder="1" applyAlignment="1">
      <alignment wrapText="1"/>
    </xf>
    <xf numFmtId="180" fontId="30" fillId="36" borderId="13" xfId="42" applyNumberFormat="1" applyFont="1" applyFill="1" applyBorder="1" applyAlignment="1">
      <alignment wrapText="1"/>
    </xf>
    <xf numFmtId="0" fontId="88" fillId="0" borderId="0" xfId="0" applyFont="1" applyAlignment="1">
      <alignment/>
    </xf>
    <xf numFmtId="0" fontId="85" fillId="0" borderId="0" xfId="0" applyFont="1" applyAlignment="1">
      <alignment/>
    </xf>
    <xf numFmtId="0" fontId="89" fillId="0" borderId="0" xfId="0" applyFont="1" applyAlignment="1">
      <alignment/>
    </xf>
    <xf numFmtId="0" fontId="90" fillId="0" borderId="0" xfId="0" applyFont="1" applyAlignment="1">
      <alignment/>
    </xf>
    <xf numFmtId="0" fontId="90" fillId="33" borderId="0" xfId="0" applyFont="1" applyFill="1" applyAlignment="1">
      <alignment/>
    </xf>
    <xf numFmtId="0" fontId="91" fillId="0" borderId="0" xfId="0" applyFont="1" applyAlignment="1">
      <alignment/>
    </xf>
    <xf numFmtId="0" fontId="86" fillId="33" borderId="0" xfId="0" applyFont="1" applyFill="1" applyBorder="1" applyAlignment="1">
      <alignment/>
    </xf>
    <xf numFmtId="0" fontId="86" fillId="33" borderId="0" xfId="0" applyFont="1" applyFill="1" applyAlignment="1">
      <alignment/>
    </xf>
    <xf numFmtId="180" fontId="87" fillId="38" borderId="14" xfId="59" applyNumberFormat="1" applyFont="1" applyFill="1" applyBorder="1" applyAlignment="1">
      <alignment horizontal="center" vertical="top" wrapText="1"/>
      <protection/>
    </xf>
    <xf numFmtId="0" fontId="87" fillId="38" borderId="15" xfId="0" applyFont="1" applyFill="1" applyBorder="1" applyAlignment="1">
      <alignment horizontal="center"/>
    </xf>
    <xf numFmtId="0" fontId="87" fillId="38" borderId="16" xfId="0" applyFont="1" applyFill="1" applyBorder="1" applyAlignment="1">
      <alignment horizontal="center" vertical="center"/>
    </xf>
    <xf numFmtId="0" fontId="87" fillId="38" borderId="16" xfId="0" applyFont="1" applyFill="1" applyBorder="1" applyAlignment="1">
      <alignment horizontal="center" vertical="center" wrapText="1"/>
    </xf>
    <xf numFmtId="180" fontId="87" fillId="38" borderId="17" xfId="59" applyNumberFormat="1" applyFont="1" applyFill="1" applyBorder="1" applyAlignment="1">
      <alignment horizontal="center" vertical="top" wrapText="1"/>
      <protection/>
    </xf>
    <xf numFmtId="0" fontId="87" fillId="38" borderId="15" xfId="0" applyFont="1" applyFill="1" applyBorder="1" applyAlignment="1">
      <alignment horizontal="center" vertical="center"/>
    </xf>
    <xf numFmtId="0" fontId="87" fillId="38" borderId="18" xfId="0" applyFont="1" applyFill="1" applyBorder="1" applyAlignment="1">
      <alignment horizontal="center" vertical="center" wrapText="1"/>
    </xf>
    <xf numFmtId="180" fontId="87" fillId="25" borderId="14" xfId="0" applyNumberFormat="1" applyFont="1" applyFill="1" applyBorder="1" applyAlignment="1">
      <alignment vertical="top" wrapText="1"/>
    </xf>
    <xf numFmtId="0" fontId="86" fillId="0" borderId="15" xfId="0" applyFont="1" applyBorder="1" applyAlignment="1">
      <alignment/>
    </xf>
    <xf numFmtId="0" fontId="87" fillId="39" borderId="11" xfId="0" applyFont="1" applyFill="1" applyBorder="1" applyAlignment="1">
      <alignment vertical="top" wrapText="1"/>
    </xf>
    <xf numFmtId="0" fontId="87" fillId="33" borderId="10" xfId="0" applyFont="1" applyFill="1" applyBorder="1" applyAlignment="1" quotePrefix="1">
      <alignment/>
    </xf>
    <xf numFmtId="0" fontId="92" fillId="19" borderId="19" xfId="0" applyFont="1" applyFill="1" applyBorder="1" applyAlignment="1" applyProtection="1">
      <alignment vertical="top" wrapText="1"/>
      <protection locked="0"/>
    </xf>
    <xf numFmtId="0" fontId="86" fillId="33" borderId="10" xfId="0" applyFont="1" applyFill="1" applyBorder="1" applyAlignment="1">
      <alignment/>
    </xf>
    <xf numFmtId="0" fontId="87" fillId="39" borderId="19" xfId="0" applyFont="1" applyFill="1" applyBorder="1" applyAlignment="1">
      <alignment vertical="center" wrapText="1"/>
    </xf>
    <xf numFmtId="0" fontId="86" fillId="33" borderId="11" xfId="0" applyFont="1" applyFill="1" applyBorder="1" applyAlignment="1" applyProtection="1">
      <alignment vertical="top" wrapText="1"/>
      <protection locked="0"/>
    </xf>
    <xf numFmtId="0" fontId="86" fillId="0" borderId="19" xfId="0" applyFont="1" applyFill="1" applyBorder="1" applyAlignment="1" applyProtection="1">
      <alignment vertical="top" wrapText="1"/>
      <protection locked="0"/>
    </xf>
    <xf numFmtId="0" fontId="92" fillId="33" borderId="10" xfId="0" applyFont="1" applyFill="1" applyBorder="1" applyAlignment="1" quotePrefix="1">
      <alignment/>
    </xf>
    <xf numFmtId="0" fontId="92" fillId="40" borderId="19" xfId="0" applyFont="1" applyFill="1" applyBorder="1" applyAlignment="1" applyProtection="1">
      <alignment vertical="top" wrapText="1"/>
      <protection locked="0"/>
    </xf>
    <xf numFmtId="49" fontId="86" fillId="0" borderId="19" xfId="42" applyNumberFormat="1" applyFont="1" applyFill="1" applyBorder="1" applyAlignment="1">
      <alignment vertical="center" wrapText="1"/>
    </xf>
    <xf numFmtId="0" fontId="92" fillId="33" borderId="10" xfId="0" applyFont="1" applyFill="1" applyBorder="1" applyAlignment="1">
      <alignment horizontal="left" vertical="center" wrapText="1"/>
    </xf>
    <xf numFmtId="0" fontId="92" fillId="33" borderId="10" xfId="0" applyFont="1" applyFill="1" applyBorder="1" applyAlignment="1">
      <alignment/>
    </xf>
    <xf numFmtId="0" fontId="92" fillId="19" borderId="19" xfId="0" applyFont="1" applyFill="1" applyBorder="1" applyAlignment="1">
      <alignment vertical="top" wrapText="1"/>
    </xf>
    <xf numFmtId="0" fontId="86" fillId="39" borderId="19" xfId="0" applyFont="1" applyFill="1" applyBorder="1" applyAlignment="1">
      <alignment vertical="top" wrapText="1"/>
    </xf>
    <xf numFmtId="0" fontId="86" fillId="0" borderId="11" xfId="0" applyFont="1" applyBorder="1" applyAlignment="1">
      <alignment vertical="top" wrapText="1"/>
    </xf>
    <xf numFmtId="0" fontId="86" fillId="0" borderId="11" xfId="0" applyFont="1" applyFill="1" applyBorder="1" applyAlignment="1" applyProtection="1">
      <alignment vertical="top" wrapText="1"/>
      <protection locked="0"/>
    </xf>
    <xf numFmtId="0" fontId="92" fillId="40" borderId="19" xfId="0" applyFont="1" applyFill="1" applyBorder="1" applyAlignment="1">
      <alignment vertical="top" wrapText="1"/>
    </xf>
    <xf numFmtId="0" fontId="92" fillId="33" borderId="12" xfId="0" applyFont="1" applyFill="1" applyBorder="1" applyAlignment="1">
      <alignment/>
    </xf>
    <xf numFmtId="0" fontId="92" fillId="19" borderId="13" xfId="0" applyFont="1" applyFill="1" applyBorder="1" applyAlignment="1">
      <alignment/>
    </xf>
    <xf numFmtId="0" fontId="92" fillId="19" borderId="20" xfId="0" applyFont="1" applyFill="1" applyBorder="1" applyAlignment="1">
      <alignment vertical="top" wrapText="1"/>
    </xf>
    <xf numFmtId="0" fontId="87" fillId="33" borderId="10" xfId="0" applyFont="1" applyFill="1" applyBorder="1" applyAlignment="1">
      <alignment/>
    </xf>
    <xf numFmtId="180" fontId="92" fillId="25" borderId="11" xfId="42" applyNumberFormat="1" applyFont="1" applyFill="1" applyBorder="1" applyAlignment="1">
      <alignment wrapText="1"/>
    </xf>
    <xf numFmtId="0" fontId="87" fillId="33" borderId="21" xfId="0" applyFont="1" applyFill="1" applyBorder="1" applyAlignment="1">
      <alignment/>
    </xf>
    <xf numFmtId="180" fontId="86" fillId="0" borderId="0" xfId="0" applyNumberFormat="1" applyFont="1" applyFill="1" applyAlignment="1" applyProtection="1">
      <alignment wrapText="1"/>
      <protection locked="0"/>
    </xf>
    <xf numFmtId="0" fontId="86" fillId="0" borderId="0" xfId="0" applyFont="1" applyAlignment="1" applyProtection="1">
      <alignment wrapText="1"/>
      <protection locked="0"/>
    </xf>
    <xf numFmtId="182" fontId="92" fillId="19" borderId="13" xfId="0" applyNumberFormat="1" applyFont="1" applyFill="1" applyBorder="1" applyAlignment="1">
      <alignment wrapText="1"/>
    </xf>
    <xf numFmtId="0" fontId="93" fillId="33" borderId="0" xfId="0" applyFont="1" applyFill="1" applyAlignment="1">
      <alignment/>
    </xf>
    <xf numFmtId="0" fontId="94" fillId="33" borderId="10" xfId="0" applyFont="1" applyFill="1" applyBorder="1" applyAlignment="1" quotePrefix="1">
      <alignment/>
    </xf>
    <xf numFmtId="0" fontId="87" fillId="33" borderId="22" xfId="0" applyFont="1" applyFill="1" applyBorder="1" applyAlignment="1" quotePrefix="1">
      <alignment/>
    </xf>
    <xf numFmtId="180" fontId="29" fillId="0" borderId="11" xfId="42" applyNumberFormat="1" applyFont="1" applyBorder="1" applyAlignment="1">
      <alignment horizontal="left" wrapText="1"/>
    </xf>
    <xf numFmtId="0" fontId="87" fillId="37" borderId="11" xfId="0" applyFont="1" applyFill="1" applyBorder="1" applyAlignment="1">
      <alignment vertical="top" wrapText="1"/>
    </xf>
    <xf numFmtId="0" fontId="84" fillId="41" borderId="11" xfId="0" applyFont="1" applyFill="1" applyBorder="1" applyAlignment="1">
      <alignment vertical="top" wrapText="1"/>
    </xf>
    <xf numFmtId="0" fontId="86" fillId="0" borderId="11" xfId="0" applyFont="1" applyFill="1" applyBorder="1" applyAlignment="1">
      <alignment vertical="top" wrapText="1"/>
    </xf>
    <xf numFmtId="3" fontId="0" fillId="0" borderId="11" xfId="0" applyNumberFormat="1" applyBorder="1" applyAlignment="1">
      <alignment vertical="top" wrapText="1"/>
    </xf>
    <xf numFmtId="0" fontId="29" fillId="0" borderId="11" xfId="0" applyFont="1" applyBorder="1" applyAlignment="1">
      <alignment vertical="top" wrapText="1"/>
    </xf>
    <xf numFmtId="0" fontId="87" fillId="0" borderId="11" xfId="0" applyFont="1" applyBorder="1" applyAlignment="1">
      <alignment vertical="top" wrapText="1"/>
    </xf>
    <xf numFmtId="0" fontId="29" fillId="41" borderId="11" xfId="0" applyFont="1" applyFill="1" applyBorder="1" applyAlignment="1">
      <alignment vertical="top" wrapText="1"/>
    </xf>
    <xf numFmtId="3" fontId="0" fillId="41" borderId="11" xfId="0" applyNumberFormat="1" applyFill="1" applyBorder="1" applyAlignment="1">
      <alignment vertical="top" wrapText="1"/>
    </xf>
    <xf numFmtId="3" fontId="0" fillId="41" borderId="11" xfId="0" applyNumberFormat="1" applyFill="1" applyBorder="1" applyAlignment="1">
      <alignment/>
    </xf>
    <xf numFmtId="3" fontId="0" fillId="0" borderId="0" xfId="0" applyNumberFormat="1" applyAlignment="1">
      <alignment/>
    </xf>
    <xf numFmtId="37" fontId="0" fillId="0" borderId="11" xfId="0" applyNumberFormat="1" applyBorder="1" applyAlignment="1">
      <alignment vertical="top" wrapText="1"/>
    </xf>
    <xf numFmtId="9" fontId="0" fillId="0" borderId="11" xfId="63" applyFont="1" applyBorder="1" applyAlignment="1">
      <alignment vertical="top" wrapText="1"/>
    </xf>
    <xf numFmtId="9" fontId="0" fillId="41" borderId="11" xfId="63" applyFont="1" applyFill="1" applyBorder="1" applyAlignment="1">
      <alignment vertical="top" wrapText="1"/>
    </xf>
    <xf numFmtId="9" fontId="29" fillId="0" borderId="11" xfId="63" applyNumberFormat="1" applyFont="1" applyBorder="1" applyAlignment="1">
      <alignment/>
    </xf>
    <xf numFmtId="9" fontId="87" fillId="0" borderId="11" xfId="63" applyNumberFormat="1" applyFont="1" applyBorder="1" applyAlignment="1">
      <alignment horizontal="right"/>
    </xf>
    <xf numFmtId="9" fontId="87" fillId="37" borderId="20" xfId="63" applyNumberFormat="1" applyFont="1" applyFill="1" applyBorder="1" applyAlignment="1">
      <alignment horizontal="right"/>
    </xf>
    <xf numFmtId="0" fontId="86" fillId="0" borderId="23" xfId="0" applyFont="1" applyBorder="1" applyAlignment="1">
      <alignment vertical="top" wrapText="1"/>
    </xf>
    <xf numFmtId="0" fontId="84" fillId="0" borderId="0" xfId="0" applyFont="1" applyAlignment="1">
      <alignment wrapText="1"/>
    </xf>
    <xf numFmtId="179" fontId="0" fillId="0" borderId="0" xfId="42" applyFont="1" applyAlignment="1">
      <alignment/>
    </xf>
    <xf numFmtId="0" fontId="0" fillId="0" borderId="0" xfId="0" applyAlignment="1">
      <alignment wrapText="1"/>
    </xf>
    <xf numFmtId="0" fontId="3" fillId="0" borderId="24" xfId="0" applyFont="1" applyBorder="1" applyAlignment="1">
      <alignment vertical="center" wrapText="1"/>
    </xf>
    <xf numFmtId="0" fontId="95" fillId="42" borderId="11" xfId="0" applyFont="1" applyFill="1" applyBorder="1" applyAlignment="1">
      <alignment/>
    </xf>
    <xf numFmtId="0" fontId="95" fillId="42" borderId="11" xfId="0" applyFont="1" applyFill="1" applyBorder="1" applyAlignment="1">
      <alignment wrapText="1"/>
    </xf>
    <xf numFmtId="179" fontId="95" fillId="42" borderId="25" xfId="42" applyFont="1" applyFill="1" applyBorder="1" applyAlignment="1">
      <alignment/>
    </xf>
    <xf numFmtId="179" fontId="95" fillId="43" borderId="26" xfId="42" applyFont="1" applyFill="1" applyBorder="1" applyAlignment="1">
      <alignment/>
    </xf>
    <xf numFmtId="179" fontId="95" fillId="43" borderId="27" xfId="42" applyFont="1" applyFill="1" applyBorder="1" applyAlignment="1">
      <alignment/>
    </xf>
    <xf numFmtId="179" fontId="95" fillId="42" borderId="28" xfId="42" applyFont="1" applyFill="1" applyBorder="1" applyAlignment="1">
      <alignment/>
    </xf>
    <xf numFmtId="0" fontId="0" fillId="0" borderId="28" xfId="0" applyBorder="1" applyAlignment="1">
      <alignment/>
    </xf>
    <xf numFmtId="0" fontId="0" fillId="0" borderId="29" xfId="0" applyBorder="1" applyAlignment="1">
      <alignment/>
    </xf>
    <xf numFmtId="0" fontId="84" fillId="15" borderId="11" xfId="0" applyFont="1" applyFill="1" applyBorder="1" applyAlignment="1">
      <alignment/>
    </xf>
    <xf numFmtId="0" fontId="84" fillId="15" borderId="11" xfId="0" applyFont="1" applyFill="1" applyBorder="1" applyAlignment="1">
      <alignment wrapText="1"/>
    </xf>
    <xf numFmtId="179" fontId="84" fillId="15" borderId="25" xfId="42" applyFont="1" applyFill="1" applyBorder="1" applyAlignment="1">
      <alignment/>
    </xf>
    <xf numFmtId="179" fontId="84" fillId="43" borderId="27" xfId="42" applyFont="1" applyFill="1" applyBorder="1" applyAlignment="1">
      <alignment/>
    </xf>
    <xf numFmtId="17" fontId="84" fillId="15" borderId="29" xfId="42" applyNumberFormat="1" applyFont="1" applyFill="1" applyBorder="1" applyAlignment="1">
      <alignment/>
    </xf>
    <xf numFmtId="17" fontId="84" fillId="15" borderId="11" xfId="42" applyNumberFormat="1" applyFont="1" applyFill="1" applyBorder="1" applyAlignment="1">
      <alignment/>
    </xf>
    <xf numFmtId="0" fontId="84" fillId="33" borderId="11" xfId="0" applyFont="1" applyFill="1" applyBorder="1" applyAlignment="1">
      <alignment/>
    </xf>
    <xf numFmtId="0" fontId="0" fillId="0" borderId="11" xfId="0" applyBorder="1" applyAlignment="1">
      <alignment horizontal="center" vertical="center"/>
    </xf>
    <xf numFmtId="0" fontId="84" fillId="40" borderId="10" xfId="0" applyFont="1" applyFill="1" applyBorder="1" applyAlignment="1">
      <alignment horizontal="left" vertical="top" wrapText="1"/>
    </xf>
    <xf numFmtId="0" fontId="96" fillId="33" borderId="11" xfId="0" applyFont="1" applyFill="1" applyBorder="1" applyAlignment="1">
      <alignment horizontal="left" vertical="top" wrapText="1"/>
    </xf>
    <xf numFmtId="0" fontId="96" fillId="33" borderId="25" xfId="0" applyFont="1" applyFill="1" applyBorder="1" applyAlignment="1">
      <alignment horizontal="left" vertical="top" wrapText="1"/>
    </xf>
    <xf numFmtId="179" fontId="0" fillId="43" borderId="30" xfId="42" applyFont="1" applyFill="1" applyBorder="1" applyAlignment="1">
      <alignment/>
    </xf>
    <xf numFmtId="0" fontId="97" fillId="36" borderId="11" xfId="0" applyFont="1" applyFill="1" applyBorder="1" applyAlignment="1">
      <alignment vertical="top" wrapText="1"/>
    </xf>
    <xf numFmtId="0" fontId="98" fillId="33" borderId="11" xfId="0" applyFont="1" applyFill="1" applyBorder="1" applyAlignment="1">
      <alignment horizontal="left" vertical="top"/>
    </xf>
    <xf numFmtId="0" fontId="96" fillId="33" borderId="25" xfId="0" applyFont="1" applyFill="1" applyBorder="1" applyAlignment="1">
      <alignment horizontal="left" vertical="center" wrapText="1"/>
    </xf>
    <xf numFmtId="0" fontId="99" fillId="33" borderId="11" xfId="0" applyFont="1" applyFill="1" applyBorder="1" applyAlignment="1">
      <alignment/>
    </xf>
    <xf numFmtId="0" fontId="100" fillId="0" borderId="11" xfId="0" applyFont="1" applyBorder="1" applyAlignment="1">
      <alignment vertical="top" wrapText="1"/>
    </xf>
    <xf numFmtId="0" fontId="101" fillId="33" borderId="11" xfId="0" applyFont="1" applyFill="1" applyBorder="1" applyAlignment="1">
      <alignment horizontal="left" vertical="top" wrapText="1"/>
    </xf>
    <xf numFmtId="0" fontId="100" fillId="33" borderId="11" xfId="0" applyFont="1" applyFill="1" applyBorder="1" applyAlignment="1">
      <alignment horizontal="left" vertical="top"/>
    </xf>
    <xf numFmtId="0" fontId="101" fillId="33" borderId="25" xfId="0" applyFont="1" applyFill="1" applyBorder="1" applyAlignment="1">
      <alignment horizontal="left" vertical="center" wrapText="1"/>
    </xf>
    <xf numFmtId="0" fontId="101" fillId="33" borderId="11" xfId="0" applyFont="1" applyFill="1" applyBorder="1" applyAlignment="1">
      <alignment horizontal="left" vertical="center" wrapText="1"/>
    </xf>
    <xf numFmtId="0" fontId="102" fillId="0" borderId="0" xfId="0" applyFont="1" applyAlignment="1">
      <alignment/>
    </xf>
    <xf numFmtId="0" fontId="0" fillId="0" borderId="11" xfId="0" applyBorder="1" applyAlignment="1">
      <alignment wrapText="1"/>
    </xf>
    <xf numFmtId="0" fontId="0" fillId="0" borderId="11" xfId="0" applyBorder="1" applyAlignment="1">
      <alignment/>
    </xf>
    <xf numFmtId="0" fontId="0" fillId="0" borderId="29" xfId="0" applyBorder="1" applyAlignment="1">
      <alignment wrapText="1"/>
    </xf>
    <xf numFmtId="0" fontId="96" fillId="33" borderId="11" xfId="0" applyFont="1" applyFill="1" applyBorder="1" applyAlignment="1">
      <alignment horizontal="left" vertical="center" wrapText="1"/>
    </xf>
    <xf numFmtId="0" fontId="97" fillId="33" borderId="29" xfId="0" applyFont="1" applyFill="1" applyBorder="1" applyAlignment="1">
      <alignment vertical="top" wrapText="1"/>
    </xf>
    <xf numFmtId="0" fontId="96" fillId="5" borderId="25" xfId="0" applyFont="1" applyFill="1" applyBorder="1" applyAlignment="1">
      <alignment horizontal="left" vertical="top" wrapText="1"/>
    </xf>
    <xf numFmtId="0" fontId="96" fillId="5" borderId="11" xfId="0" applyFont="1" applyFill="1" applyBorder="1" applyAlignment="1">
      <alignment horizontal="left" vertical="top" wrapText="1"/>
    </xf>
    <xf numFmtId="0" fontId="0" fillId="0" borderId="11" xfId="0" applyBorder="1" applyAlignment="1" quotePrefix="1">
      <alignment/>
    </xf>
    <xf numFmtId="0" fontId="84" fillId="40" borderId="10" xfId="0" applyFont="1" applyFill="1" applyBorder="1" applyAlignment="1">
      <alignment wrapText="1"/>
    </xf>
    <xf numFmtId="179" fontId="0" fillId="0" borderId="11" xfId="42" applyFont="1" applyBorder="1" applyAlignment="1">
      <alignment/>
    </xf>
    <xf numFmtId="179" fontId="0" fillId="43" borderId="0" xfId="42" applyFont="1" applyFill="1" applyAlignment="1">
      <alignment/>
    </xf>
    <xf numFmtId="179" fontId="103" fillId="0" borderId="11" xfId="42" applyFont="1" applyBorder="1" applyAlignment="1">
      <alignment/>
    </xf>
    <xf numFmtId="0" fontId="99" fillId="0" borderId="11" xfId="0" applyFont="1" applyBorder="1" applyAlignment="1">
      <alignment/>
    </xf>
    <xf numFmtId="0" fontId="101" fillId="0" borderId="25" xfId="0" applyFont="1" applyBorder="1" applyAlignment="1">
      <alignment horizontal="left" vertical="center" wrapText="1"/>
    </xf>
    <xf numFmtId="0" fontId="101" fillId="0" borderId="11" xfId="0" applyFont="1" applyBorder="1" applyAlignment="1">
      <alignment horizontal="left" vertical="center" wrapText="1"/>
    </xf>
    <xf numFmtId="0" fontId="99" fillId="0" borderId="0" xfId="0" applyFont="1" applyAlignment="1">
      <alignment/>
    </xf>
    <xf numFmtId="0" fontId="100" fillId="33" borderId="29" xfId="0" applyFont="1" applyFill="1" applyBorder="1" applyAlignment="1">
      <alignment vertical="top" wrapText="1"/>
    </xf>
    <xf numFmtId="0" fontId="97" fillId="0" borderId="29" xfId="0" applyFont="1" applyBorder="1" applyAlignment="1">
      <alignment vertical="top" wrapText="1"/>
    </xf>
    <xf numFmtId="43" fontId="96" fillId="33" borderId="25" xfId="0" applyNumberFormat="1" applyFont="1" applyFill="1" applyBorder="1" applyAlignment="1">
      <alignment horizontal="left" vertical="top" wrapText="1"/>
    </xf>
    <xf numFmtId="0" fontId="91" fillId="33" borderId="11" xfId="0" applyFont="1" applyFill="1" applyBorder="1" applyAlignment="1">
      <alignment/>
    </xf>
    <xf numFmtId="0" fontId="96" fillId="0" borderId="11" xfId="0" applyFont="1" applyBorder="1" applyAlignment="1">
      <alignment horizontal="left" vertical="top" wrapText="1"/>
    </xf>
    <xf numFmtId="0" fontId="85" fillId="0" borderId="11" xfId="0" applyFont="1" applyBorder="1" applyAlignment="1">
      <alignment wrapText="1"/>
    </xf>
    <xf numFmtId="0" fontId="31" fillId="0" borderId="11" xfId="0" applyFont="1" applyBorder="1" applyAlignment="1">
      <alignment wrapText="1"/>
    </xf>
    <xf numFmtId="0" fontId="31" fillId="0" borderId="29" xfId="0" applyFont="1" applyBorder="1" applyAlignment="1">
      <alignment wrapText="1"/>
    </xf>
    <xf numFmtId="0" fontId="85" fillId="0" borderId="11" xfId="0" applyFont="1" applyBorder="1" applyAlignment="1">
      <alignment/>
    </xf>
    <xf numFmtId="0" fontId="49" fillId="33" borderId="29" xfId="0" applyFont="1" applyFill="1" applyBorder="1" applyAlignment="1">
      <alignment vertical="top" wrapText="1"/>
    </xf>
    <xf numFmtId="179" fontId="0" fillId="5" borderId="25" xfId="42" applyFont="1" applyFill="1" applyBorder="1" applyAlignment="1">
      <alignment/>
    </xf>
    <xf numFmtId="179" fontId="0" fillId="5" borderId="11" xfId="42" applyFont="1" applyFill="1" applyBorder="1" applyAlignment="1">
      <alignment/>
    </xf>
    <xf numFmtId="0" fontId="84" fillId="14" borderId="11" xfId="0" applyFont="1" applyFill="1" applyBorder="1" applyAlignment="1">
      <alignment wrapText="1"/>
    </xf>
    <xf numFmtId="0" fontId="84" fillId="14" borderId="11" xfId="0" applyFont="1" applyFill="1" applyBorder="1" applyAlignment="1">
      <alignment/>
    </xf>
    <xf numFmtId="179" fontId="84" fillId="14" borderId="11" xfId="0" applyNumberFormat="1" applyFont="1" applyFill="1" applyBorder="1" applyAlignment="1">
      <alignment/>
    </xf>
    <xf numFmtId="179" fontId="84" fillId="44" borderId="11" xfId="42" applyFont="1" applyFill="1" applyBorder="1" applyAlignment="1">
      <alignment/>
    </xf>
    <xf numFmtId="179" fontId="84" fillId="44" borderId="11" xfId="42" applyFont="1" applyFill="1" applyBorder="1" applyAlignment="1">
      <alignment wrapText="1"/>
    </xf>
    <xf numFmtId="179" fontId="84" fillId="44" borderId="25" xfId="42" applyFont="1" applyFill="1" applyBorder="1" applyAlignment="1">
      <alignment/>
    </xf>
    <xf numFmtId="179" fontId="84" fillId="43" borderId="30" xfId="42" applyFont="1" applyFill="1" applyBorder="1" applyAlignment="1">
      <alignment/>
    </xf>
    <xf numFmtId="0" fontId="84" fillId="23" borderId="11" xfId="0" applyFont="1" applyFill="1" applyBorder="1" applyAlignment="1">
      <alignment/>
    </xf>
    <xf numFmtId="0" fontId="84" fillId="23" borderId="11" xfId="0" applyFont="1" applyFill="1" applyBorder="1" applyAlignment="1">
      <alignment wrapText="1"/>
    </xf>
    <xf numFmtId="179" fontId="84" fillId="23" borderId="25" xfId="42" applyFont="1" applyFill="1" applyBorder="1" applyAlignment="1">
      <alignment/>
    </xf>
    <xf numFmtId="179" fontId="84" fillId="23" borderId="11" xfId="42" applyFont="1" applyFill="1" applyBorder="1" applyAlignment="1">
      <alignment/>
    </xf>
    <xf numFmtId="0" fontId="0" fillId="19" borderId="11" xfId="0" applyFill="1" applyBorder="1" applyAlignment="1">
      <alignment/>
    </xf>
    <xf numFmtId="0" fontId="0" fillId="19" borderId="11" xfId="0" applyFill="1" applyBorder="1" applyAlignment="1">
      <alignment wrapText="1"/>
    </xf>
    <xf numFmtId="179" fontId="0" fillId="19" borderId="25" xfId="42" applyFont="1" applyFill="1" applyBorder="1" applyAlignment="1">
      <alignment/>
    </xf>
    <xf numFmtId="179" fontId="0" fillId="19" borderId="11" xfId="42" applyFont="1" applyFill="1" applyBorder="1" applyAlignment="1">
      <alignment/>
    </xf>
    <xf numFmtId="0" fontId="0" fillId="36" borderId="11" xfId="0" applyFill="1" applyBorder="1" applyAlignment="1">
      <alignment/>
    </xf>
    <xf numFmtId="0" fontId="0" fillId="36" borderId="11" xfId="0" applyFill="1" applyBorder="1" applyAlignment="1">
      <alignment wrapText="1"/>
    </xf>
    <xf numFmtId="179" fontId="0" fillId="36" borderId="25" xfId="42" applyFont="1" applyFill="1" applyBorder="1" applyAlignment="1">
      <alignment/>
    </xf>
    <xf numFmtId="179" fontId="0" fillId="36" borderId="11" xfId="42" applyFont="1" applyFill="1" applyBorder="1" applyAlignment="1">
      <alignment/>
    </xf>
    <xf numFmtId="0" fontId="84" fillId="18" borderId="11" xfId="0" applyFont="1" applyFill="1" applyBorder="1" applyAlignment="1">
      <alignment/>
    </xf>
    <xf numFmtId="0" fontId="84" fillId="18" borderId="11" xfId="0" applyFont="1" applyFill="1" applyBorder="1" applyAlignment="1">
      <alignment wrapText="1"/>
    </xf>
    <xf numFmtId="179" fontId="84" fillId="18" borderId="25" xfId="42" applyFont="1" applyFill="1" applyBorder="1" applyAlignment="1">
      <alignment/>
    </xf>
    <xf numFmtId="179" fontId="84" fillId="18" borderId="11" xfId="42" applyFont="1" applyFill="1" applyBorder="1" applyAlignment="1">
      <alignment/>
    </xf>
    <xf numFmtId="0" fontId="0" fillId="16" borderId="11" xfId="0" applyFill="1" applyBorder="1" applyAlignment="1">
      <alignment/>
    </xf>
    <xf numFmtId="0" fontId="0" fillId="16" borderId="11" xfId="0" applyFill="1" applyBorder="1" applyAlignment="1">
      <alignment wrapText="1"/>
    </xf>
    <xf numFmtId="179" fontId="0" fillId="16" borderId="25" xfId="42" applyFont="1" applyFill="1" applyBorder="1" applyAlignment="1">
      <alignment/>
    </xf>
    <xf numFmtId="179" fontId="0" fillId="16" borderId="11" xfId="42" applyFont="1" applyFill="1" applyBorder="1" applyAlignment="1">
      <alignment/>
    </xf>
    <xf numFmtId="179" fontId="0" fillId="0" borderId="25" xfId="42" applyFont="1" applyBorder="1" applyAlignment="1">
      <alignment/>
    </xf>
    <xf numFmtId="0" fontId="71" fillId="45" borderId="11" xfId="0" applyFont="1" applyFill="1" applyBorder="1" applyAlignment="1">
      <alignment/>
    </xf>
    <xf numFmtId="0" fontId="71" fillId="45" borderId="11" xfId="0" applyFont="1" applyFill="1" applyBorder="1" applyAlignment="1">
      <alignment wrapText="1"/>
    </xf>
    <xf numFmtId="179" fontId="71" fillId="45" borderId="25" xfId="42" applyFont="1" applyFill="1" applyBorder="1" applyAlignment="1">
      <alignment/>
    </xf>
    <xf numFmtId="179" fontId="71" fillId="43" borderId="31" xfId="42" applyFont="1" applyFill="1" applyBorder="1" applyAlignment="1">
      <alignment/>
    </xf>
    <xf numFmtId="179" fontId="71" fillId="45" borderId="11" xfId="42" applyFont="1" applyFill="1" applyBorder="1" applyAlignment="1">
      <alignment/>
    </xf>
    <xf numFmtId="0" fontId="84" fillId="0" borderId="0" xfId="0" applyFont="1" applyAlignment="1">
      <alignment/>
    </xf>
    <xf numFmtId="0" fontId="3" fillId="0" borderId="24" xfId="0" applyFont="1" applyBorder="1" applyAlignment="1">
      <alignment vertical="center"/>
    </xf>
    <xf numFmtId="179" fontId="84" fillId="14" borderId="11" xfId="42" applyFont="1" applyFill="1" applyBorder="1" applyAlignment="1">
      <alignment/>
    </xf>
    <xf numFmtId="0" fontId="84" fillId="39" borderId="0" xfId="0" applyFont="1" applyFill="1" applyAlignment="1">
      <alignment/>
    </xf>
    <xf numFmtId="43" fontId="84" fillId="39" borderId="0" xfId="0" applyNumberFormat="1" applyFont="1" applyFill="1" applyAlignment="1">
      <alignment/>
    </xf>
    <xf numFmtId="0" fontId="96" fillId="0" borderId="10" xfId="0" applyFont="1" applyBorder="1" applyAlignment="1">
      <alignment vertical="top" wrapText="1"/>
    </xf>
    <xf numFmtId="179" fontId="0" fillId="43" borderId="27" xfId="42" applyFont="1" applyFill="1" applyBorder="1" applyAlignment="1">
      <alignment/>
    </xf>
    <xf numFmtId="179" fontId="0" fillId="0" borderId="29" xfId="42" applyFont="1" applyBorder="1" applyAlignment="1">
      <alignment/>
    </xf>
    <xf numFmtId="0" fontId="0" fillId="33" borderId="11" xfId="0" applyFill="1" applyBorder="1" applyAlignment="1">
      <alignment wrapText="1"/>
    </xf>
    <xf numFmtId="179" fontId="84" fillId="0" borderId="25" xfId="42" applyFont="1" applyBorder="1" applyAlignment="1">
      <alignment/>
    </xf>
    <xf numFmtId="0" fontId="104" fillId="33" borderId="0" xfId="0" applyFont="1" applyFill="1" applyAlignment="1">
      <alignment vertical="center" wrapText="1"/>
    </xf>
    <xf numFmtId="0" fontId="2" fillId="0" borderId="10" xfId="0" applyFont="1" applyBorder="1" applyAlignment="1">
      <alignment wrapText="1"/>
    </xf>
    <xf numFmtId="0" fontId="2" fillId="0" borderId="11" xfId="0" applyFont="1" applyBorder="1" applyAlignment="1">
      <alignment horizontal="center"/>
    </xf>
    <xf numFmtId="4" fontId="2" fillId="0" borderId="11" xfId="0" applyNumberFormat="1" applyFont="1" applyBorder="1" applyAlignment="1">
      <alignment/>
    </xf>
    <xf numFmtId="0" fontId="2" fillId="0" borderId="11" xfId="0" applyFont="1" applyBorder="1" applyAlignment="1">
      <alignment wrapText="1"/>
    </xf>
    <xf numFmtId="0" fontId="2" fillId="0" borderId="29" xfId="0" applyFont="1" applyBorder="1" applyAlignment="1">
      <alignment wrapText="1"/>
    </xf>
    <xf numFmtId="0" fontId="84" fillId="14" borderId="11" xfId="0" applyFont="1" applyFill="1" applyBorder="1" applyAlignment="1">
      <alignment horizontal="left"/>
    </xf>
    <xf numFmtId="43" fontId="84" fillId="14" borderId="11" xfId="0" applyNumberFormat="1" applyFont="1" applyFill="1" applyBorder="1" applyAlignment="1">
      <alignment/>
    </xf>
    <xf numFmtId="179" fontId="84" fillId="14" borderId="25" xfId="42" applyFont="1" applyFill="1" applyBorder="1" applyAlignment="1">
      <alignment/>
    </xf>
    <xf numFmtId="179" fontId="84" fillId="14" borderId="29" xfId="42" applyFont="1" applyFill="1" applyBorder="1" applyAlignment="1">
      <alignment/>
    </xf>
    <xf numFmtId="0" fontId="0" fillId="46" borderId="11" xfId="0" applyFill="1" applyBorder="1" applyAlignment="1">
      <alignment wrapText="1"/>
    </xf>
    <xf numFmtId="0" fontId="105" fillId="36" borderId="11" xfId="0" applyFont="1" applyFill="1" applyBorder="1" applyAlignment="1">
      <alignment vertical="top" wrapText="1"/>
    </xf>
    <xf numFmtId="0" fontId="84" fillId="0" borderId="10" xfId="0" applyFont="1" applyBorder="1" applyAlignment="1">
      <alignment wrapText="1"/>
    </xf>
    <xf numFmtId="0" fontId="105" fillId="0" borderId="11" xfId="0" applyFont="1" applyBorder="1" applyAlignment="1">
      <alignment vertical="top" wrapText="1"/>
    </xf>
    <xf numFmtId="0" fontId="105" fillId="25" borderId="11" xfId="0" applyFont="1" applyFill="1" applyBorder="1" applyAlignment="1">
      <alignment vertical="top" wrapText="1"/>
    </xf>
    <xf numFmtId="0" fontId="106" fillId="33" borderId="32" xfId="0" applyFont="1" applyFill="1" applyBorder="1" applyAlignment="1">
      <alignment horizontal="left" vertical="center" wrapText="1"/>
    </xf>
    <xf numFmtId="0" fontId="0" fillId="33" borderId="11" xfId="0" applyFill="1" applyBorder="1" applyAlignment="1">
      <alignment/>
    </xf>
    <xf numFmtId="179" fontId="84" fillId="44" borderId="29" xfId="42" applyFont="1" applyFill="1" applyBorder="1" applyAlignment="1">
      <alignment/>
    </xf>
    <xf numFmtId="179" fontId="84" fillId="23" borderId="29" xfId="42" applyFont="1" applyFill="1" applyBorder="1" applyAlignment="1">
      <alignment/>
    </xf>
    <xf numFmtId="179" fontId="0" fillId="19" borderId="29" xfId="42" applyFont="1" applyFill="1" applyBorder="1" applyAlignment="1">
      <alignment/>
    </xf>
    <xf numFmtId="0" fontId="49" fillId="46" borderId="11" xfId="0" applyFont="1" applyFill="1" applyBorder="1" applyAlignment="1">
      <alignment/>
    </xf>
    <xf numFmtId="0" fontId="0" fillId="46" borderId="11" xfId="0" applyFill="1" applyBorder="1" applyAlignment="1">
      <alignment/>
    </xf>
    <xf numFmtId="179" fontId="84" fillId="36" borderId="25" xfId="42" applyFont="1" applyFill="1" applyBorder="1" applyAlignment="1">
      <alignment/>
    </xf>
    <xf numFmtId="179" fontId="0" fillId="36" borderId="29" xfId="42" applyFont="1" applyFill="1" applyBorder="1" applyAlignment="1">
      <alignment/>
    </xf>
    <xf numFmtId="179" fontId="84" fillId="18" borderId="29" xfId="42" applyFont="1" applyFill="1" applyBorder="1" applyAlignment="1">
      <alignment/>
    </xf>
    <xf numFmtId="182" fontId="0" fillId="0" borderId="11" xfId="0" applyNumberFormat="1" applyBorder="1" applyAlignment="1">
      <alignment/>
    </xf>
    <xf numFmtId="0" fontId="0" fillId="46" borderId="33" xfId="0" applyFill="1" applyBorder="1" applyAlignment="1">
      <alignment wrapText="1"/>
    </xf>
    <xf numFmtId="179" fontId="0" fillId="16" borderId="29" xfId="42" applyFont="1" applyFill="1" applyBorder="1" applyAlignment="1">
      <alignment/>
    </xf>
    <xf numFmtId="179" fontId="71" fillId="43" borderId="34" xfId="42" applyFont="1" applyFill="1" applyBorder="1" applyAlignment="1">
      <alignment/>
    </xf>
    <xf numFmtId="179" fontId="71" fillId="45" borderId="29" xfId="42" applyFont="1" applyFill="1" applyBorder="1" applyAlignment="1">
      <alignment/>
    </xf>
    <xf numFmtId="0" fontId="107" fillId="39" borderId="10" xfId="0" applyFont="1" applyFill="1" applyBorder="1" applyAlignment="1">
      <alignment vertical="top" wrapText="1"/>
    </xf>
    <xf numFmtId="0" fontId="108" fillId="0" borderId="11" xfId="0" applyFont="1" applyBorder="1" applyAlignment="1">
      <alignment/>
    </xf>
    <xf numFmtId="179" fontId="108" fillId="0" borderId="25" xfId="42" applyFont="1" applyBorder="1" applyAlignment="1">
      <alignment/>
    </xf>
    <xf numFmtId="179" fontId="108" fillId="43" borderId="27" xfId="42" applyFont="1" applyFill="1" applyBorder="1" applyAlignment="1">
      <alignment/>
    </xf>
    <xf numFmtId="179" fontId="108" fillId="0" borderId="29" xfId="42" applyFont="1" applyBorder="1" applyAlignment="1">
      <alignment/>
    </xf>
    <xf numFmtId="179" fontId="108" fillId="0" borderId="11" xfId="42" applyFont="1" applyBorder="1" applyAlignment="1">
      <alignment/>
    </xf>
    <xf numFmtId="0" fontId="108" fillId="36" borderId="11" xfId="0" applyFont="1" applyFill="1" applyBorder="1" applyAlignment="1">
      <alignment vertical="top" wrapText="1"/>
    </xf>
    <xf numFmtId="0" fontId="108" fillId="33" borderId="11" xfId="0" applyFont="1" applyFill="1" applyBorder="1" applyAlignment="1">
      <alignment vertical="top" wrapText="1"/>
    </xf>
    <xf numFmtId="0" fontId="108" fillId="0" borderId="11" xfId="0" applyFont="1" applyBorder="1" applyAlignment="1">
      <alignment wrapText="1"/>
    </xf>
    <xf numFmtId="0" fontId="0" fillId="40" borderId="11" xfId="0" applyFill="1" applyBorder="1" applyAlignment="1">
      <alignment/>
    </xf>
    <xf numFmtId="0" fontId="108" fillId="40" borderId="11" xfId="0" applyFont="1" applyFill="1" applyBorder="1" applyAlignment="1">
      <alignment vertical="top" wrapText="1"/>
    </xf>
    <xf numFmtId="0" fontId="108" fillId="40" borderId="11" xfId="0" applyFont="1" applyFill="1" applyBorder="1" applyAlignment="1">
      <alignment/>
    </xf>
    <xf numFmtId="179" fontId="107" fillId="40" borderId="25" xfId="42" applyFont="1" applyFill="1" applyBorder="1" applyAlignment="1">
      <alignment/>
    </xf>
    <xf numFmtId="0" fontId="108" fillId="33" borderId="29" xfId="0" applyFont="1" applyFill="1" applyBorder="1" applyAlignment="1">
      <alignment vertical="top" wrapText="1"/>
    </xf>
    <xf numFmtId="0" fontId="107" fillId="33" borderId="29" xfId="0" applyFont="1" applyFill="1" applyBorder="1" applyAlignment="1">
      <alignment vertical="top" wrapText="1"/>
    </xf>
    <xf numFmtId="179" fontId="109" fillId="14" borderId="25" xfId="42" applyFont="1" applyFill="1" applyBorder="1" applyAlignment="1">
      <alignment/>
    </xf>
    <xf numFmtId="179" fontId="108" fillId="43" borderId="0" xfId="42" applyFont="1" applyFill="1" applyBorder="1" applyAlignment="1">
      <alignment/>
    </xf>
    <xf numFmtId="0" fontId="107" fillId="39" borderId="10" xfId="0" applyFont="1" applyFill="1" applyBorder="1" applyAlignment="1">
      <alignment horizontal="left" vertical="top" wrapText="1"/>
    </xf>
    <xf numFmtId="0" fontId="107" fillId="33" borderId="11" xfId="0" applyFont="1" applyFill="1" applyBorder="1" applyAlignment="1">
      <alignment horizontal="left" vertical="top" wrapText="1"/>
    </xf>
    <xf numFmtId="0" fontId="107" fillId="33" borderId="25" xfId="0" applyFont="1" applyFill="1" applyBorder="1" applyAlignment="1">
      <alignment horizontal="left" vertical="top" wrapText="1"/>
    </xf>
    <xf numFmtId="0" fontId="107" fillId="43" borderId="0" xfId="0" applyFont="1" applyFill="1" applyAlignment="1">
      <alignment horizontal="left" vertical="top" wrapText="1"/>
    </xf>
    <xf numFmtId="0" fontId="107" fillId="33" borderId="29" xfId="0" applyFont="1" applyFill="1" applyBorder="1" applyAlignment="1">
      <alignment horizontal="left" vertical="top" wrapText="1"/>
    </xf>
    <xf numFmtId="0" fontId="0" fillId="33" borderId="0" xfId="0" applyFill="1" applyAlignment="1">
      <alignment/>
    </xf>
    <xf numFmtId="0" fontId="108" fillId="33" borderId="11" xfId="0" applyFont="1" applyFill="1" applyBorder="1" applyAlignment="1">
      <alignment horizontal="left" vertical="top" wrapText="1"/>
    </xf>
    <xf numFmtId="0" fontId="108" fillId="33" borderId="25" xfId="0" applyFont="1" applyFill="1" applyBorder="1" applyAlignment="1">
      <alignment horizontal="left" vertical="top" wrapText="1"/>
    </xf>
    <xf numFmtId="0" fontId="108" fillId="40" borderId="29" xfId="0" applyFont="1" applyFill="1" applyBorder="1" applyAlignment="1">
      <alignment vertical="top" wrapText="1"/>
    </xf>
    <xf numFmtId="0" fontId="107" fillId="40" borderId="11" xfId="0" applyFont="1" applyFill="1" applyBorder="1" applyAlignment="1">
      <alignment horizontal="left" vertical="top" wrapText="1"/>
    </xf>
    <xf numFmtId="0" fontId="107" fillId="40" borderId="25" xfId="0" applyFont="1" applyFill="1" applyBorder="1" applyAlignment="1">
      <alignment horizontal="left" vertical="top" wrapText="1"/>
    </xf>
    <xf numFmtId="0" fontId="107" fillId="40" borderId="29" xfId="0" applyFont="1" applyFill="1" applyBorder="1" applyAlignment="1">
      <alignment horizontal="left" vertical="top" wrapText="1"/>
    </xf>
    <xf numFmtId="0" fontId="107" fillId="40" borderId="25" xfId="0" applyFont="1" applyFill="1" applyBorder="1" applyAlignment="1">
      <alignment horizontal="right" vertical="top" wrapText="1"/>
    </xf>
    <xf numFmtId="0" fontId="108" fillId="0" borderId="11" xfId="0" applyFont="1" applyBorder="1" applyAlignment="1">
      <alignment vertical="top" wrapText="1"/>
    </xf>
    <xf numFmtId="0" fontId="107" fillId="36" borderId="11" xfId="0" applyFont="1" applyFill="1" applyBorder="1" applyAlignment="1">
      <alignment horizontal="left" vertical="top" wrapText="1"/>
    </xf>
    <xf numFmtId="0" fontId="107" fillId="40" borderId="11" xfId="0" applyFont="1" applyFill="1" applyBorder="1" applyAlignment="1">
      <alignment vertical="top" wrapText="1"/>
    </xf>
    <xf numFmtId="0" fontId="108" fillId="33" borderId="11" xfId="0" applyFont="1" applyFill="1" applyBorder="1" applyAlignment="1">
      <alignment wrapText="1"/>
    </xf>
    <xf numFmtId="0" fontId="108" fillId="33" borderId="11" xfId="0" applyFont="1" applyFill="1" applyBorder="1" applyAlignment="1">
      <alignment/>
    </xf>
    <xf numFmtId="0" fontId="108" fillId="40" borderId="11" xfId="0" applyFont="1" applyFill="1" applyBorder="1" applyAlignment="1">
      <alignment vertical="center" wrapText="1"/>
    </xf>
    <xf numFmtId="0" fontId="86" fillId="0" borderId="11" xfId="0" applyFont="1" applyBorder="1" applyAlignment="1">
      <alignment vertical="top" wrapText="1"/>
    </xf>
    <xf numFmtId="0" fontId="30" fillId="33" borderId="11" xfId="0" applyFont="1" applyFill="1" applyBorder="1" applyAlignment="1">
      <alignment horizontal="center" vertical="center" wrapText="1"/>
    </xf>
    <xf numFmtId="0" fontId="30" fillId="4" borderId="11" xfId="0" applyFont="1" applyFill="1" applyBorder="1" applyAlignment="1">
      <alignment vertical="center"/>
    </xf>
    <xf numFmtId="180" fontId="32" fillId="4" borderId="11" xfId="42" applyNumberFormat="1" applyFont="1" applyFill="1" applyBorder="1" applyAlignment="1">
      <alignment wrapText="1"/>
    </xf>
    <xf numFmtId="0" fontId="86" fillId="33" borderId="22" xfId="0" applyFont="1" applyFill="1" applyBorder="1" applyAlignment="1">
      <alignment/>
    </xf>
    <xf numFmtId="0" fontId="87" fillId="33" borderId="11" xfId="0" applyFont="1" applyFill="1" applyBorder="1" applyAlignment="1" quotePrefix="1">
      <alignment/>
    </xf>
    <xf numFmtId="0" fontId="95" fillId="42" borderId="25" xfId="0" applyFont="1" applyFill="1" applyBorder="1" applyAlignment="1">
      <alignment/>
    </xf>
    <xf numFmtId="0" fontId="95" fillId="42" borderId="11" xfId="0" applyFont="1" applyFill="1" applyBorder="1" applyAlignment="1">
      <alignment/>
    </xf>
    <xf numFmtId="179" fontId="95" fillId="42" borderId="11" xfId="42" applyFont="1" applyFill="1" applyBorder="1" applyAlignment="1">
      <alignment/>
    </xf>
    <xf numFmtId="179" fontId="95" fillId="43" borderId="11" xfId="42" applyFont="1" applyFill="1" applyBorder="1" applyAlignment="1">
      <alignment/>
    </xf>
    <xf numFmtId="0" fontId="0" fillId="47" borderId="11" xfId="0" applyFill="1" applyBorder="1" applyAlignment="1">
      <alignment/>
    </xf>
    <xf numFmtId="179" fontId="95" fillId="47" borderId="11" xfId="42" applyFont="1" applyFill="1" applyBorder="1" applyAlignment="1">
      <alignment/>
    </xf>
    <xf numFmtId="0" fontId="84" fillId="15" borderId="25" xfId="0" applyFont="1" applyFill="1" applyBorder="1" applyAlignment="1">
      <alignment/>
    </xf>
    <xf numFmtId="0" fontId="84" fillId="15" borderId="11" xfId="0" applyFont="1" applyFill="1" applyBorder="1" applyAlignment="1">
      <alignment/>
    </xf>
    <xf numFmtId="179" fontId="84" fillId="15" borderId="11" xfId="42" applyFont="1" applyFill="1" applyBorder="1" applyAlignment="1">
      <alignment/>
    </xf>
    <xf numFmtId="179" fontId="84" fillId="43" borderId="11" xfId="42" applyFont="1" applyFill="1" applyBorder="1" applyAlignment="1">
      <alignment/>
    </xf>
    <xf numFmtId="17" fontId="84" fillId="15" borderId="11" xfId="42" applyNumberFormat="1" applyFont="1" applyFill="1" applyBorder="1" applyAlignment="1">
      <alignment/>
    </xf>
    <xf numFmtId="17" fontId="0" fillId="15" borderId="11" xfId="0" applyNumberFormat="1" applyFill="1" applyBorder="1" applyAlignment="1">
      <alignment/>
    </xf>
    <xf numFmtId="0" fontId="0" fillId="15" borderId="11" xfId="0" applyFill="1" applyBorder="1" applyAlignment="1">
      <alignment/>
    </xf>
    <xf numFmtId="0" fontId="84" fillId="33" borderId="25" xfId="0" applyFont="1" applyFill="1" applyBorder="1" applyAlignment="1">
      <alignment/>
    </xf>
    <xf numFmtId="0" fontId="0" fillId="48" borderId="11" xfId="0" applyFill="1" applyBorder="1" applyAlignment="1">
      <alignment/>
    </xf>
    <xf numFmtId="0" fontId="0" fillId="0" borderId="25" xfId="0" applyBorder="1" applyAlignment="1" quotePrefix="1">
      <alignment/>
    </xf>
    <xf numFmtId="0" fontId="96" fillId="40" borderId="11" xfId="0" applyFont="1" applyFill="1" applyBorder="1" applyAlignment="1">
      <alignment vertical="top" wrapText="1"/>
    </xf>
    <xf numFmtId="0" fontId="0" fillId="0" borderId="11" xfId="0" applyBorder="1" applyAlignment="1">
      <alignment/>
    </xf>
    <xf numFmtId="179" fontId="0" fillId="0" borderId="11" xfId="42" applyFont="1" applyBorder="1" applyAlignment="1">
      <alignment/>
    </xf>
    <xf numFmtId="179" fontId="0" fillId="43" borderId="11" xfId="42" applyFont="1" applyFill="1" applyBorder="1" applyAlignment="1">
      <alignment/>
    </xf>
    <xf numFmtId="0" fontId="0" fillId="0" borderId="25" xfId="0" applyBorder="1" applyAlignment="1">
      <alignment/>
    </xf>
    <xf numFmtId="0" fontId="97" fillId="36" borderId="11" xfId="0" applyFont="1" applyFill="1" applyBorder="1" applyAlignment="1">
      <alignment vertical="top" wrapText="1"/>
    </xf>
    <xf numFmtId="0" fontId="0" fillId="39" borderId="25" xfId="0" applyFill="1" applyBorder="1" applyAlignment="1">
      <alignment/>
    </xf>
    <xf numFmtId="0" fontId="97" fillId="39" borderId="11" xfId="0" applyFont="1" applyFill="1" applyBorder="1" applyAlignment="1">
      <alignment vertical="top" wrapText="1"/>
    </xf>
    <xf numFmtId="0" fontId="0" fillId="39" borderId="11" xfId="0" applyFill="1" applyBorder="1" applyAlignment="1">
      <alignment/>
    </xf>
    <xf numFmtId="179" fontId="0" fillId="39" borderId="11" xfId="42" applyFont="1" applyFill="1" applyBorder="1" applyAlignment="1">
      <alignment/>
    </xf>
    <xf numFmtId="0" fontId="98" fillId="39" borderId="11" xfId="0" applyFont="1" applyFill="1" applyBorder="1" applyAlignment="1">
      <alignment vertical="top" wrapText="1"/>
    </xf>
    <xf numFmtId="0" fontId="84" fillId="39" borderId="11" xfId="0" applyFont="1" applyFill="1" applyBorder="1" applyAlignment="1">
      <alignment/>
    </xf>
    <xf numFmtId="179" fontId="84" fillId="39" borderId="11" xfId="42" applyFont="1" applyFill="1" applyBorder="1" applyAlignment="1">
      <alignment/>
    </xf>
    <xf numFmtId="179" fontId="84" fillId="0" borderId="11" xfId="42" applyFont="1" applyBorder="1" applyAlignment="1">
      <alignment/>
    </xf>
    <xf numFmtId="0" fontId="84" fillId="49" borderId="11" xfId="0" applyFont="1" applyFill="1" applyBorder="1" applyAlignment="1">
      <alignment/>
    </xf>
    <xf numFmtId="0" fontId="98" fillId="0" borderId="11" xfId="0" applyFont="1" applyBorder="1" applyAlignment="1">
      <alignment vertical="top" wrapText="1"/>
    </xf>
    <xf numFmtId="0" fontId="97" fillId="0" borderId="11" xfId="0" applyFont="1" applyBorder="1" applyAlignment="1">
      <alignment vertical="top" wrapText="1"/>
    </xf>
    <xf numFmtId="0" fontId="0" fillId="50" borderId="11" xfId="0" applyFill="1" applyBorder="1" applyAlignment="1">
      <alignment/>
    </xf>
    <xf numFmtId="179" fontId="84" fillId="0" borderId="11" xfId="42" applyFont="1" applyFill="1" applyBorder="1" applyAlignment="1">
      <alignment/>
    </xf>
    <xf numFmtId="0" fontId="84" fillId="0" borderId="11" xfId="0" applyFont="1" applyBorder="1" applyAlignment="1">
      <alignment/>
    </xf>
    <xf numFmtId="0" fontId="84" fillId="0" borderId="25" xfId="0" applyFont="1" applyBorder="1" applyAlignment="1">
      <alignment/>
    </xf>
    <xf numFmtId="0" fontId="98" fillId="51" borderId="11" xfId="0" applyFont="1" applyFill="1" applyBorder="1" applyAlignment="1">
      <alignment vertical="top" wrapText="1"/>
    </xf>
    <xf numFmtId="0" fontId="0" fillId="51" borderId="11" xfId="0" applyFill="1" applyBorder="1" applyAlignment="1">
      <alignment/>
    </xf>
    <xf numFmtId="179" fontId="0" fillId="51" borderId="11" xfId="42" applyFont="1" applyFill="1" applyBorder="1" applyAlignment="1">
      <alignment/>
    </xf>
    <xf numFmtId="0" fontId="97" fillId="33" borderId="11" xfId="0" applyFont="1" applyFill="1" applyBorder="1" applyAlignment="1">
      <alignment vertical="top" wrapText="1"/>
    </xf>
    <xf numFmtId="179" fontId="0" fillId="35" borderId="11" xfId="42" applyFont="1" applyFill="1" applyBorder="1" applyAlignment="1">
      <alignment/>
    </xf>
    <xf numFmtId="0" fontId="0" fillId="35" borderId="11" xfId="0" applyFill="1" applyBorder="1" applyAlignment="1">
      <alignment/>
    </xf>
    <xf numFmtId="0" fontId="98" fillId="33" borderId="11" xfId="0" applyFont="1" applyFill="1" applyBorder="1" applyAlignment="1">
      <alignment vertical="top" wrapText="1"/>
    </xf>
    <xf numFmtId="179" fontId="84" fillId="51" borderId="11" xfId="42" applyFont="1" applyFill="1" applyBorder="1" applyAlignment="1">
      <alignment/>
    </xf>
    <xf numFmtId="0" fontId="84" fillId="51" borderId="11" xfId="0" applyFont="1" applyFill="1" applyBorder="1" applyAlignment="1">
      <alignment/>
    </xf>
    <xf numFmtId="0" fontId="84" fillId="14" borderId="11" xfId="0" applyFont="1" applyFill="1" applyBorder="1" applyAlignment="1">
      <alignment/>
    </xf>
    <xf numFmtId="179" fontId="84" fillId="14" borderId="11" xfId="42" applyFont="1" applyFill="1" applyBorder="1" applyAlignment="1">
      <alignment/>
    </xf>
    <xf numFmtId="0" fontId="84" fillId="40" borderId="11" xfId="0" applyFont="1" applyFill="1" applyBorder="1" applyAlignment="1">
      <alignment wrapText="1"/>
    </xf>
    <xf numFmtId="0" fontId="97" fillId="36" borderId="11" xfId="0" applyFont="1" applyFill="1" applyBorder="1" applyAlignment="1">
      <alignment vertical="center" wrapText="1"/>
    </xf>
    <xf numFmtId="9" fontId="0" fillId="0" borderId="11" xfId="63" applyFont="1" applyBorder="1" applyAlignment="1">
      <alignment/>
    </xf>
    <xf numFmtId="0" fontId="98" fillId="39" borderId="11" xfId="0" applyFont="1" applyFill="1" applyBorder="1" applyAlignment="1">
      <alignment vertical="center" wrapText="1"/>
    </xf>
    <xf numFmtId="179" fontId="0" fillId="0" borderId="11" xfId="42" applyFont="1" applyBorder="1" applyAlignment="1">
      <alignment/>
    </xf>
    <xf numFmtId="0" fontId="84" fillId="39" borderId="25" xfId="0" applyFont="1" applyFill="1" applyBorder="1" applyAlignment="1">
      <alignment/>
    </xf>
    <xf numFmtId="179" fontId="84" fillId="52" borderId="25" xfId="42" applyFont="1" applyFill="1" applyBorder="1" applyAlignment="1">
      <alignment/>
    </xf>
    <xf numFmtId="179" fontId="84" fillId="52" borderId="11" xfId="42" applyFont="1" applyFill="1" applyBorder="1" applyAlignment="1">
      <alignment/>
    </xf>
    <xf numFmtId="179" fontId="84" fillId="44" borderId="11" xfId="42" applyFont="1" applyFill="1" applyBorder="1" applyAlignment="1">
      <alignment/>
    </xf>
    <xf numFmtId="0" fontId="84" fillId="23" borderId="25" xfId="0" applyFont="1" applyFill="1" applyBorder="1" applyAlignment="1">
      <alignment/>
    </xf>
    <xf numFmtId="0" fontId="84" fillId="23" borderId="11" xfId="0" applyFont="1" applyFill="1" applyBorder="1" applyAlignment="1">
      <alignment/>
    </xf>
    <xf numFmtId="179" fontId="84" fillId="23" borderId="11" xfId="42" applyFont="1" applyFill="1" applyBorder="1" applyAlignment="1">
      <alignment/>
    </xf>
    <xf numFmtId="0" fontId="0" fillId="19" borderId="25" xfId="0" applyFill="1" applyBorder="1" applyAlignment="1">
      <alignment/>
    </xf>
    <xf numFmtId="0" fontId="0" fillId="19" borderId="11" xfId="0" applyFill="1" applyBorder="1" applyAlignment="1">
      <alignment/>
    </xf>
    <xf numFmtId="179" fontId="0" fillId="19" borderId="11" xfId="42" applyFont="1" applyFill="1" applyBorder="1" applyAlignment="1">
      <alignment/>
    </xf>
    <xf numFmtId="179" fontId="0" fillId="0" borderId="11" xfId="42" applyFont="1" applyFill="1" applyBorder="1" applyAlignment="1">
      <alignment/>
    </xf>
    <xf numFmtId="43" fontId="0" fillId="39" borderId="11" xfId="0" applyNumberFormat="1" applyFill="1" applyBorder="1" applyAlignment="1">
      <alignment/>
    </xf>
    <xf numFmtId="179" fontId="0" fillId="36" borderId="11" xfId="42" applyFont="1" applyFill="1" applyBorder="1" applyAlignment="1">
      <alignment/>
    </xf>
    <xf numFmtId="0" fontId="84" fillId="18" borderId="25" xfId="0" applyFont="1" applyFill="1" applyBorder="1" applyAlignment="1">
      <alignment/>
    </xf>
    <xf numFmtId="0" fontId="84" fillId="18" borderId="11" xfId="0" applyFont="1" applyFill="1" applyBorder="1" applyAlignment="1">
      <alignment/>
    </xf>
    <xf numFmtId="179" fontId="84" fillId="18" borderId="11" xfId="42" applyFont="1" applyFill="1" applyBorder="1" applyAlignment="1">
      <alignment/>
    </xf>
    <xf numFmtId="179" fontId="0" fillId="16" borderId="11" xfId="42" applyFont="1" applyFill="1" applyBorder="1" applyAlignment="1">
      <alignment/>
    </xf>
    <xf numFmtId="0" fontId="0" fillId="16" borderId="25" xfId="0" applyFill="1" applyBorder="1" applyAlignment="1">
      <alignment/>
    </xf>
    <xf numFmtId="0" fontId="0" fillId="16" borderId="11" xfId="0" applyFill="1" applyBorder="1" applyAlignment="1">
      <alignment/>
    </xf>
    <xf numFmtId="0" fontId="0" fillId="52" borderId="25" xfId="0" applyFill="1" applyBorder="1" applyAlignment="1">
      <alignment/>
    </xf>
    <xf numFmtId="0" fontId="0" fillId="52" borderId="11" xfId="0" applyFill="1" applyBorder="1" applyAlignment="1">
      <alignment/>
    </xf>
    <xf numFmtId="0" fontId="71" fillId="53" borderId="25" xfId="0" applyFont="1" applyFill="1" applyBorder="1" applyAlignment="1">
      <alignment/>
    </xf>
    <xf numFmtId="0" fontId="71" fillId="53" borderId="11" xfId="0" applyFont="1" applyFill="1" applyBorder="1" applyAlignment="1">
      <alignment/>
    </xf>
    <xf numFmtId="179" fontId="71" fillId="53" borderId="11" xfId="42" applyFont="1" applyFill="1" applyBorder="1" applyAlignment="1">
      <alignment/>
    </xf>
    <xf numFmtId="179" fontId="71" fillId="45" borderId="11" xfId="42" applyFont="1" applyFill="1" applyBorder="1" applyAlignment="1">
      <alignment/>
    </xf>
    <xf numFmtId="179" fontId="84" fillId="0" borderId="0" xfId="42" applyFont="1" applyAlignment="1">
      <alignment/>
    </xf>
    <xf numFmtId="0" fontId="0" fillId="54" borderId="11" xfId="0" applyFill="1" applyBorder="1" applyAlignment="1">
      <alignment/>
    </xf>
    <xf numFmtId="179" fontId="84" fillId="54" borderId="25" xfId="42" applyFont="1" applyFill="1" applyBorder="1" applyAlignment="1">
      <alignment/>
    </xf>
    <xf numFmtId="179" fontId="0" fillId="0" borderId="0" xfId="0" applyNumberFormat="1" applyAlignment="1">
      <alignment/>
    </xf>
    <xf numFmtId="4" fontId="2" fillId="53" borderId="11" xfId="0" applyNumberFormat="1" applyFont="1" applyFill="1" applyBorder="1" applyAlignment="1">
      <alignment/>
    </xf>
    <xf numFmtId="0" fontId="0" fillId="0" borderId="29" xfId="0" applyBorder="1" applyAlignment="1">
      <alignment/>
    </xf>
    <xf numFmtId="179" fontId="0" fillId="0" borderId="0" xfId="42" applyAlignment="1">
      <alignment/>
    </xf>
    <xf numFmtId="179" fontId="0" fillId="0" borderId="25" xfId="42" applyBorder="1" applyAlignment="1">
      <alignment/>
    </xf>
    <xf numFmtId="179" fontId="0" fillId="43" borderId="27" xfId="42" applyFill="1" applyBorder="1" applyAlignment="1">
      <alignment/>
    </xf>
    <xf numFmtId="9" fontId="0" fillId="0" borderId="11" xfId="0" applyNumberFormat="1" applyBorder="1" applyAlignment="1">
      <alignment/>
    </xf>
    <xf numFmtId="179" fontId="0" fillId="43" borderId="0" xfId="42" applyFill="1" applyAlignment="1">
      <alignment/>
    </xf>
    <xf numFmtId="4" fontId="110" fillId="0" borderId="11" xfId="0" applyNumberFormat="1" applyFont="1" applyBorder="1" applyAlignment="1">
      <alignment/>
    </xf>
    <xf numFmtId="179" fontId="0" fillId="19" borderId="25" xfId="42" applyFill="1" applyBorder="1" applyAlignment="1">
      <alignment/>
    </xf>
    <xf numFmtId="0" fontId="0" fillId="0" borderId="11" xfId="0" applyBorder="1" applyAlignment="1">
      <alignment/>
    </xf>
    <xf numFmtId="182" fontId="0" fillId="0" borderId="11" xfId="0" applyNumberFormat="1" applyBorder="1" applyAlignment="1">
      <alignment/>
    </xf>
    <xf numFmtId="9" fontId="0" fillId="0" borderId="11" xfId="0" applyNumberFormat="1" applyBorder="1" applyAlignment="1">
      <alignment/>
    </xf>
    <xf numFmtId="179" fontId="0" fillId="0" borderId="25" xfId="42" applyBorder="1" applyAlignment="1">
      <alignment/>
    </xf>
    <xf numFmtId="0" fontId="0" fillId="46" borderId="11" xfId="0" applyFill="1" applyBorder="1" applyAlignment="1">
      <alignment/>
    </xf>
    <xf numFmtId="0" fontId="0" fillId="16" borderId="11" xfId="0" applyFill="1" applyBorder="1" applyAlignment="1">
      <alignment/>
    </xf>
    <xf numFmtId="179" fontId="84" fillId="16" borderId="25" xfId="42" applyFont="1" applyFill="1" applyBorder="1" applyAlignment="1">
      <alignment/>
    </xf>
    <xf numFmtId="179" fontId="84" fillId="0" borderId="25" xfId="42" applyFont="1" applyBorder="1" applyAlignment="1">
      <alignment/>
    </xf>
    <xf numFmtId="0" fontId="71" fillId="45" borderId="11" xfId="0" applyFont="1" applyFill="1" applyBorder="1" applyAlignment="1">
      <alignment/>
    </xf>
    <xf numFmtId="179" fontId="71" fillId="45" borderId="25" xfId="42" applyFont="1" applyFill="1" applyBorder="1" applyAlignment="1">
      <alignment/>
    </xf>
    <xf numFmtId="180" fontId="87" fillId="38" borderId="35" xfId="59" applyNumberFormat="1" applyFont="1" applyFill="1" applyBorder="1" applyAlignment="1">
      <alignment vertical="top" wrapText="1"/>
      <protection/>
    </xf>
    <xf numFmtId="180" fontId="87" fillId="38" borderId="18" xfId="59" applyNumberFormat="1" applyFont="1" applyFill="1" applyBorder="1" applyAlignment="1">
      <alignment horizontal="center" vertical="top" wrapText="1"/>
      <protection/>
    </xf>
    <xf numFmtId="205" fontId="3" fillId="12" borderId="22" xfId="0" applyNumberFormat="1" applyFont="1" applyFill="1" applyBorder="1" applyAlignment="1" applyProtection="1">
      <alignment horizontal="left" vertical="top" wrapText="1"/>
      <protection locked="0"/>
    </xf>
    <xf numFmtId="205" fontId="3" fillId="12" borderId="36" xfId="0" applyNumberFormat="1" applyFont="1" applyFill="1" applyBorder="1" applyAlignment="1" applyProtection="1">
      <alignment vertical="top" wrapText="1"/>
      <protection locked="0"/>
    </xf>
    <xf numFmtId="0" fontId="55" fillId="41" borderId="11" xfId="0" applyFont="1" applyFill="1" applyBorder="1" applyAlignment="1">
      <alignment vertical="top" wrapText="1"/>
    </xf>
    <xf numFmtId="0" fontId="103" fillId="0" borderId="11" xfId="0" applyFont="1" applyBorder="1" applyAlignment="1">
      <alignment vertical="top" wrapText="1"/>
    </xf>
    <xf numFmtId="180" fontId="103" fillId="0" borderId="11" xfId="42" applyNumberFormat="1" applyFont="1" applyFill="1" applyBorder="1" applyAlignment="1">
      <alignment vertical="top"/>
    </xf>
    <xf numFmtId="0" fontId="103" fillId="40" borderId="11" xfId="0" applyFont="1" applyFill="1" applyBorder="1" applyAlignment="1">
      <alignment vertical="top" wrapText="1"/>
    </xf>
    <xf numFmtId="0" fontId="84" fillId="40" borderId="11" xfId="0" applyFont="1" applyFill="1" applyBorder="1" applyAlignment="1">
      <alignment vertical="top" wrapText="1"/>
    </xf>
    <xf numFmtId="0" fontId="87" fillId="25" borderId="11" xfId="0" applyFont="1" applyFill="1" applyBorder="1" applyAlignment="1">
      <alignment horizontal="right" vertical="center"/>
    </xf>
    <xf numFmtId="0" fontId="30" fillId="38" borderId="11" xfId="0" applyFont="1" applyFill="1" applyBorder="1" applyAlignment="1">
      <alignment horizontal="center" vertical="center" wrapText="1"/>
    </xf>
    <xf numFmtId="180" fontId="30" fillId="38" borderId="11" xfId="0" applyNumberFormat="1" applyFont="1" applyFill="1" applyBorder="1" applyAlignment="1">
      <alignment horizontal="center" vertical="center" wrapText="1"/>
    </xf>
    <xf numFmtId="180" fontId="30" fillId="38" borderId="11" xfId="42" applyNumberFormat="1" applyFont="1" applyFill="1" applyBorder="1" applyAlignment="1">
      <alignment horizontal="center" vertical="center" wrapText="1"/>
    </xf>
    <xf numFmtId="0" fontId="30" fillId="25" borderId="11" xfId="0" applyFont="1" applyFill="1" applyBorder="1" applyAlignment="1">
      <alignment vertical="center"/>
    </xf>
    <xf numFmtId="0" fontId="30" fillId="35" borderId="11" xfId="0" applyFont="1" applyFill="1" applyBorder="1" applyAlignment="1">
      <alignment vertical="center"/>
    </xf>
    <xf numFmtId="0" fontId="87" fillId="37" borderId="37" xfId="0" applyFont="1" applyFill="1" applyBorder="1" applyAlignment="1">
      <alignment horizontal="center" wrapText="1"/>
    </xf>
    <xf numFmtId="179" fontId="86" fillId="0" borderId="29" xfId="42" applyFont="1" applyFill="1" applyBorder="1" applyAlignment="1">
      <alignment horizontal="left" vertical="top" wrapText="1"/>
    </xf>
    <xf numFmtId="179" fontId="87" fillId="0" borderId="11" xfId="42" applyFont="1" applyBorder="1" applyAlignment="1">
      <alignment horizontal="right"/>
    </xf>
    <xf numFmtId="179" fontId="87" fillId="37" borderId="13" xfId="42" applyFont="1" applyFill="1" applyBorder="1" applyAlignment="1">
      <alignment horizontal="right"/>
    </xf>
    <xf numFmtId="9" fontId="103" fillId="0" borderId="11" xfId="0" applyNumberFormat="1" applyFont="1" applyBorder="1" applyAlignment="1">
      <alignment vertical="top" wrapText="1"/>
    </xf>
    <xf numFmtId="0" fontId="29" fillId="0" borderId="0" xfId="0" applyFont="1" applyAlignment="1">
      <alignment wrapText="1"/>
    </xf>
    <xf numFmtId="0" fontId="30" fillId="0" borderId="0" xfId="0" applyFont="1" applyBorder="1" applyAlignment="1">
      <alignment/>
    </xf>
    <xf numFmtId="0" fontId="87" fillId="55" borderId="11" xfId="0" applyFont="1" applyFill="1" applyBorder="1" applyAlignment="1">
      <alignment wrapText="1"/>
    </xf>
    <xf numFmtId="0" fontId="87" fillId="55" borderId="11" xfId="0" applyFont="1" applyFill="1" applyBorder="1" applyAlignment="1">
      <alignment horizontal="center" vertical="center" wrapText="1"/>
    </xf>
    <xf numFmtId="0" fontId="86" fillId="0" borderId="11" xfId="0" applyFont="1" applyBorder="1" applyAlignment="1">
      <alignment wrapText="1"/>
    </xf>
    <xf numFmtId="185" fontId="86" fillId="0" borderId="11" xfId="46" applyNumberFormat="1" applyFont="1" applyBorder="1" applyAlignment="1">
      <alignment horizontal="right" wrapText="1"/>
    </xf>
    <xf numFmtId="0" fontId="87" fillId="0" borderId="11" xfId="0" applyFont="1" applyBorder="1" applyAlignment="1">
      <alignment wrapText="1"/>
    </xf>
    <xf numFmtId="185" fontId="87" fillId="0" borderId="11" xfId="46" applyNumberFormat="1" applyFont="1" applyBorder="1" applyAlignment="1">
      <alignment horizontal="right" wrapText="1"/>
    </xf>
    <xf numFmtId="0" fontId="0" fillId="0" borderId="0" xfId="0" applyFont="1" applyAlignment="1">
      <alignment/>
    </xf>
    <xf numFmtId="0" fontId="86" fillId="0" borderId="0" xfId="0" applyFont="1" applyAlignment="1">
      <alignment/>
    </xf>
    <xf numFmtId="184" fontId="111" fillId="56" borderId="38" xfId="63" applyNumberFormat="1" applyFont="1" applyFill="1" applyBorder="1" applyAlignment="1">
      <alignment vertical="center" wrapText="1"/>
    </xf>
    <xf numFmtId="184" fontId="111" fillId="56" borderId="39" xfId="63" applyNumberFormat="1" applyFont="1" applyFill="1" applyBorder="1" applyAlignment="1">
      <alignment vertical="center" wrapText="1"/>
    </xf>
    <xf numFmtId="184" fontId="111" fillId="56" borderId="40" xfId="63" applyNumberFormat="1" applyFont="1" applyFill="1" applyBorder="1" applyAlignment="1">
      <alignment vertical="center" wrapText="1"/>
    </xf>
    <xf numFmtId="184" fontId="111" fillId="0" borderId="41" xfId="63" applyNumberFormat="1" applyFont="1" applyBorder="1" applyAlignment="1">
      <alignment vertical="center" wrapText="1"/>
    </xf>
    <xf numFmtId="3" fontId="112" fillId="57" borderId="30" xfId="63" applyNumberFormat="1" applyFont="1" applyFill="1" applyBorder="1" applyAlignment="1">
      <alignment vertical="center" wrapText="1"/>
    </xf>
    <xf numFmtId="3" fontId="112" fillId="57" borderId="26" xfId="63" applyNumberFormat="1" applyFont="1" applyFill="1" applyBorder="1" applyAlignment="1">
      <alignment vertical="center" wrapText="1"/>
    </xf>
    <xf numFmtId="9" fontId="112" fillId="57" borderId="26" xfId="63" applyNumberFormat="1" applyFont="1" applyFill="1" applyBorder="1" applyAlignment="1">
      <alignment vertical="center" wrapText="1"/>
    </xf>
    <xf numFmtId="3" fontId="112" fillId="57" borderId="27" xfId="63" applyNumberFormat="1" applyFont="1" applyFill="1" applyBorder="1" applyAlignment="1">
      <alignment vertical="center" wrapText="1"/>
    </xf>
    <xf numFmtId="9" fontId="112" fillId="57" borderId="27" xfId="63" applyNumberFormat="1" applyFont="1" applyFill="1" applyBorder="1" applyAlignment="1">
      <alignment vertical="center" wrapText="1"/>
    </xf>
    <xf numFmtId="184" fontId="111" fillId="56" borderId="41" xfId="63" applyNumberFormat="1" applyFont="1" applyFill="1" applyBorder="1" applyAlignment="1">
      <alignment vertical="center" wrapText="1"/>
    </xf>
    <xf numFmtId="184" fontId="111" fillId="56" borderId="42" xfId="63" applyNumberFormat="1" applyFont="1" applyFill="1" applyBorder="1" applyAlignment="1">
      <alignment vertical="center" wrapText="1"/>
    </xf>
    <xf numFmtId="3" fontId="111" fillId="57" borderId="30" xfId="63" applyNumberFormat="1" applyFont="1" applyFill="1" applyBorder="1" applyAlignment="1">
      <alignment vertical="center" wrapText="1"/>
    </xf>
    <xf numFmtId="3" fontId="111" fillId="57" borderId="27" xfId="63" applyNumberFormat="1" applyFont="1" applyFill="1" applyBorder="1" applyAlignment="1">
      <alignment vertical="center" wrapText="1"/>
    </xf>
    <xf numFmtId="9" fontId="111" fillId="57" borderId="27" xfId="63" applyNumberFormat="1" applyFont="1" applyFill="1" applyBorder="1" applyAlignment="1">
      <alignment vertical="center" wrapText="1"/>
    </xf>
    <xf numFmtId="184" fontId="111" fillId="57" borderId="27" xfId="63" applyNumberFormat="1" applyFont="1" applyFill="1" applyBorder="1" applyAlignment="1">
      <alignment vertical="center" wrapText="1"/>
    </xf>
    <xf numFmtId="3" fontId="111" fillId="57" borderId="31" xfId="63" applyNumberFormat="1" applyFont="1" applyFill="1" applyBorder="1" applyAlignment="1">
      <alignment vertical="center" wrapText="1"/>
    </xf>
    <xf numFmtId="3" fontId="111" fillId="57" borderId="34" xfId="63" applyNumberFormat="1" applyFont="1" applyFill="1" applyBorder="1" applyAlignment="1">
      <alignment vertical="center" wrapText="1"/>
    </xf>
    <xf numFmtId="184" fontId="111" fillId="57" borderId="34" xfId="63" applyNumberFormat="1" applyFont="1" applyFill="1" applyBorder="1" applyAlignment="1">
      <alignment vertical="center" wrapText="1"/>
    </xf>
    <xf numFmtId="0" fontId="29" fillId="0" borderId="0" xfId="59" applyFont="1">
      <alignment/>
      <protection/>
    </xf>
    <xf numFmtId="0" fontId="56" fillId="0" borderId="0" xfId="59" applyFont="1">
      <alignment/>
      <protection/>
    </xf>
    <xf numFmtId="0" fontId="30" fillId="0" borderId="0" xfId="59" applyFont="1" applyBorder="1">
      <alignment/>
      <protection/>
    </xf>
    <xf numFmtId="179" fontId="29" fillId="0" borderId="0" xfId="42" applyFont="1" applyAlignment="1">
      <alignment/>
    </xf>
    <xf numFmtId="179" fontId="113" fillId="0" borderId="0" xfId="42" applyFont="1" applyBorder="1" applyAlignment="1">
      <alignment horizontal="center"/>
    </xf>
    <xf numFmtId="0" fontId="87" fillId="37" borderId="11" xfId="59" applyFont="1" applyFill="1" applyBorder="1" applyAlignment="1">
      <alignment horizontal="center" wrapText="1"/>
      <protection/>
    </xf>
    <xf numFmtId="0" fontId="87" fillId="37" borderId="37" xfId="59" applyFont="1" applyFill="1" applyBorder="1" applyAlignment="1">
      <alignment horizontal="center" wrapText="1"/>
      <protection/>
    </xf>
    <xf numFmtId="0" fontId="86" fillId="0" borderId="11" xfId="59" applyFont="1" applyFill="1" applyBorder="1" applyAlignment="1">
      <alignment horizontal="left" vertical="top" wrapText="1"/>
      <protection/>
    </xf>
    <xf numFmtId="0" fontId="86" fillId="0" borderId="11" xfId="59" applyFont="1" applyBorder="1" applyAlignment="1">
      <alignment vertical="top" wrapText="1"/>
      <protection/>
    </xf>
    <xf numFmtId="0" fontId="29" fillId="0" borderId="11" xfId="59" applyFont="1" applyBorder="1" applyAlignment="1">
      <alignment wrapText="1"/>
      <protection/>
    </xf>
    <xf numFmtId="0" fontId="87" fillId="0" borderId="11" xfId="59" applyFont="1" applyBorder="1" applyAlignment="1">
      <alignment wrapText="1"/>
      <protection/>
    </xf>
    <xf numFmtId="0" fontId="30" fillId="0" borderId="11" xfId="59" applyFont="1" applyBorder="1" applyAlignment="1">
      <alignment wrapText="1"/>
      <protection/>
    </xf>
    <xf numFmtId="0" fontId="87" fillId="58" borderId="11" xfId="59" applyFont="1" applyFill="1" applyBorder="1" applyAlignment="1">
      <alignment wrapText="1"/>
      <protection/>
    </xf>
    <xf numFmtId="0" fontId="29" fillId="41" borderId="11" xfId="59" applyFont="1" applyFill="1" applyBorder="1">
      <alignment/>
      <protection/>
    </xf>
    <xf numFmtId="0" fontId="87" fillId="37" borderId="11" xfId="59" applyFont="1" applyFill="1" applyBorder="1" applyAlignment="1">
      <alignment wrapText="1"/>
      <protection/>
    </xf>
    <xf numFmtId="0" fontId="30" fillId="55" borderId="11" xfId="59" applyFont="1" applyFill="1" applyBorder="1">
      <alignment/>
      <protection/>
    </xf>
    <xf numFmtId="211" fontId="30" fillId="55" borderId="11" xfId="44" applyFont="1" applyFill="1" applyBorder="1" applyAlignment="1">
      <alignment horizontal="center"/>
    </xf>
    <xf numFmtId="0" fontId="30" fillId="46" borderId="11" xfId="59" applyFont="1" applyFill="1" applyBorder="1" applyAlignment="1">
      <alignment vertical="center"/>
      <protection/>
    </xf>
    <xf numFmtId="181" fontId="86" fillId="46" borderId="11" xfId="44" applyNumberFormat="1" applyFont="1" applyFill="1" applyBorder="1" applyAlignment="1">
      <alignment horizontal="center" vertical="center"/>
    </xf>
    <xf numFmtId="181" fontId="87" fillId="46" borderId="11" xfId="44" applyNumberFormat="1" applyFont="1" applyFill="1" applyBorder="1" applyAlignment="1">
      <alignment horizontal="center" vertical="center"/>
    </xf>
    <xf numFmtId="0" fontId="30" fillId="39" borderId="11" xfId="59" applyFont="1" applyFill="1" applyBorder="1" applyAlignment="1">
      <alignment vertical="center"/>
      <protection/>
    </xf>
    <xf numFmtId="181" fontId="86" fillId="39" borderId="11" xfId="44" applyNumberFormat="1" applyFont="1" applyFill="1" applyBorder="1" applyAlignment="1">
      <alignment horizontal="center" vertical="center"/>
    </xf>
    <xf numFmtId="0" fontId="30" fillId="40" borderId="11" xfId="59" applyFont="1" applyFill="1" applyBorder="1" applyAlignment="1">
      <alignment vertical="center"/>
      <protection/>
    </xf>
    <xf numFmtId="181" fontId="86" fillId="40" borderId="11" xfId="44" applyNumberFormat="1" applyFont="1" applyFill="1" applyBorder="1" applyAlignment="1">
      <alignment horizontal="center" vertical="center"/>
    </xf>
    <xf numFmtId="181" fontId="87" fillId="40" borderId="11" xfId="44" applyNumberFormat="1" applyFont="1" applyFill="1" applyBorder="1" applyAlignment="1">
      <alignment horizontal="center" vertical="center"/>
    </xf>
    <xf numFmtId="0" fontId="29" fillId="58" borderId="11" xfId="59" applyFont="1" applyFill="1" applyBorder="1">
      <alignment/>
      <protection/>
    </xf>
    <xf numFmtId="43" fontId="29" fillId="58" borderId="11" xfId="59" applyNumberFormat="1" applyFont="1" applyFill="1" applyBorder="1">
      <alignment/>
      <protection/>
    </xf>
    <xf numFmtId="43" fontId="30" fillId="58" borderId="11" xfId="59" applyNumberFormat="1" applyFont="1" applyFill="1" applyBorder="1">
      <alignment/>
      <protection/>
    </xf>
    <xf numFmtId="0" fontId="30" fillId="55" borderId="11" xfId="59" applyFont="1" applyFill="1" applyBorder="1" applyAlignment="1">
      <alignment/>
      <protection/>
    </xf>
    <xf numFmtId="181" fontId="86" fillId="46" borderId="11" xfId="44" applyNumberFormat="1" applyFont="1" applyFill="1" applyBorder="1" applyAlignment="1">
      <alignment vertical="center"/>
    </xf>
    <xf numFmtId="181" fontId="86" fillId="39" borderId="11" xfId="44" applyNumberFormat="1" applyFont="1" applyFill="1" applyBorder="1" applyAlignment="1">
      <alignment vertical="center"/>
    </xf>
    <xf numFmtId="181" fontId="86" fillId="40" borderId="11" xfId="44" applyNumberFormat="1" applyFont="1" applyFill="1" applyBorder="1" applyAlignment="1">
      <alignment vertical="center"/>
    </xf>
    <xf numFmtId="0" fontId="84" fillId="55" borderId="11" xfId="59" applyFont="1" applyFill="1" applyBorder="1" applyAlignment="1">
      <alignment wrapText="1"/>
      <protection/>
    </xf>
    <xf numFmtId="0" fontId="84" fillId="55" borderId="11" xfId="59" applyFont="1" applyFill="1" applyBorder="1" applyAlignment="1">
      <alignment horizontal="center" vertical="center" wrapText="1"/>
      <protection/>
    </xf>
    <xf numFmtId="0" fontId="84" fillId="55" borderId="11" xfId="59" applyFont="1" applyFill="1" applyBorder="1" applyAlignment="1">
      <alignment horizontal="center" wrapText="1"/>
      <protection/>
    </xf>
    <xf numFmtId="181" fontId="29" fillId="0" borderId="11" xfId="44" applyNumberFormat="1" applyFont="1" applyBorder="1" applyAlignment="1">
      <alignment vertical="center" wrapText="1"/>
    </xf>
    <xf numFmtId="9" fontId="29" fillId="0" borderId="11" xfId="64" applyFont="1" applyBorder="1" applyAlignment="1">
      <alignment vertical="center" wrapText="1"/>
    </xf>
    <xf numFmtId="9" fontId="88" fillId="0" borderId="11" xfId="64" applyFont="1" applyBorder="1" applyAlignment="1">
      <alignment vertical="center" wrapText="1"/>
    </xf>
    <xf numFmtId="181" fontId="29" fillId="0" borderId="11" xfId="59" applyNumberFormat="1" applyFont="1" applyBorder="1" applyAlignment="1">
      <alignment vertical="center" wrapText="1"/>
      <protection/>
    </xf>
    <xf numFmtId="0" fontId="84" fillId="0" borderId="11" xfId="59" applyFont="1" applyBorder="1" applyAlignment="1">
      <alignment wrapText="1"/>
      <protection/>
    </xf>
    <xf numFmtId="181" fontId="84" fillId="0" borderId="11" xfId="59" applyNumberFormat="1" applyFont="1" applyBorder="1" applyAlignment="1">
      <alignment wrapText="1"/>
      <protection/>
    </xf>
    <xf numFmtId="9" fontId="84" fillId="0" borderId="11" xfId="64" applyFont="1" applyBorder="1" applyAlignment="1">
      <alignment wrapText="1"/>
    </xf>
    <xf numFmtId="9" fontId="84" fillId="0" borderId="11" xfId="59" applyNumberFormat="1" applyFont="1" applyBorder="1" applyAlignment="1">
      <alignment wrapText="1"/>
      <protection/>
    </xf>
    <xf numFmtId="212" fontId="84" fillId="0" borderId="11" xfId="44" applyNumberFormat="1" applyFont="1" applyBorder="1" applyAlignment="1">
      <alignment wrapText="1"/>
    </xf>
    <xf numFmtId="181" fontId="84" fillId="0" borderId="11" xfId="44" applyNumberFormat="1" applyFont="1" applyBorder="1" applyAlignment="1">
      <alignment wrapText="1"/>
    </xf>
    <xf numFmtId="9" fontId="29" fillId="0" borderId="11" xfId="64" applyFont="1" applyBorder="1" applyAlignment="1">
      <alignment wrapText="1"/>
    </xf>
    <xf numFmtId="17" fontId="30" fillId="40" borderId="0" xfId="0" applyNumberFormat="1" applyFont="1" applyFill="1" applyAlignment="1" applyProtection="1">
      <alignment horizontal="center"/>
      <protection locked="0"/>
    </xf>
    <xf numFmtId="0" fontId="87" fillId="17" borderId="43" xfId="0" applyFont="1" applyFill="1" applyBorder="1" applyAlignment="1">
      <alignment vertical="center" wrapText="1"/>
    </xf>
    <xf numFmtId="0" fontId="87" fillId="17" borderId="44" xfId="0" applyFont="1" applyFill="1" applyBorder="1" applyAlignment="1">
      <alignment vertical="center" wrapText="1"/>
    </xf>
    <xf numFmtId="0" fontId="87" fillId="17" borderId="18" xfId="0" applyFont="1" applyFill="1" applyBorder="1" applyAlignment="1">
      <alignment vertical="center"/>
    </xf>
    <xf numFmtId="9" fontId="87" fillId="38" borderId="35" xfId="63" applyFont="1" applyFill="1" applyBorder="1" applyAlignment="1">
      <alignment horizontal="left" vertical="center" wrapText="1"/>
    </xf>
    <xf numFmtId="9" fontId="87" fillId="38" borderId="44" xfId="63" applyFont="1" applyFill="1" applyBorder="1" applyAlignment="1">
      <alignment horizontal="left" vertical="center" wrapText="1"/>
    </xf>
    <xf numFmtId="0" fontId="87" fillId="33" borderId="16" xfId="0" applyFont="1" applyFill="1" applyBorder="1" applyAlignment="1">
      <alignment horizontal="center" vertical="center"/>
    </xf>
    <xf numFmtId="0" fontId="88" fillId="33" borderId="0" xfId="0" applyFont="1" applyFill="1" applyAlignment="1">
      <alignment vertical="top"/>
    </xf>
    <xf numFmtId="0" fontId="87" fillId="33" borderId="45" xfId="0" applyFont="1" applyFill="1" applyBorder="1" applyAlignment="1" quotePrefix="1">
      <alignment vertical="top"/>
    </xf>
    <xf numFmtId="0" fontId="86" fillId="0" borderId="11" xfId="0" applyFont="1" applyBorder="1" applyAlignment="1" applyProtection="1">
      <alignment vertical="top" wrapText="1"/>
      <protection locked="0"/>
    </xf>
    <xf numFmtId="0" fontId="88" fillId="33" borderId="0" xfId="0" applyFont="1" applyFill="1" applyAlignment="1">
      <alignment/>
    </xf>
    <xf numFmtId="0" fontId="86" fillId="0" borderId="23" xfId="0" applyFont="1" applyBorder="1" applyAlignment="1">
      <alignment vertical="top"/>
    </xf>
    <xf numFmtId="0" fontId="86" fillId="0" borderId="25" xfId="0" applyFont="1" applyFill="1" applyBorder="1" applyAlignment="1" applyProtection="1">
      <alignment vertical="top" wrapText="1"/>
      <protection locked="0"/>
    </xf>
    <xf numFmtId="0" fontId="87" fillId="0" borderId="23" xfId="0" applyFont="1" applyBorder="1" applyAlignment="1">
      <alignment vertical="top" wrapText="1"/>
    </xf>
    <xf numFmtId="9" fontId="86" fillId="0" borderId="11" xfId="63" applyFont="1" applyFill="1" applyBorder="1" applyAlignment="1">
      <alignment horizontal="left" vertical="top" wrapText="1"/>
    </xf>
    <xf numFmtId="0" fontId="86" fillId="40" borderId="23" xfId="0" applyFont="1" applyFill="1" applyBorder="1" applyAlignment="1">
      <alignment vertical="top"/>
    </xf>
    <xf numFmtId="0" fontId="86" fillId="40" borderId="11" xfId="0" applyFont="1" applyFill="1" applyBorder="1" applyAlignment="1">
      <alignment vertical="top" wrapText="1"/>
    </xf>
    <xf numFmtId="0" fontId="86" fillId="40" borderId="32" xfId="0" applyFont="1" applyFill="1" applyBorder="1" applyAlignment="1">
      <alignment vertical="top" wrapText="1"/>
    </xf>
    <xf numFmtId="0" fontId="86" fillId="40" borderId="25" xfId="0" applyFont="1" applyFill="1" applyBorder="1" applyAlignment="1" applyProtection="1">
      <alignment vertical="top" wrapText="1"/>
      <protection locked="0"/>
    </xf>
    <xf numFmtId="0" fontId="87" fillId="0" borderId="32" xfId="0" applyFont="1" applyBorder="1" applyAlignment="1">
      <alignment vertical="top" wrapText="1"/>
    </xf>
    <xf numFmtId="0" fontId="86" fillId="0" borderId="0" xfId="0" applyFont="1" applyFill="1" applyAlignment="1" applyProtection="1">
      <alignment vertical="center" wrapText="1"/>
      <protection locked="0"/>
    </xf>
    <xf numFmtId="0" fontId="86" fillId="0" borderId="46" xfId="0" applyFont="1" applyBorder="1" applyAlignment="1">
      <alignment vertical="top"/>
    </xf>
    <xf numFmtId="0" fontId="86" fillId="0" borderId="11" xfId="0" applyFont="1" applyBorder="1" applyAlignment="1">
      <alignment horizontal="justify" vertical="top"/>
    </xf>
    <xf numFmtId="0" fontId="87" fillId="40" borderId="11" xfId="0" applyFont="1" applyFill="1" applyBorder="1" applyAlignment="1">
      <alignment vertical="top" wrapText="1"/>
    </xf>
    <xf numFmtId="0" fontId="113" fillId="0" borderId="0" xfId="0" applyFont="1" applyAlignment="1">
      <alignment/>
    </xf>
    <xf numFmtId="9" fontId="87" fillId="19" borderId="11" xfId="63" applyFont="1" applyFill="1" applyBorder="1" applyAlignment="1">
      <alignment horizontal="left" vertical="center" wrapText="1"/>
    </xf>
    <xf numFmtId="9" fontId="87" fillId="19" borderId="37" xfId="63" applyFont="1" applyFill="1" applyBorder="1" applyAlignment="1">
      <alignment horizontal="left" vertical="center" wrapText="1"/>
    </xf>
    <xf numFmtId="0" fontId="92" fillId="19" borderId="13" xfId="0" applyFont="1" applyFill="1" applyBorder="1" applyAlignment="1">
      <alignment vertical="center"/>
    </xf>
    <xf numFmtId="0" fontId="86" fillId="0" borderId="32" xfId="0" applyFont="1" applyFill="1" applyBorder="1" applyAlignment="1">
      <alignment vertical="top" wrapText="1"/>
    </xf>
    <xf numFmtId="9" fontId="87" fillId="25" borderId="11" xfId="63" applyFont="1" applyFill="1" applyBorder="1" applyAlignment="1">
      <alignment horizontal="left" vertical="center"/>
    </xf>
    <xf numFmtId="9" fontId="30" fillId="38" borderId="11" xfId="63" applyFont="1" applyFill="1" applyBorder="1" applyAlignment="1">
      <alignment horizontal="left" vertical="center" wrapText="1"/>
    </xf>
    <xf numFmtId="0" fontId="29" fillId="0" borderId="11" xfId="0" applyFont="1" applyBorder="1" applyAlignment="1">
      <alignment wrapText="1"/>
    </xf>
    <xf numFmtId="0" fontId="29" fillId="0" borderId="11" xfId="0" applyFont="1" applyBorder="1" applyAlignment="1" applyProtection="1">
      <alignment vertical="top" wrapText="1"/>
      <protection locked="0"/>
    </xf>
    <xf numFmtId="0" fontId="29" fillId="0" borderId="0" xfId="0" applyFont="1" applyAlignment="1">
      <alignment vertical="center" wrapText="1"/>
    </xf>
    <xf numFmtId="0" fontId="29" fillId="0" borderId="0" xfId="0" applyFont="1" applyAlignment="1">
      <alignment vertical="center"/>
    </xf>
    <xf numFmtId="0" fontId="86" fillId="0" borderId="11" xfId="0" applyFont="1" applyFill="1" applyBorder="1" applyAlignment="1">
      <alignment horizontal="left" vertical="top" wrapText="1"/>
    </xf>
    <xf numFmtId="0" fontId="86" fillId="40" borderId="32" xfId="0" applyFont="1" applyFill="1" applyBorder="1" applyAlignment="1">
      <alignment horizontal="left" vertical="top" wrapText="1"/>
    </xf>
    <xf numFmtId="0" fontId="92" fillId="40" borderId="11" xfId="0" applyFont="1" applyFill="1" applyBorder="1" applyAlignment="1" quotePrefix="1">
      <alignment vertical="top"/>
    </xf>
    <xf numFmtId="9" fontId="92" fillId="40" borderId="11" xfId="63" applyFont="1" applyFill="1" applyBorder="1" applyAlignment="1">
      <alignment horizontal="left" vertical="top" wrapText="1"/>
    </xf>
    <xf numFmtId="0" fontId="92" fillId="40" borderId="11" xfId="0" applyFont="1" applyFill="1" applyBorder="1" applyAlignment="1">
      <alignment horizontal="left" vertical="top" wrapText="1"/>
    </xf>
    <xf numFmtId="0" fontId="92" fillId="19" borderId="11" xfId="0" applyFont="1" applyFill="1" applyBorder="1" applyAlignment="1" quotePrefix="1">
      <alignment vertical="top"/>
    </xf>
    <xf numFmtId="9" fontId="92" fillId="19" borderId="11" xfId="63" applyFont="1" applyFill="1" applyBorder="1" applyAlignment="1">
      <alignment horizontal="left" vertical="top" wrapText="1"/>
    </xf>
    <xf numFmtId="0" fontId="92" fillId="19" borderId="11" xfId="0" applyFont="1" applyFill="1" applyBorder="1" applyAlignment="1">
      <alignment horizontal="left" vertical="top" wrapText="1"/>
    </xf>
    <xf numFmtId="0" fontId="87" fillId="39" borderId="47" xfId="0" applyFont="1" applyFill="1" applyBorder="1" applyAlignment="1">
      <alignment horizontal="center" vertical="top" wrapText="1"/>
    </xf>
    <xf numFmtId="0" fontId="86" fillId="39" borderId="47" xfId="0" applyFont="1" applyFill="1" applyBorder="1" applyAlignment="1">
      <alignment vertical="top" wrapText="1"/>
    </xf>
    <xf numFmtId="0" fontId="92" fillId="19" borderId="11" xfId="0" applyFont="1" applyFill="1" applyBorder="1" applyAlignment="1">
      <alignment vertical="top"/>
    </xf>
    <xf numFmtId="0" fontId="87" fillId="39" borderId="28" xfId="0" applyFont="1" applyFill="1" applyBorder="1" applyAlignment="1">
      <alignment horizontal="center" vertical="top" wrapText="1"/>
    </xf>
    <xf numFmtId="0" fontId="86" fillId="39" borderId="11" xfId="0" applyFont="1" applyFill="1" applyBorder="1" applyAlignment="1">
      <alignment vertical="top"/>
    </xf>
    <xf numFmtId="0" fontId="92" fillId="40" borderId="11" xfId="0" applyFont="1" applyFill="1" applyBorder="1" applyAlignment="1">
      <alignment vertical="top"/>
    </xf>
    <xf numFmtId="9" fontId="86" fillId="33" borderId="11" xfId="63" applyFont="1" applyFill="1" applyBorder="1" applyAlignment="1">
      <alignment horizontal="left" vertical="top" wrapText="1"/>
    </xf>
    <xf numFmtId="0" fontId="87" fillId="33" borderId="11" xfId="0" applyFont="1" applyFill="1" applyBorder="1" applyAlignment="1">
      <alignment horizontal="center" vertical="top" wrapText="1"/>
    </xf>
    <xf numFmtId="0" fontId="92" fillId="19" borderId="13" xfId="0" applyFont="1" applyFill="1" applyBorder="1" applyAlignment="1">
      <alignment vertical="top"/>
    </xf>
    <xf numFmtId="9" fontId="87" fillId="19" borderId="11" xfId="63" applyFont="1" applyFill="1" applyBorder="1" applyAlignment="1">
      <alignment horizontal="left" vertical="top" wrapText="1"/>
    </xf>
    <xf numFmtId="9" fontId="87" fillId="19" borderId="37" xfId="63" applyFont="1" applyFill="1" applyBorder="1" applyAlignment="1">
      <alignment horizontal="left" vertical="top" wrapText="1"/>
    </xf>
    <xf numFmtId="0" fontId="87" fillId="33" borderId="32" xfId="0" applyFont="1" applyFill="1" applyBorder="1" applyAlignment="1">
      <alignment horizontal="center" vertical="top" wrapText="1"/>
    </xf>
    <xf numFmtId="9" fontId="87" fillId="33" borderId="32" xfId="63" applyFont="1" applyFill="1" applyBorder="1" applyAlignment="1">
      <alignment horizontal="left" vertical="top" wrapText="1"/>
    </xf>
    <xf numFmtId="0" fontId="29" fillId="0" borderId="11" xfId="0" applyFont="1" applyBorder="1" applyAlignment="1">
      <alignment vertical="top"/>
    </xf>
    <xf numFmtId="9" fontId="29" fillId="0" borderId="11" xfId="63" applyFont="1" applyFill="1" applyBorder="1" applyAlignment="1">
      <alignment horizontal="left" vertical="top"/>
    </xf>
    <xf numFmtId="0" fontId="30" fillId="33" borderId="11" xfId="0" applyFont="1" applyFill="1" applyBorder="1" applyAlignment="1">
      <alignment horizontal="center" vertical="top" wrapText="1"/>
    </xf>
    <xf numFmtId="0" fontId="30" fillId="38" borderId="11" xfId="0" applyFont="1" applyFill="1" applyBorder="1" applyAlignment="1">
      <alignment horizontal="center" vertical="top" wrapText="1"/>
    </xf>
    <xf numFmtId="9" fontId="30" fillId="38" borderId="11" xfId="63" applyFont="1" applyFill="1" applyBorder="1" applyAlignment="1">
      <alignment horizontal="left" vertical="top" wrapText="1"/>
    </xf>
    <xf numFmtId="0" fontId="30" fillId="4" borderId="11" xfId="0" applyFont="1" applyFill="1" applyBorder="1" applyAlignment="1">
      <alignment vertical="top"/>
    </xf>
    <xf numFmtId="0" fontId="29" fillId="0" borderId="10" xfId="0" applyFont="1" applyBorder="1" applyAlignment="1">
      <alignment vertical="top" wrapText="1"/>
    </xf>
    <xf numFmtId="9" fontId="29" fillId="0" borderId="11" xfId="63" applyFont="1" applyFill="1" applyBorder="1" applyAlignment="1">
      <alignment horizontal="center" vertical="top" wrapText="1"/>
    </xf>
    <xf numFmtId="0" fontId="29" fillId="36" borderId="11" xfId="0" applyFont="1" applyFill="1" applyBorder="1" applyAlignment="1">
      <alignment horizontal="center" vertical="top" wrapText="1"/>
    </xf>
    <xf numFmtId="0" fontId="30" fillId="34" borderId="0" xfId="0" applyFont="1" applyFill="1" applyBorder="1" applyAlignment="1" applyProtection="1">
      <alignment horizontal="center" vertical="top"/>
      <protection locked="0"/>
    </xf>
    <xf numFmtId="17" fontId="30" fillId="33" borderId="0" xfId="0" applyNumberFormat="1" applyFont="1" applyFill="1" applyAlignment="1" applyProtection="1">
      <alignment horizontal="center" vertical="top"/>
      <protection locked="0"/>
    </xf>
    <xf numFmtId="0" fontId="87" fillId="38" borderId="16" xfId="0" applyFont="1" applyFill="1" applyBorder="1" applyAlignment="1">
      <alignment horizontal="center" vertical="top" wrapText="1"/>
    </xf>
    <xf numFmtId="0" fontId="87" fillId="38" borderId="18" xfId="0" applyFont="1" applyFill="1" applyBorder="1" applyAlignment="1">
      <alignment horizontal="center" vertical="top" wrapText="1"/>
    </xf>
    <xf numFmtId="0" fontId="86" fillId="0" borderId="11" xfId="0" applyFont="1" applyFill="1" applyBorder="1" applyAlignment="1">
      <alignment horizontal="center" vertical="top" wrapText="1"/>
    </xf>
    <xf numFmtId="0" fontId="86" fillId="0" borderId="11" xfId="0" applyFont="1" applyBorder="1" applyAlignment="1">
      <alignment horizontal="center" vertical="top" wrapText="1"/>
    </xf>
    <xf numFmtId="0" fontId="86" fillId="40" borderId="11" xfId="0" applyFont="1" applyFill="1" applyBorder="1" applyAlignment="1">
      <alignment horizontal="center" vertical="top" wrapText="1"/>
    </xf>
    <xf numFmtId="0" fontId="92" fillId="40" borderId="11" xfId="0" applyFont="1" applyFill="1" applyBorder="1" applyAlignment="1">
      <alignment horizontal="center" vertical="top" wrapText="1"/>
    </xf>
    <xf numFmtId="0" fontId="92" fillId="19" borderId="11" xfId="0" applyFont="1" applyFill="1" applyBorder="1" applyAlignment="1">
      <alignment horizontal="center" vertical="top" wrapText="1"/>
    </xf>
    <xf numFmtId="0" fontId="86" fillId="39" borderId="47" xfId="0" applyFont="1" applyFill="1" applyBorder="1" applyAlignment="1">
      <alignment horizontal="center" vertical="top" wrapText="1"/>
    </xf>
    <xf numFmtId="0" fontId="86" fillId="33" borderId="11" xfId="0" applyFont="1" applyFill="1" applyBorder="1" applyAlignment="1">
      <alignment horizontal="center" vertical="top" wrapText="1"/>
    </xf>
    <xf numFmtId="0" fontId="92" fillId="19" borderId="11" xfId="0" applyFont="1" applyFill="1" applyBorder="1" applyAlignment="1">
      <alignment horizontal="center" vertical="top"/>
    </xf>
    <xf numFmtId="0" fontId="86" fillId="39" borderId="11" xfId="0" applyFont="1" applyFill="1" applyBorder="1" applyAlignment="1">
      <alignment horizontal="center" vertical="top"/>
    </xf>
    <xf numFmtId="0" fontId="92" fillId="40" borderId="11" xfId="0" applyFont="1" applyFill="1" applyBorder="1" applyAlignment="1">
      <alignment horizontal="center" vertical="top"/>
    </xf>
    <xf numFmtId="1" fontId="86" fillId="0" borderId="11" xfId="0" applyNumberFormat="1" applyFont="1" applyBorder="1" applyAlignment="1">
      <alignment horizontal="center" vertical="top" wrapText="1"/>
    </xf>
    <xf numFmtId="0" fontId="92" fillId="19" borderId="13" xfId="0" applyFont="1" applyFill="1" applyBorder="1" applyAlignment="1">
      <alignment horizontal="center" vertical="top"/>
    </xf>
    <xf numFmtId="0" fontId="86" fillId="0" borderId="32" xfId="0" applyFont="1" applyBorder="1" applyAlignment="1">
      <alignment horizontal="center" vertical="top" wrapText="1"/>
    </xf>
    <xf numFmtId="0" fontId="86" fillId="0" borderId="37" xfId="0" applyFont="1" applyBorder="1" applyAlignment="1">
      <alignment horizontal="center" vertical="top" wrapText="1"/>
    </xf>
    <xf numFmtId="0" fontId="87" fillId="25" borderId="11" xfId="0" applyFont="1" applyFill="1" applyBorder="1" applyAlignment="1">
      <alignment horizontal="center" vertical="top"/>
    </xf>
    <xf numFmtId="0" fontId="29" fillId="0" borderId="11" xfId="0" applyFont="1" applyBorder="1" applyAlignment="1">
      <alignment horizontal="center" vertical="top"/>
    </xf>
    <xf numFmtId="0" fontId="29" fillId="0" borderId="11" xfId="0" applyFont="1" applyBorder="1" applyAlignment="1">
      <alignment horizontal="center" vertical="top" wrapText="1"/>
    </xf>
    <xf numFmtId="0" fontId="30" fillId="4" borderId="11" xfId="0" applyFont="1" applyFill="1" applyBorder="1" applyAlignment="1">
      <alignment horizontal="center" vertical="top"/>
    </xf>
    <xf numFmtId="0" fontId="30" fillId="25" borderId="11" xfId="0" applyFont="1" applyFill="1" applyBorder="1" applyAlignment="1">
      <alignment horizontal="center" vertical="top"/>
    </xf>
    <xf numFmtId="0" fontId="30" fillId="35" borderId="11" xfId="0" applyFont="1" applyFill="1" applyBorder="1" applyAlignment="1">
      <alignment horizontal="center" vertical="top"/>
    </xf>
    <xf numFmtId="0" fontId="30" fillId="36" borderId="13" xfId="0" applyFont="1" applyFill="1" applyBorder="1" applyAlignment="1">
      <alignment horizontal="center" vertical="top"/>
    </xf>
    <xf numFmtId="0" fontId="29" fillId="0" borderId="0" xfId="0" applyFont="1" applyAlignment="1" applyProtection="1">
      <alignment horizontal="center" vertical="top"/>
      <protection locked="0"/>
    </xf>
    <xf numFmtId="0" fontId="29" fillId="0" borderId="0" xfId="0" applyFont="1" applyAlignment="1">
      <alignment horizontal="center" vertical="top"/>
    </xf>
    <xf numFmtId="188" fontId="29" fillId="0" borderId="11" xfId="42" applyNumberFormat="1" applyFont="1" applyFill="1" applyBorder="1" applyAlignment="1">
      <alignment horizontal="center" vertical="top" wrapText="1"/>
    </xf>
    <xf numFmtId="180" fontId="29" fillId="0" borderId="11" xfId="63" applyNumberFormat="1" applyFont="1" applyFill="1" applyBorder="1" applyAlignment="1">
      <alignment horizontal="center" vertical="top" wrapText="1"/>
    </xf>
    <xf numFmtId="188" fontId="29" fillId="36" borderId="11" xfId="42" applyNumberFormat="1" applyFont="1" applyFill="1" applyBorder="1" applyAlignment="1">
      <alignment horizontal="center" vertical="top" wrapText="1"/>
    </xf>
    <xf numFmtId="188" fontId="30" fillId="34" borderId="0" xfId="42" applyNumberFormat="1" applyFont="1" applyFill="1" applyBorder="1" applyAlignment="1" applyProtection="1">
      <alignment horizontal="center" vertical="top"/>
      <protection locked="0"/>
    </xf>
    <xf numFmtId="0" fontId="29" fillId="33" borderId="0" xfId="0" applyFont="1" applyFill="1" applyBorder="1" applyAlignment="1">
      <alignment horizontal="center" vertical="top"/>
    </xf>
    <xf numFmtId="188" fontId="29" fillId="0" borderId="0" xfId="42" applyNumberFormat="1" applyFont="1" applyAlignment="1">
      <alignment horizontal="center" vertical="top"/>
    </xf>
    <xf numFmtId="188" fontId="87" fillId="38" borderId="16" xfId="42" applyNumberFormat="1" applyFont="1" applyFill="1" applyBorder="1" applyAlignment="1">
      <alignment horizontal="center" vertical="top" wrapText="1"/>
    </xf>
    <xf numFmtId="180" fontId="87" fillId="38" borderId="16" xfId="59" applyNumberFormat="1" applyFont="1" applyFill="1" applyBorder="1" applyAlignment="1">
      <alignment horizontal="center" vertical="top" wrapText="1"/>
      <protection/>
    </xf>
    <xf numFmtId="188" fontId="87" fillId="38" borderId="18" xfId="42" applyNumberFormat="1" applyFont="1" applyFill="1" applyBorder="1" applyAlignment="1">
      <alignment horizontal="center" vertical="top" wrapText="1"/>
    </xf>
    <xf numFmtId="180" fontId="87" fillId="25" borderId="18" xfId="0" applyNumberFormat="1" applyFont="1" applyFill="1" applyBorder="1" applyAlignment="1">
      <alignment horizontal="center" vertical="top" wrapText="1"/>
    </xf>
    <xf numFmtId="188" fontId="86" fillId="0" borderId="11" xfId="42" applyNumberFormat="1" applyFont="1" applyFill="1" applyBorder="1" applyAlignment="1">
      <alignment horizontal="center" vertical="top" wrapText="1"/>
    </xf>
    <xf numFmtId="180" fontId="86" fillId="0" borderId="11" xfId="42" applyNumberFormat="1" applyFont="1" applyFill="1" applyBorder="1" applyAlignment="1">
      <alignment horizontal="center" vertical="top"/>
    </xf>
    <xf numFmtId="188" fontId="86" fillId="0" borderId="11" xfId="42" applyNumberFormat="1" applyFont="1" applyBorder="1" applyAlignment="1">
      <alignment horizontal="center" vertical="top" wrapText="1"/>
    </xf>
    <xf numFmtId="0" fontId="88" fillId="0" borderId="0" xfId="0" applyFont="1" applyAlignment="1">
      <alignment horizontal="center" vertical="top"/>
    </xf>
    <xf numFmtId="188" fontId="86" fillId="40" borderId="11" xfId="42" applyNumberFormat="1" applyFont="1" applyFill="1" applyBorder="1" applyAlignment="1">
      <alignment horizontal="center" vertical="top" wrapText="1"/>
    </xf>
    <xf numFmtId="180" fontId="86" fillId="40" borderId="11" xfId="42" applyNumberFormat="1" applyFont="1" applyFill="1" applyBorder="1" applyAlignment="1">
      <alignment horizontal="center" vertical="top"/>
    </xf>
    <xf numFmtId="188" fontId="92" fillId="40" borderId="11" xfId="42" applyNumberFormat="1" applyFont="1" applyFill="1" applyBorder="1" applyAlignment="1">
      <alignment horizontal="center" vertical="top" wrapText="1"/>
    </xf>
    <xf numFmtId="180" fontId="92" fillId="40" borderId="11" xfId="42" applyNumberFormat="1" applyFont="1" applyFill="1" applyBorder="1" applyAlignment="1">
      <alignment horizontal="center" vertical="top" wrapText="1"/>
    </xf>
    <xf numFmtId="188" fontId="92" fillId="19" borderId="11" xfId="42" applyNumberFormat="1" applyFont="1" applyFill="1" applyBorder="1" applyAlignment="1">
      <alignment horizontal="center" vertical="top" wrapText="1"/>
    </xf>
    <xf numFmtId="180" fontId="92" fillId="19" borderId="11" xfId="42" applyNumberFormat="1" applyFont="1" applyFill="1" applyBorder="1" applyAlignment="1">
      <alignment horizontal="center" vertical="top"/>
    </xf>
    <xf numFmtId="188" fontId="86" fillId="39" borderId="47" xfId="42" applyNumberFormat="1" applyFont="1" applyFill="1" applyBorder="1" applyAlignment="1">
      <alignment horizontal="center" vertical="top" wrapText="1"/>
    </xf>
    <xf numFmtId="188" fontId="86" fillId="33" borderId="11" xfId="42" applyNumberFormat="1" applyFont="1" applyFill="1" applyBorder="1" applyAlignment="1">
      <alignment horizontal="center" vertical="top" wrapText="1"/>
    </xf>
    <xf numFmtId="180" fontId="86" fillId="33" borderId="11" xfId="42" applyNumberFormat="1" applyFont="1" applyFill="1" applyBorder="1" applyAlignment="1">
      <alignment horizontal="center" vertical="top"/>
    </xf>
    <xf numFmtId="180" fontId="92" fillId="40" borderId="11" xfId="42" applyNumberFormat="1" applyFont="1" applyFill="1" applyBorder="1" applyAlignment="1">
      <alignment horizontal="center" vertical="top"/>
    </xf>
    <xf numFmtId="180" fontId="92" fillId="19" borderId="11" xfId="0" applyNumberFormat="1" applyFont="1" applyFill="1" applyBorder="1" applyAlignment="1">
      <alignment horizontal="center" vertical="top"/>
    </xf>
    <xf numFmtId="188" fontId="92" fillId="19" borderId="11" xfId="42" applyNumberFormat="1" applyFont="1" applyFill="1" applyBorder="1" applyAlignment="1">
      <alignment horizontal="center" vertical="top"/>
    </xf>
    <xf numFmtId="188" fontId="86" fillId="39" borderId="11" xfId="42" applyNumberFormat="1" applyFont="1" applyFill="1" applyBorder="1" applyAlignment="1">
      <alignment horizontal="center" vertical="top"/>
    </xf>
    <xf numFmtId="188" fontId="92" fillId="40" borderId="11" xfId="42" applyNumberFormat="1" applyFont="1" applyFill="1" applyBorder="1" applyAlignment="1">
      <alignment horizontal="center" vertical="top"/>
    </xf>
    <xf numFmtId="180" fontId="92" fillId="40" borderId="11" xfId="0" applyNumberFormat="1" applyFont="1" applyFill="1" applyBorder="1" applyAlignment="1">
      <alignment horizontal="center" vertical="top"/>
    </xf>
    <xf numFmtId="9" fontId="86" fillId="0" borderId="11" xfId="63" applyFont="1" applyBorder="1" applyAlignment="1">
      <alignment horizontal="center" vertical="top" wrapText="1"/>
    </xf>
    <xf numFmtId="188" fontId="92" fillId="19" borderId="13" xfId="42" applyNumberFormat="1" applyFont="1" applyFill="1" applyBorder="1" applyAlignment="1">
      <alignment horizontal="center" vertical="top"/>
    </xf>
    <xf numFmtId="180" fontId="92" fillId="19" borderId="13" xfId="0" applyNumberFormat="1" applyFont="1" applyFill="1" applyBorder="1" applyAlignment="1">
      <alignment horizontal="center" vertical="top"/>
    </xf>
    <xf numFmtId="188" fontId="86" fillId="0" borderId="32" xfId="42" applyNumberFormat="1" applyFont="1" applyBorder="1" applyAlignment="1">
      <alignment horizontal="center" vertical="top" wrapText="1"/>
    </xf>
    <xf numFmtId="9" fontId="86" fillId="0" borderId="32" xfId="63" applyFont="1" applyBorder="1" applyAlignment="1">
      <alignment horizontal="center" vertical="top" wrapText="1"/>
    </xf>
    <xf numFmtId="180" fontId="86" fillId="0" borderId="32" xfId="42" applyNumberFormat="1" applyFont="1" applyFill="1" applyBorder="1" applyAlignment="1">
      <alignment horizontal="center" vertical="top"/>
    </xf>
    <xf numFmtId="188" fontId="86" fillId="0" borderId="37" xfId="42" applyNumberFormat="1" applyFont="1" applyBorder="1" applyAlignment="1">
      <alignment horizontal="center" vertical="top" wrapText="1"/>
    </xf>
    <xf numFmtId="188" fontId="87" fillId="25" borderId="11" xfId="42" applyNumberFormat="1" applyFont="1" applyFill="1" applyBorder="1" applyAlignment="1">
      <alignment horizontal="center" vertical="top"/>
    </xf>
    <xf numFmtId="182" fontId="92" fillId="25" borderId="11" xfId="42" applyNumberFormat="1" applyFont="1" applyFill="1" applyBorder="1" applyAlignment="1">
      <alignment horizontal="center" vertical="top"/>
    </xf>
    <xf numFmtId="188" fontId="30" fillId="38" borderId="11" xfId="42" applyNumberFormat="1" applyFont="1" applyFill="1" applyBorder="1" applyAlignment="1">
      <alignment horizontal="center" vertical="top" wrapText="1"/>
    </xf>
    <xf numFmtId="180" fontId="30" fillId="38" borderId="11" xfId="0" applyNumberFormat="1" applyFont="1" applyFill="1" applyBorder="1" applyAlignment="1">
      <alignment horizontal="center" vertical="top" wrapText="1"/>
    </xf>
    <xf numFmtId="188" fontId="29" fillId="0" borderId="11" xfId="42" applyNumberFormat="1" applyFont="1" applyBorder="1" applyAlignment="1">
      <alignment horizontal="center" vertical="top"/>
    </xf>
    <xf numFmtId="180" fontId="29" fillId="0" borderId="11" xfId="0" applyNumberFormat="1" applyFont="1" applyFill="1" applyBorder="1" applyAlignment="1">
      <alignment horizontal="center" vertical="top"/>
    </xf>
    <xf numFmtId="9" fontId="29" fillId="0" borderId="11" xfId="63" applyFont="1" applyBorder="1" applyAlignment="1">
      <alignment horizontal="center" vertical="top" wrapText="1"/>
    </xf>
    <xf numFmtId="180" fontId="29" fillId="0" borderId="11" xfId="42" applyNumberFormat="1" applyFont="1" applyFill="1" applyBorder="1" applyAlignment="1">
      <alignment horizontal="center" vertical="top"/>
    </xf>
    <xf numFmtId="1" fontId="29" fillId="0" borderId="11" xfId="0" applyNumberFormat="1" applyFont="1" applyBorder="1" applyAlignment="1">
      <alignment horizontal="center" vertical="top" wrapText="1"/>
    </xf>
    <xf numFmtId="180" fontId="32" fillId="4" borderId="11" xfId="42" applyNumberFormat="1" applyFont="1" applyFill="1" applyBorder="1" applyAlignment="1">
      <alignment horizontal="center" vertical="top"/>
    </xf>
    <xf numFmtId="180" fontId="30" fillId="38" borderId="11" xfId="59" applyNumberFormat="1" applyFont="1" applyFill="1" applyBorder="1" applyAlignment="1">
      <alignment horizontal="center" vertical="top" wrapText="1"/>
      <protection/>
    </xf>
    <xf numFmtId="188" fontId="29" fillId="0" borderId="11" xfId="42" applyNumberFormat="1" applyFont="1" applyBorder="1" applyAlignment="1">
      <alignment horizontal="center" vertical="top" wrapText="1"/>
    </xf>
    <xf numFmtId="188" fontId="30" fillId="4" borderId="11" xfId="42" applyNumberFormat="1" applyFont="1" applyFill="1" applyBorder="1" applyAlignment="1">
      <alignment horizontal="center" vertical="top"/>
    </xf>
    <xf numFmtId="188" fontId="30" fillId="25" borderId="11" xfId="42" applyNumberFormat="1" applyFont="1" applyFill="1" applyBorder="1" applyAlignment="1">
      <alignment horizontal="center" vertical="top"/>
    </xf>
    <xf numFmtId="188" fontId="30" fillId="35" borderId="11" xfId="42" applyNumberFormat="1" applyFont="1" applyFill="1" applyBorder="1" applyAlignment="1">
      <alignment horizontal="center" vertical="top"/>
    </xf>
    <xf numFmtId="180" fontId="30" fillId="35" borderId="11" xfId="0" applyNumberFormat="1" applyFont="1" applyFill="1" applyBorder="1" applyAlignment="1">
      <alignment horizontal="center" vertical="top" wrapText="1"/>
    </xf>
    <xf numFmtId="180" fontId="30" fillId="36" borderId="11" xfId="0" applyNumberFormat="1" applyFont="1" applyFill="1" applyBorder="1" applyAlignment="1">
      <alignment horizontal="center" vertical="top"/>
    </xf>
    <xf numFmtId="188" fontId="30" fillId="36" borderId="13" xfId="42" applyNumberFormat="1" applyFont="1" applyFill="1" applyBorder="1" applyAlignment="1">
      <alignment horizontal="center" vertical="top"/>
    </xf>
    <xf numFmtId="180" fontId="30" fillId="36" borderId="13" xfId="0" applyNumberFormat="1" applyFont="1" applyFill="1" applyBorder="1" applyAlignment="1">
      <alignment horizontal="center" vertical="top"/>
    </xf>
    <xf numFmtId="188" fontId="29" fillId="0" borderId="0" xfId="42" applyNumberFormat="1" applyFont="1" applyAlignment="1" applyProtection="1">
      <alignment horizontal="center" vertical="top"/>
      <protection locked="0"/>
    </xf>
    <xf numFmtId="180" fontId="29" fillId="0" borderId="0" xfId="0" applyNumberFormat="1" applyFont="1" applyAlignment="1" applyProtection="1">
      <alignment horizontal="center" vertical="top"/>
      <protection locked="0"/>
    </xf>
    <xf numFmtId="180" fontId="29" fillId="0" borderId="0" xfId="0" applyNumberFormat="1" applyFont="1" applyAlignment="1">
      <alignment horizontal="center" vertical="top"/>
    </xf>
    <xf numFmtId="0" fontId="30" fillId="34" borderId="0" xfId="0" applyFont="1" applyFill="1" applyBorder="1" applyAlignment="1" applyProtection="1">
      <alignment vertical="top"/>
      <protection locked="0"/>
    </xf>
    <xf numFmtId="0" fontId="29" fillId="33" borderId="0" xfId="0" applyFont="1" applyFill="1" applyBorder="1" applyAlignment="1">
      <alignment vertical="top"/>
    </xf>
    <xf numFmtId="0" fontId="86" fillId="0" borderId="39" xfId="0" applyFont="1" applyBorder="1" applyAlignment="1">
      <alignment vertical="top"/>
    </xf>
    <xf numFmtId="180" fontId="87" fillId="25" borderId="18" xfId="0" applyNumberFormat="1" applyFont="1" applyFill="1" applyBorder="1" applyAlignment="1">
      <alignment vertical="top" wrapText="1"/>
    </xf>
    <xf numFmtId="0" fontId="86" fillId="39" borderId="11" xfId="0" applyFont="1" applyFill="1" applyBorder="1" applyAlignment="1">
      <alignment vertical="top" wrapText="1"/>
    </xf>
    <xf numFmtId="9" fontId="86" fillId="0" borderId="11" xfId="63" applyFont="1" applyFill="1" applyBorder="1" applyAlignment="1">
      <alignment vertical="top"/>
    </xf>
    <xf numFmtId="180" fontId="86" fillId="0" borderId="11" xfId="42" applyNumberFormat="1" applyFont="1" applyFill="1" applyBorder="1" applyAlignment="1">
      <alignment vertical="top"/>
    </xf>
    <xf numFmtId="180" fontId="86" fillId="40" borderId="11" xfId="42" applyNumberFormat="1" applyFont="1" applyFill="1" applyBorder="1" applyAlignment="1">
      <alignment vertical="top"/>
    </xf>
    <xf numFmtId="180" fontId="92" fillId="40" borderId="11" xfId="42" applyNumberFormat="1" applyFont="1" applyFill="1" applyBorder="1" applyAlignment="1">
      <alignment horizontal="right" vertical="top" wrapText="1"/>
    </xf>
    <xf numFmtId="180" fontId="92" fillId="19" borderId="11" xfId="42" applyNumberFormat="1" applyFont="1" applyFill="1" applyBorder="1" applyAlignment="1">
      <alignment vertical="top"/>
    </xf>
    <xf numFmtId="9" fontId="86" fillId="33" borderId="11" xfId="63" applyFont="1" applyFill="1" applyBorder="1" applyAlignment="1">
      <alignment vertical="top"/>
    </xf>
    <xf numFmtId="180" fontId="92" fillId="40" borderId="11" xfId="42" applyNumberFormat="1" applyFont="1" applyFill="1" applyBorder="1" applyAlignment="1">
      <alignment vertical="top"/>
    </xf>
    <xf numFmtId="180" fontId="92" fillId="19" borderId="11" xfId="0" applyNumberFormat="1" applyFont="1" applyFill="1" applyBorder="1" applyAlignment="1">
      <alignment vertical="top"/>
    </xf>
    <xf numFmtId="180" fontId="92" fillId="40" borderId="11" xfId="0" applyNumberFormat="1" applyFont="1" applyFill="1" applyBorder="1" applyAlignment="1">
      <alignment vertical="top"/>
    </xf>
    <xf numFmtId="180" fontId="92" fillId="19" borderId="13" xfId="0" applyNumberFormat="1" applyFont="1" applyFill="1" applyBorder="1" applyAlignment="1">
      <alignment vertical="top"/>
    </xf>
    <xf numFmtId="180" fontId="86" fillId="0" borderId="32" xfId="42" applyNumberFormat="1" applyFont="1" applyFill="1" applyBorder="1" applyAlignment="1">
      <alignment vertical="top"/>
    </xf>
    <xf numFmtId="180" fontId="86" fillId="0" borderId="37" xfId="42" applyNumberFormat="1" applyFont="1" applyFill="1" applyBorder="1" applyAlignment="1">
      <alignment vertical="top"/>
    </xf>
    <xf numFmtId="182" fontId="92" fillId="25" borderId="11" xfId="42" applyNumberFormat="1" applyFont="1" applyFill="1" applyBorder="1" applyAlignment="1">
      <alignment vertical="top"/>
    </xf>
    <xf numFmtId="180" fontId="29" fillId="0" borderId="11" xfId="0" applyNumberFormat="1" applyFont="1" applyFill="1" applyBorder="1" applyAlignment="1">
      <alignment vertical="top"/>
    </xf>
    <xf numFmtId="180" fontId="29" fillId="0" borderId="11" xfId="42" applyNumberFormat="1" applyFont="1" applyFill="1" applyBorder="1" applyAlignment="1">
      <alignment vertical="top"/>
    </xf>
    <xf numFmtId="180" fontId="32" fillId="4" borderId="11" xfId="42" applyNumberFormat="1" applyFont="1" applyFill="1" applyBorder="1" applyAlignment="1">
      <alignment vertical="top"/>
    </xf>
    <xf numFmtId="180" fontId="32" fillId="25" borderId="11" xfId="42" applyNumberFormat="1" applyFont="1" applyFill="1" applyBorder="1" applyAlignment="1">
      <alignment vertical="top"/>
    </xf>
    <xf numFmtId="180" fontId="30" fillId="35" borderId="11" xfId="0" applyNumberFormat="1" applyFont="1" applyFill="1" applyBorder="1" applyAlignment="1">
      <alignment vertical="top" wrapText="1"/>
    </xf>
    <xf numFmtId="180" fontId="30" fillId="36" borderId="11" xfId="0" applyNumberFormat="1" applyFont="1" applyFill="1" applyBorder="1" applyAlignment="1">
      <alignment vertical="top"/>
    </xf>
    <xf numFmtId="180" fontId="30" fillId="36" borderId="13" xfId="0" applyNumberFormat="1" applyFont="1" applyFill="1" applyBorder="1" applyAlignment="1">
      <alignment vertical="top"/>
    </xf>
    <xf numFmtId="180" fontId="29" fillId="0" borderId="0" xfId="0" applyNumberFormat="1" applyFont="1" applyAlignment="1" applyProtection="1">
      <alignment vertical="top"/>
      <protection locked="0"/>
    </xf>
    <xf numFmtId="0" fontId="29" fillId="0" borderId="0" xfId="0" applyFont="1" applyAlignment="1">
      <alignment vertical="top"/>
    </xf>
    <xf numFmtId="182" fontId="29" fillId="0" borderId="0" xfId="0" applyNumberFormat="1" applyFont="1" applyAlignment="1">
      <alignment vertical="top"/>
    </xf>
    <xf numFmtId="180" fontId="87" fillId="40" borderId="11" xfId="42" applyNumberFormat="1" applyFont="1" applyFill="1" applyBorder="1" applyAlignment="1">
      <alignment horizontal="center" vertical="top"/>
    </xf>
    <xf numFmtId="180" fontId="30" fillId="25" borderId="11" xfId="0" applyNumberFormat="1" applyFont="1" applyFill="1" applyBorder="1" applyAlignment="1">
      <alignment horizontal="center" vertical="top"/>
    </xf>
    <xf numFmtId="9" fontId="29" fillId="0" borderId="11" xfId="64" applyFont="1" applyBorder="1" applyAlignment="1">
      <alignment horizontal="center"/>
    </xf>
    <xf numFmtId="9" fontId="29" fillId="41" borderId="11" xfId="64" applyFont="1" applyFill="1" applyBorder="1" applyAlignment="1">
      <alignment horizontal="center"/>
    </xf>
    <xf numFmtId="9" fontId="87" fillId="37" borderId="11" xfId="64" applyFont="1" applyFill="1" applyBorder="1" applyAlignment="1">
      <alignment horizontal="center"/>
    </xf>
    <xf numFmtId="0" fontId="3" fillId="34" borderId="0" xfId="0" applyFont="1" applyFill="1" applyAlignment="1" applyProtection="1">
      <alignment vertical="top"/>
      <protection locked="0"/>
    </xf>
    <xf numFmtId="203" fontId="3" fillId="34" borderId="0" xfId="0" applyNumberFormat="1" applyFont="1" applyFill="1" applyAlignment="1" applyProtection="1">
      <alignment vertical="top"/>
      <protection locked="0"/>
    </xf>
    <xf numFmtId="0" fontId="58" fillId="0" borderId="0" xfId="0" applyFont="1" applyAlignment="1">
      <alignment vertical="top"/>
    </xf>
    <xf numFmtId="0" fontId="31" fillId="0" borderId="0" xfId="0" applyFont="1" applyAlignment="1">
      <alignment vertical="top"/>
    </xf>
    <xf numFmtId="0" fontId="31" fillId="0" borderId="0" xfId="0" applyFont="1" applyAlignment="1">
      <alignment vertical="top" wrapText="1"/>
    </xf>
    <xf numFmtId="0" fontId="2" fillId="34" borderId="0" xfId="0" applyFont="1" applyFill="1" applyAlignment="1" applyProtection="1">
      <alignment vertical="top"/>
      <protection locked="0"/>
    </xf>
    <xf numFmtId="203" fontId="2" fillId="34" borderId="0" xfId="0" applyNumberFormat="1" applyFont="1" applyFill="1" applyAlignment="1" applyProtection="1">
      <alignment vertical="top"/>
      <protection locked="0"/>
    </xf>
    <xf numFmtId="4" fontId="2" fillId="34" borderId="0" xfId="0" applyNumberFormat="1" applyFont="1" applyFill="1" applyAlignment="1" quotePrefix="1">
      <alignment horizontal="left" vertical="top"/>
    </xf>
    <xf numFmtId="203" fontId="2" fillId="34" borderId="0" xfId="0" applyNumberFormat="1" applyFont="1" applyFill="1" applyAlignment="1" applyProtection="1">
      <alignment horizontal="left" vertical="top"/>
      <protection locked="0"/>
    </xf>
    <xf numFmtId="204" fontId="2" fillId="34" borderId="0" xfId="0" applyNumberFormat="1" applyFont="1" applyFill="1" applyAlignment="1" applyProtection="1" quotePrefix="1">
      <alignment vertical="top"/>
      <protection locked="0"/>
    </xf>
    <xf numFmtId="0" fontId="59" fillId="0" borderId="0" xfId="0" applyFont="1" applyAlignment="1">
      <alignment vertical="top"/>
    </xf>
    <xf numFmtId="0" fontId="86" fillId="33" borderId="0" xfId="0" applyFont="1" applyFill="1" applyAlignment="1">
      <alignment vertical="top"/>
    </xf>
    <xf numFmtId="0" fontId="96" fillId="17" borderId="43" xfId="0" applyFont="1" applyFill="1" applyBorder="1" applyAlignment="1">
      <alignment vertical="top" wrapText="1"/>
    </xf>
    <xf numFmtId="0" fontId="114" fillId="17" borderId="18" xfId="0" applyFont="1" applyFill="1" applyBorder="1" applyAlignment="1">
      <alignment vertical="top"/>
    </xf>
    <xf numFmtId="9" fontId="96" fillId="38" borderId="35" xfId="63" applyFont="1" applyFill="1" applyBorder="1" applyAlignment="1">
      <alignment horizontal="left" vertical="top" wrapText="1"/>
    </xf>
    <xf numFmtId="0" fontId="114" fillId="38" borderId="16" xfId="0" applyFont="1" applyFill="1" applyBorder="1" applyAlignment="1">
      <alignment horizontal="center" vertical="top" wrapText="1"/>
    </xf>
    <xf numFmtId="205" fontId="3" fillId="12" borderId="45" xfId="42" applyNumberFormat="1" applyFont="1" applyFill="1" applyBorder="1" applyAlignment="1" applyProtection="1">
      <alignment vertical="top" wrapText="1"/>
      <protection locked="0"/>
    </xf>
    <xf numFmtId="0" fontId="31" fillId="0" borderId="11" xfId="0" applyFont="1" applyBorder="1" applyAlignment="1">
      <alignment vertical="top" wrapText="1"/>
    </xf>
    <xf numFmtId="9" fontId="96" fillId="38" borderId="44" xfId="63" applyFont="1" applyFill="1" applyBorder="1" applyAlignment="1">
      <alignment horizontal="left" vertical="top" wrapText="1"/>
    </xf>
    <xf numFmtId="0" fontId="114" fillId="38" borderId="18" xfId="0" applyFont="1" applyFill="1" applyBorder="1" applyAlignment="1">
      <alignment horizontal="center" vertical="top" wrapText="1"/>
    </xf>
    <xf numFmtId="205" fontId="8" fillId="12" borderId="22" xfId="42" applyNumberFormat="1" applyFont="1" applyFill="1" applyBorder="1" applyAlignment="1" applyProtection="1">
      <alignment vertical="top" wrapText="1"/>
      <protection locked="0"/>
    </xf>
    <xf numFmtId="205" fontId="8" fillId="12" borderId="36" xfId="42" applyNumberFormat="1" applyFont="1" applyFill="1" applyBorder="1" applyAlignment="1" applyProtection="1">
      <alignment vertical="top" wrapText="1"/>
      <protection locked="0"/>
    </xf>
    <xf numFmtId="180" fontId="87" fillId="25" borderId="48" xfId="0" applyNumberFormat="1" applyFont="1" applyFill="1" applyBorder="1" applyAlignment="1">
      <alignment vertical="top" wrapText="1"/>
    </xf>
    <xf numFmtId="0" fontId="87" fillId="39" borderId="11" xfId="0" applyFont="1" applyFill="1" applyBorder="1" applyAlignment="1">
      <alignment vertical="top"/>
    </xf>
    <xf numFmtId="0" fontId="87" fillId="39" borderId="10" xfId="0" applyFont="1" applyFill="1" applyBorder="1" applyAlignment="1">
      <alignment vertical="top"/>
    </xf>
    <xf numFmtId="0" fontId="87" fillId="39" borderId="29" xfId="0" applyFont="1" applyFill="1" applyBorder="1" applyAlignment="1">
      <alignment vertical="top"/>
    </xf>
    <xf numFmtId="0" fontId="87" fillId="39" borderId="25" xfId="0" applyFont="1" applyFill="1" applyBorder="1" applyAlignment="1">
      <alignment vertical="top"/>
    </xf>
    <xf numFmtId="0" fontId="85" fillId="0" borderId="11" xfId="0" applyFont="1" applyBorder="1" applyAlignment="1">
      <alignment vertical="top" wrapText="1"/>
    </xf>
    <xf numFmtId="0" fontId="103" fillId="0" borderId="11" xfId="0" applyFont="1" applyBorder="1" applyAlignment="1">
      <alignment horizontal="left" vertical="top" wrapText="1"/>
    </xf>
    <xf numFmtId="205" fontId="59" fillId="12" borderId="11" xfId="0" applyNumberFormat="1" applyFont="1" applyFill="1" applyBorder="1" applyAlignment="1">
      <alignment vertical="top"/>
    </xf>
    <xf numFmtId="0" fontId="103" fillId="40" borderId="32" xfId="0" applyFont="1" applyFill="1" applyBorder="1" applyAlignment="1">
      <alignment horizontal="left" vertical="top" wrapText="1"/>
    </xf>
    <xf numFmtId="180" fontId="103" fillId="40" borderId="11" xfId="42" applyNumberFormat="1" applyFont="1" applyFill="1" applyBorder="1" applyAlignment="1">
      <alignment vertical="top"/>
    </xf>
    <xf numFmtId="180" fontId="59" fillId="40" borderId="11" xfId="42" applyNumberFormat="1" applyFont="1" applyFill="1" applyBorder="1" applyAlignment="1">
      <alignment vertical="top"/>
    </xf>
    <xf numFmtId="9" fontId="101" fillId="40" borderId="11" xfId="63" applyFont="1" applyFill="1" applyBorder="1" applyAlignment="1">
      <alignment horizontal="left" vertical="top" wrapText="1"/>
    </xf>
    <xf numFmtId="0" fontId="101" fillId="40" borderId="11" xfId="0" applyFont="1" applyFill="1" applyBorder="1" applyAlignment="1">
      <alignment horizontal="left" vertical="top" wrapText="1"/>
    </xf>
    <xf numFmtId="180" fontId="101" fillId="40" borderId="11" xfId="42" applyNumberFormat="1" applyFont="1" applyFill="1" applyBorder="1" applyAlignment="1">
      <alignment horizontal="right" vertical="top" wrapText="1"/>
    </xf>
    <xf numFmtId="180" fontId="61" fillId="40" borderId="11" xfId="42" applyNumberFormat="1" applyFont="1" applyFill="1" applyBorder="1" applyAlignment="1">
      <alignment horizontal="right" vertical="top" wrapText="1"/>
    </xf>
    <xf numFmtId="9" fontId="101" fillId="19" borderId="11" xfId="63" applyFont="1" applyFill="1" applyBorder="1" applyAlignment="1">
      <alignment horizontal="left" vertical="top" wrapText="1"/>
    </xf>
    <xf numFmtId="0" fontId="115" fillId="19" borderId="11" xfId="0" applyFont="1" applyFill="1" applyBorder="1" applyAlignment="1">
      <alignment horizontal="left" vertical="top" wrapText="1"/>
    </xf>
    <xf numFmtId="180" fontId="32" fillId="19" borderId="11" xfId="42" applyNumberFormat="1" applyFont="1" applyFill="1" applyBorder="1" applyAlignment="1">
      <alignment vertical="top"/>
    </xf>
    <xf numFmtId="0" fontId="97" fillId="39" borderId="47" xfId="0" applyFont="1" applyFill="1" applyBorder="1" applyAlignment="1">
      <alignment vertical="top" wrapText="1"/>
    </xf>
    <xf numFmtId="0" fontId="30" fillId="39" borderId="11" xfId="0" applyFont="1" applyFill="1" applyBorder="1" applyAlignment="1">
      <alignment vertical="top"/>
    </xf>
    <xf numFmtId="179" fontId="59" fillId="12" borderId="11" xfId="42" applyFont="1" applyFill="1" applyBorder="1" applyAlignment="1">
      <alignment vertical="top"/>
    </xf>
    <xf numFmtId="0" fontId="115" fillId="40" borderId="11" xfId="0" applyFont="1" applyFill="1" applyBorder="1" applyAlignment="1">
      <alignment horizontal="left" vertical="top" wrapText="1"/>
    </xf>
    <xf numFmtId="180" fontId="32" fillId="40" borderId="11" xfId="42" applyNumberFormat="1" applyFont="1" applyFill="1" applyBorder="1" applyAlignment="1">
      <alignment vertical="top"/>
    </xf>
    <xf numFmtId="179" fontId="59" fillId="12" borderId="0" xfId="42" applyFont="1" applyFill="1" applyBorder="1" applyAlignment="1">
      <alignment vertical="top"/>
    </xf>
    <xf numFmtId="0" fontId="115" fillId="19" borderId="11" xfId="0" applyFont="1" applyFill="1" applyBorder="1" applyAlignment="1">
      <alignment vertical="top"/>
    </xf>
    <xf numFmtId="180" fontId="32" fillId="19" borderId="11" xfId="0" applyNumberFormat="1" applyFont="1" applyFill="1" applyBorder="1" applyAlignment="1">
      <alignment vertical="top"/>
    </xf>
    <xf numFmtId="0" fontId="29" fillId="39" borderId="11" xfId="0" applyFont="1" applyFill="1" applyBorder="1" applyAlignment="1">
      <alignment vertical="top"/>
    </xf>
    <xf numFmtId="0" fontId="99" fillId="40" borderId="11" xfId="0" applyFont="1" applyFill="1" applyBorder="1" applyAlignment="1">
      <alignment horizontal="left" vertical="top" wrapText="1"/>
    </xf>
    <xf numFmtId="180" fontId="99" fillId="40" borderId="11" xfId="0" applyNumberFormat="1" applyFont="1" applyFill="1" applyBorder="1" applyAlignment="1">
      <alignment vertical="top"/>
    </xf>
    <xf numFmtId="180" fontId="63" fillId="40" borderId="11" xfId="0" applyNumberFormat="1" applyFont="1" applyFill="1" applyBorder="1" applyAlignment="1">
      <alignment vertical="top"/>
    </xf>
    <xf numFmtId="182" fontId="59" fillId="12" borderId="11" xfId="0" applyNumberFormat="1" applyFont="1" applyFill="1" applyBorder="1" applyAlignment="1">
      <alignment vertical="top"/>
    </xf>
    <xf numFmtId="180" fontId="32" fillId="40" borderId="11" xfId="0" applyNumberFormat="1" applyFont="1" applyFill="1" applyBorder="1" applyAlignment="1">
      <alignment vertical="top"/>
    </xf>
    <xf numFmtId="9" fontId="96" fillId="19" borderId="11" xfId="63" applyFont="1" applyFill="1" applyBorder="1" applyAlignment="1">
      <alignment horizontal="left" vertical="top" wrapText="1"/>
    </xf>
    <xf numFmtId="0" fontId="115" fillId="19" borderId="13" xfId="0" applyFont="1" applyFill="1" applyBorder="1" applyAlignment="1">
      <alignment vertical="top"/>
    </xf>
    <xf numFmtId="9" fontId="96" fillId="25" borderId="11" xfId="63" applyFont="1" applyFill="1" applyBorder="1" applyAlignment="1">
      <alignment horizontal="left" vertical="top"/>
    </xf>
    <xf numFmtId="0" fontId="114" fillId="25" borderId="11" xfId="0" applyFont="1" applyFill="1" applyBorder="1" applyAlignment="1">
      <alignment horizontal="right" vertical="top"/>
    </xf>
    <xf numFmtId="182" fontId="32" fillId="25" borderId="11" xfId="42" applyNumberFormat="1" applyFont="1" applyFill="1" applyBorder="1" applyAlignment="1">
      <alignment vertical="top"/>
    </xf>
    <xf numFmtId="9" fontId="64" fillId="38" borderId="11" xfId="63" applyFont="1" applyFill="1" applyBorder="1" applyAlignment="1">
      <alignment horizontal="left" vertical="top" wrapText="1"/>
    </xf>
    <xf numFmtId="0" fontId="65" fillId="38" borderId="11" xfId="0" applyFont="1" applyFill="1" applyBorder="1" applyAlignment="1">
      <alignment horizontal="center" vertical="top" wrapText="1"/>
    </xf>
    <xf numFmtId="180" fontId="30" fillId="38" borderId="11" xfId="42" applyNumberFormat="1" applyFont="1" applyFill="1" applyBorder="1" applyAlignment="1">
      <alignment horizontal="center" vertical="top" wrapText="1"/>
    </xf>
    <xf numFmtId="0" fontId="64" fillId="25" borderId="11" xfId="0" applyFont="1" applyFill="1" applyBorder="1" applyAlignment="1">
      <alignment vertical="top"/>
    </xf>
    <xf numFmtId="0" fontId="65" fillId="25" borderId="11" xfId="0" applyFont="1" applyFill="1" applyBorder="1" applyAlignment="1">
      <alignment horizontal="right" vertical="top"/>
    </xf>
    <xf numFmtId="0" fontId="64" fillId="35" borderId="11" xfId="0" applyFont="1" applyFill="1" applyBorder="1" applyAlignment="1">
      <alignment vertical="top"/>
    </xf>
    <xf numFmtId="0" fontId="65" fillId="35" borderId="11" xfId="0" applyFont="1" applyFill="1" applyBorder="1" applyAlignment="1">
      <alignment vertical="top"/>
    </xf>
    <xf numFmtId="0" fontId="116" fillId="59" borderId="13" xfId="0" applyFont="1" applyFill="1" applyBorder="1" applyAlignment="1">
      <alignment vertical="top"/>
    </xf>
    <xf numFmtId="180" fontId="116" fillId="59" borderId="13" xfId="0" applyNumberFormat="1" applyFont="1" applyFill="1" applyBorder="1" applyAlignment="1">
      <alignment vertical="top"/>
    </xf>
    <xf numFmtId="180" fontId="116" fillId="59" borderId="12" xfId="0" applyNumberFormat="1" applyFont="1" applyFill="1" applyBorder="1" applyAlignment="1">
      <alignment vertical="top"/>
    </xf>
    <xf numFmtId="180" fontId="87" fillId="38" borderId="49" xfId="59" applyNumberFormat="1" applyFont="1" applyFill="1" applyBorder="1" applyAlignment="1">
      <alignment horizontal="center" vertical="top" wrapText="1"/>
      <protection/>
    </xf>
    <xf numFmtId="180" fontId="103" fillId="0" borderId="25" xfId="42" applyNumberFormat="1" applyFont="1" applyFill="1" applyBorder="1" applyAlignment="1">
      <alignment vertical="top"/>
    </xf>
    <xf numFmtId="180" fontId="103" fillId="40" borderId="25" xfId="42" applyNumberFormat="1" applyFont="1" applyFill="1" applyBorder="1" applyAlignment="1">
      <alignment vertical="top"/>
    </xf>
    <xf numFmtId="180" fontId="101" fillId="40" borderId="25" xfId="42" applyNumberFormat="1" applyFont="1" applyFill="1" applyBorder="1" applyAlignment="1">
      <alignment horizontal="right" vertical="top" wrapText="1"/>
    </xf>
    <xf numFmtId="180" fontId="92" fillId="19" borderId="25" xfId="42" applyNumberFormat="1" applyFont="1" applyFill="1" applyBorder="1" applyAlignment="1">
      <alignment vertical="top"/>
    </xf>
    <xf numFmtId="180" fontId="92" fillId="40" borderId="25" xfId="42" applyNumberFormat="1" applyFont="1" applyFill="1" applyBorder="1" applyAlignment="1">
      <alignment vertical="top"/>
    </xf>
    <xf numFmtId="180" fontId="92" fillId="19" borderId="25" xfId="0" applyNumberFormat="1" applyFont="1" applyFill="1" applyBorder="1" applyAlignment="1">
      <alignment vertical="top"/>
    </xf>
    <xf numFmtId="0" fontId="86" fillId="39" borderId="25" xfId="0" applyFont="1" applyFill="1" applyBorder="1" applyAlignment="1">
      <alignment vertical="top"/>
    </xf>
    <xf numFmtId="180" fontId="99" fillId="40" borderId="25" xfId="0" applyNumberFormat="1" applyFont="1" applyFill="1" applyBorder="1" applyAlignment="1">
      <alignment vertical="top"/>
    </xf>
    <xf numFmtId="180" fontId="92" fillId="40" borderId="25" xfId="0" applyNumberFormat="1" applyFont="1" applyFill="1" applyBorder="1" applyAlignment="1">
      <alignment vertical="top"/>
    </xf>
    <xf numFmtId="180" fontId="92" fillId="19" borderId="50" xfId="0" applyNumberFormat="1" applyFont="1" applyFill="1" applyBorder="1" applyAlignment="1">
      <alignment vertical="top"/>
    </xf>
    <xf numFmtId="182" fontId="92" fillId="25" borderId="25" xfId="42" applyNumberFormat="1" applyFont="1" applyFill="1" applyBorder="1" applyAlignment="1">
      <alignment vertical="top"/>
    </xf>
    <xf numFmtId="180" fontId="30" fillId="38" borderId="25" xfId="0" applyNumberFormat="1" applyFont="1" applyFill="1" applyBorder="1" applyAlignment="1">
      <alignment horizontal="center" vertical="top" wrapText="1"/>
    </xf>
    <xf numFmtId="180" fontId="30" fillId="38" borderId="25" xfId="42" applyNumberFormat="1" applyFont="1" applyFill="1" applyBorder="1" applyAlignment="1">
      <alignment horizontal="center" vertical="top" wrapText="1"/>
    </xf>
    <xf numFmtId="180" fontId="32" fillId="25" borderId="25" xfId="42" applyNumberFormat="1" applyFont="1" applyFill="1" applyBorder="1" applyAlignment="1">
      <alignment vertical="top"/>
    </xf>
    <xf numFmtId="180" fontId="30" fillId="35" borderId="25" xfId="0" applyNumberFormat="1" applyFont="1" applyFill="1" applyBorder="1" applyAlignment="1">
      <alignment vertical="top" wrapText="1"/>
    </xf>
    <xf numFmtId="180" fontId="116" fillId="59" borderId="50" xfId="0" applyNumberFormat="1" applyFont="1" applyFill="1" applyBorder="1" applyAlignment="1">
      <alignment vertical="top"/>
    </xf>
    <xf numFmtId="0" fontId="89" fillId="0" borderId="11" xfId="0" applyFont="1" applyBorder="1" applyAlignment="1">
      <alignment vertical="top" wrapText="1"/>
    </xf>
    <xf numFmtId="0" fontId="91" fillId="0" borderId="11" xfId="0" applyFont="1" applyBorder="1" applyAlignment="1">
      <alignment vertical="top" wrapText="1"/>
    </xf>
    <xf numFmtId="0" fontId="0" fillId="0" borderId="11" xfId="0" applyBorder="1" applyAlignment="1">
      <alignment vertical="top" wrapText="1"/>
    </xf>
    <xf numFmtId="0" fontId="87" fillId="38" borderId="35" xfId="0" applyFont="1" applyFill="1" applyBorder="1" applyAlignment="1">
      <alignment horizontal="center" vertical="top"/>
    </xf>
    <xf numFmtId="0" fontId="84" fillId="33" borderId="35" xfId="0" applyFont="1" applyFill="1" applyBorder="1" applyAlignment="1">
      <alignment horizontal="center" vertical="top"/>
    </xf>
    <xf numFmtId="0" fontId="103" fillId="40" borderId="51" xfId="0" applyFont="1" applyFill="1" applyBorder="1" applyAlignment="1">
      <alignment vertical="top"/>
    </xf>
    <xf numFmtId="0" fontId="96" fillId="0" borderId="51" xfId="0" applyFont="1" applyBorder="1" applyAlignment="1">
      <alignment vertical="top" wrapText="1"/>
    </xf>
    <xf numFmtId="0" fontId="101" fillId="40" borderId="29" xfId="0" applyFont="1" applyFill="1" applyBorder="1" applyAlignment="1" quotePrefix="1">
      <alignment vertical="top"/>
    </xf>
    <xf numFmtId="0" fontId="92" fillId="19" borderId="29" xfId="0" applyFont="1" applyFill="1" applyBorder="1" applyAlignment="1" quotePrefix="1">
      <alignment vertical="top"/>
    </xf>
    <xf numFmtId="0" fontId="92" fillId="40" borderId="29" xfId="0" applyFont="1" applyFill="1" applyBorder="1" applyAlignment="1" quotePrefix="1">
      <alignment vertical="top"/>
    </xf>
    <xf numFmtId="0" fontId="92" fillId="19" borderId="29" xfId="0" applyFont="1" applyFill="1" applyBorder="1" applyAlignment="1">
      <alignment vertical="top"/>
    </xf>
    <xf numFmtId="0" fontId="99" fillId="40" borderId="29" xfId="0" applyFont="1" applyFill="1" applyBorder="1" applyAlignment="1">
      <alignment vertical="top"/>
    </xf>
    <xf numFmtId="0" fontId="92" fillId="40" borderId="29" xfId="0" applyFont="1" applyFill="1" applyBorder="1" applyAlignment="1">
      <alignment vertical="top"/>
    </xf>
    <xf numFmtId="0" fontId="92" fillId="19" borderId="52" xfId="0" applyFont="1" applyFill="1" applyBorder="1" applyAlignment="1">
      <alignment vertical="top"/>
    </xf>
    <xf numFmtId="0" fontId="87" fillId="25" borderId="29" xfId="0" applyFont="1" applyFill="1" applyBorder="1" applyAlignment="1">
      <alignment horizontal="right" vertical="top"/>
    </xf>
    <xf numFmtId="0" fontId="30" fillId="38" borderId="29" xfId="0" applyFont="1" applyFill="1" applyBorder="1" applyAlignment="1">
      <alignment horizontal="center" vertical="top" wrapText="1"/>
    </xf>
    <xf numFmtId="0" fontId="30" fillId="25" borderId="29" xfId="0" applyFont="1" applyFill="1" applyBorder="1" applyAlignment="1">
      <alignment vertical="top"/>
    </xf>
    <xf numFmtId="0" fontId="30" fillId="35" borderId="29" xfId="0" applyFont="1" applyFill="1" applyBorder="1" applyAlignment="1">
      <alignment vertical="top"/>
    </xf>
    <xf numFmtId="0" fontId="116" fillId="59" borderId="53" xfId="0" applyFont="1" applyFill="1" applyBorder="1" applyAlignment="1">
      <alignment/>
    </xf>
    <xf numFmtId="0" fontId="87" fillId="38" borderId="54" xfId="0" applyFont="1" applyFill="1" applyBorder="1" applyAlignment="1">
      <alignment horizontal="center"/>
    </xf>
    <xf numFmtId="0" fontId="87" fillId="38" borderId="54" xfId="0" applyFont="1" applyFill="1" applyBorder="1" applyAlignment="1">
      <alignment horizontal="center" vertical="center"/>
    </xf>
    <xf numFmtId="0" fontId="86" fillId="0" borderId="54" xfId="0" applyFont="1" applyBorder="1" applyAlignment="1">
      <alignment/>
    </xf>
    <xf numFmtId="0" fontId="96" fillId="33" borderId="54" xfId="0" applyFont="1" applyFill="1" applyBorder="1" applyAlignment="1" quotePrefix="1">
      <alignment vertical="top"/>
    </xf>
    <xf numFmtId="0" fontId="96" fillId="33" borderId="54" xfId="0" applyFont="1" applyFill="1" applyBorder="1" applyAlignment="1" quotePrefix="1">
      <alignment/>
    </xf>
    <xf numFmtId="0" fontId="101" fillId="33" borderId="54" xfId="0" applyFont="1" applyFill="1" applyBorder="1" applyAlignment="1" quotePrefix="1">
      <alignment/>
    </xf>
    <xf numFmtId="0" fontId="87" fillId="33" borderId="54" xfId="0" applyFont="1" applyFill="1" applyBorder="1" applyAlignment="1" quotePrefix="1">
      <alignment/>
    </xf>
    <xf numFmtId="0" fontId="86" fillId="33" borderId="54" xfId="0" applyFont="1" applyFill="1" applyBorder="1" applyAlignment="1">
      <alignment/>
    </xf>
    <xf numFmtId="0" fontId="92" fillId="33" borderId="54" xfId="0" applyFont="1" applyFill="1" applyBorder="1" applyAlignment="1" quotePrefix="1">
      <alignment/>
    </xf>
    <xf numFmtId="0" fontId="92" fillId="33" borderId="54" xfId="0" applyFont="1" applyFill="1" applyBorder="1" applyAlignment="1">
      <alignment/>
    </xf>
    <xf numFmtId="0" fontId="99" fillId="33" borderId="54" xfId="0" applyFont="1" applyFill="1" applyBorder="1" applyAlignment="1">
      <alignment/>
    </xf>
    <xf numFmtId="0" fontId="87" fillId="33" borderId="54" xfId="0" applyFont="1" applyFill="1" applyBorder="1" applyAlignment="1">
      <alignment/>
    </xf>
    <xf numFmtId="0" fontId="30" fillId="33" borderId="54" xfId="0" applyFont="1" applyFill="1" applyBorder="1" applyAlignment="1">
      <alignment/>
    </xf>
    <xf numFmtId="0" fontId="86" fillId="0" borderId="23" xfId="0" applyFont="1" applyBorder="1" applyAlignment="1">
      <alignment vertical="top" wrapText="1"/>
    </xf>
    <xf numFmtId="43" fontId="0" fillId="0" borderId="0" xfId="0" applyNumberFormat="1" applyAlignment="1">
      <alignment/>
    </xf>
    <xf numFmtId="188" fontId="29" fillId="0" borderId="0" xfId="42" applyNumberFormat="1" applyFont="1" applyAlignment="1">
      <alignment/>
    </xf>
    <xf numFmtId="188" fontId="113" fillId="0" borderId="0" xfId="42" applyNumberFormat="1" applyFont="1" applyBorder="1" applyAlignment="1">
      <alignment horizontal="center"/>
    </xf>
    <xf numFmtId="37" fontId="29" fillId="0" borderId="11" xfId="59" applyNumberFormat="1" applyFont="1" applyBorder="1" applyAlignment="1">
      <alignment horizontal="center"/>
      <protection/>
    </xf>
    <xf numFmtId="37" fontId="87" fillId="0" borderId="11" xfId="42" applyNumberFormat="1" applyFont="1" applyBorder="1" applyAlignment="1">
      <alignment horizontal="center"/>
    </xf>
    <xf numFmtId="37" fontId="87" fillId="58" borderId="11" xfId="42" applyNumberFormat="1" applyFont="1" applyFill="1" applyBorder="1" applyAlignment="1">
      <alignment horizontal="center" wrapText="1"/>
    </xf>
    <xf numFmtId="37" fontId="29" fillId="41" borderId="11" xfId="42" applyNumberFormat="1" applyFont="1" applyFill="1" applyBorder="1" applyAlignment="1">
      <alignment horizontal="center"/>
    </xf>
    <xf numFmtId="37" fontId="87" fillId="37" borderId="11" xfId="42" applyNumberFormat="1" applyFont="1" applyFill="1" applyBorder="1" applyAlignment="1">
      <alignment horizontal="center"/>
    </xf>
    <xf numFmtId="188" fontId="87" fillId="0" borderId="11" xfId="59" applyNumberFormat="1" applyFont="1" applyBorder="1" applyAlignment="1">
      <alignment horizontal="left" indent="1"/>
      <protection/>
    </xf>
    <xf numFmtId="188" fontId="87" fillId="0" borderId="11" xfId="42" applyNumberFormat="1" applyFont="1" applyBorder="1" applyAlignment="1">
      <alignment horizontal="left" indent="1"/>
    </xf>
    <xf numFmtId="188" fontId="87" fillId="58" borderId="11" xfId="42" applyNumberFormat="1" applyFont="1" applyFill="1" applyBorder="1" applyAlignment="1">
      <alignment horizontal="left" wrapText="1" indent="1"/>
    </xf>
    <xf numFmtId="188" fontId="29" fillId="41" borderId="11" xfId="42" applyNumberFormat="1" applyFont="1" applyFill="1" applyBorder="1" applyAlignment="1">
      <alignment horizontal="left" indent="1"/>
    </xf>
    <xf numFmtId="188" fontId="87" fillId="37" borderId="11" xfId="42" applyNumberFormat="1" applyFont="1" applyFill="1" applyBorder="1" applyAlignment="1">
      <alignment horizontal="left" indent="1"/>
    </xf>
    <xf numFmtId="188" fontId="87" fillId="0" borderId="11" xfId="42" applyNumberFormat="1" applyFont="1" applyBorder="1" applyAlignment="1">
      <alignment/>
    </xf>
    <xf numFmtId="188" fontId="0" fillId="0" borderId="0" xfId="42" applyNumberFormat="1" applyFont="1" applyAlignment="1">
      <alignment/>
    </xf>
    <xf numFmtId="188" fontId="87" fillId="58" borderId="11" xfId="42" applyNumberFormat="1" applyFont="1" applyFill="1" applyBorder="1" applyAlignment="1">
      <alignment wrapText="1"/>
    </xf>
    <xf numFmtId="188" fontId="29" fillId="41" borderId="11" xfId="42" applyNumberFormat="1" applyFont="1" applyFill="1" applyBorder="1" applyAlignment="1">
      <alignment/>
    </xf>
    <xf numFmtId="188" fontId="87" fillId="37" borderId="11" xfId="42" applyNumberFormat="1" applyFont="1" applyFill="1" applyBorder="1" applyAlignment="1">
      <alignment/>
    </xf>
    <xf numFmtId="0" fontId="30" fillId="4" borderId="11" xfId="0" applyFont="1" applyFill="1" applyBorder="1" applyAlignment="1">
      <alignment horizontal="center" vertical="top"/>
    </xf>
    <xf numFmtId="0" fontId="92" fillId="33" borderId="23" xfId="0" applyFont="1" applyFill="1" applyBorder="1" applyAlignment="1" quotePrefix="1">
      <alignment vertical="top" wrapText="1"/>
    </xf>
    <xf numFmtId="0" fontId="86" fillId="0" borderId="23" xfId="0" applyFont="1" applyBorder="1" applyAlignment="1">
      <alignment vertical="top" wrapText="1"/>
    </xf>
    <xf numFmtId="0" fontId="87" fillId="33" borderId="11" xfId="0" applyFont="1" applyFill="1" applyBorder="1" applyAlignment="1" quotePrefix="1">
      <alignment vertical="top" wrapText="1"/>
    </xf>
    <xf numFmtId="0" fontId="86" fillId="0" borderId="11" xfId="0" applyFont="1" applyBorder="1" applyAlignment="1">
      <alignment vertical="top"/>
    </xf>
    <xf numFmtId="0" fontId="87" fillId="0" borderId="55" xfId="0" applyFont="1" applyBorder="1" applyAlignment="1">
      <alignment horizontal="justify" vertical="top"/>
    </xf>
    <xf numFmtId="0" fontId="86" fillId="0" borderId="48" xfId="0" applyFont="1" applyBorder="1" applyAlignment="1">
      <alignment vertical="top"/>
    </xf>
    <xf numFmtId="0" fontId="86" fillId="0" borderId="46" xfId="0" applyFont="1" applyBorder="1" applyAlignment="1">
      <alignment vertical="top"/>
    </xf>
    <xf numFmtId="180" fontId="87" fillId="38" borderId="49" xfId="59" applyNumberFormat="1" applyFont="1" applyFill="1" applyBorder="1" applyAlignment="1">
      <alignment horizontal="center" vertical="center" wrapText="1"/>
      <protection/>
    </xf>
    <xf numFmtId="0" fontId="86" fillId="0" borderId="39" xfId="0" applyFont="1" applyBorder="1" applyAlignment="1">
      <alignment vertical="center"/>
    </xf>
    <xf numFmtId="0" fontId="86" fillId="0" borderId="35" xfId="0" applyFont="1" applyBorder="1" applyAlignment="1">
      <alignment vertical="center"/>
    </xf>
    <xf numFmtId="0" fontId="87" fillId="39" borderId="11" xfId="0" applyFont="1" applyFill="1" applyBorder="1" applyAlignment="1">
      <alignment vertical="center" wrapText="1"/>
    </xf>
    <xf numFmtId="0" fontId="86" fillId="39" borderId="11" xfId="0" applyFont="1" applyFill="1" applyBorder="1" applyAlignment="1">
      <alignment vertical="center" wrapText="1"/>
    </xf>
    <xf numFmtId="0" fontId="87" fillId="33" borderId="18" xfId="0" applyFont="1" applyFill="1" applyBorder="1" applyAlignment="1" quotePrefix="1">
      <alignment vertical="top" wrapText="1"/>
    </xf>
    <xf numFmtId="0" fontId="86" fillId="0" borderId="23" xfId="0" applyFont="1" applyBorder="1" applyAlignment="1">
      <alignment vertical="top"/>
    </xf>
    <xf numFmtId="0" fontId="87" fillId="39" borderId="55" xfId="0" applyFont="1" applyFill="1" applyBorder="1" applyAlignment="1">
      <alignment horizontal="center" vertical="top" wrapText="1"/>
    </xf>
    <xf numFmtId="0" fontId="87" fillId="39" borderId="47" xfId="0" applyFont="1" applyFill="1" applyBorder="1" applyAlignment="1">
      <alignment horizontal="center" vertical="top" wrapText="1"/>
    </xf>
    <xf numFmtId="0" fontId="87" fillId="39" borderId="25" xfId="0" applyFont="1" applyFill="1" applyBorder="1" applyAlignment="1">
      <alignment horizontal="center" vertical="top" wrapText="1"/>
    </xf>
    <xf numFmtId="0" fontId="87" fillId="39" borderId="28" xfId="0" applyFont="1" applyFill="1" applyBorder="1" applyAlignment="1">
      <alignment horizontal="center" vertical="top" wrapText="1"/>
    </xf>
    <xf numFmtId="0" fontId="84" fillId="39" borderId="11" xfId="0" applyFont="1" applyFill="1" applyBorder="1" applyAlignment="1">
      <alignment vertical="top" wrapText="1"/>
    </xf>
    <xf numFmtId="0" fontId="0" fillId="39" borderId="11" xfId="0" applyFill="1" applyBorder="1" applyAlignment="1">
      <alignment vertical="top" wrapText="1"/>
    </xf>
    <xf numFmtId="0" fontId="96" fillId="33" borderId="44" xfId="0" applyFont="1" applyFill="1" applyBorder="1" applyAlignment="1" quotePrefix="1">
      <alignment vertical="top" wrapText="1"/>
    </xf>
    <xf numFmtId="0" fontId="0" fillId="0" borderId="51" xfId="0" applyBorder="1" applyAlignment="1">
      <alignment vertical="top"/>
    </xf>
    <xf numFmtId="0" fontId="98" fillId="39" borderId="47" xfId="0" applyFont="1" applyFill="1" applyBorder="1" applyAlignment="1">
      <alignment horizontal="center" vertical="top" wrapText="1"/>
    </xf>
    <xf numFmtId="0" fontId="98" fillId="39" borderId="28" xfId="0" applyFont="1" applyFill="1" applyBorder="1" applyAlignment="1">
      <alignment horizontal="center" vertical="top" wrapText="1"/>
    </xf>
    <xf numFmtId="0" fontId="30" fillId="0" borderId="0" xfId="59" applyFont="1" applyAlignment="1">
      <alignment wrapText="1"/>
      <protection/>
    </xf>
    <xf numFmtId="179" fontId="95" fillId="42" borderId="28" xfId="42" applyFont="1" applyFill="1" applyBorder="1" applyAlignment="1">
      <alignment/>
    </xf>
    <xf numFmtId="0" fontId="0" fillId="0" borderId="28" xfId="0" applyBorder="1" applyAlignment="1">
      <alignment/>
    </xf>
    <xf numFmtId="0" fontId="0" fillId="0" borderId="29" xfId="0" applyBorder="1" applyAlignment="1">
      <alignment/>
    </xf>
    <xf numFmtId="0" fontId="84" fillId="53" borderId="11" xfId="0" applyFont="1" applyFill="1" applyBorder="1" applyAlignment="1">
      <alignment horizontal="left" vertical="center" wrapText="1"/>
    </xf>
    <xf numFmtId="0" fontId="84" fillId="53" borderId="10" xfId="0" applyFont="1" applyFill="1" applyBorder="1" applyAlignment="1">
      <alignment vertical="top" wrapText="1"/>
    </xf>
    <xf numFmtId="0" fontId="84" fillId="53" borderId="11" xfId="0" applyFont="1" applyFill="1" applyBorder="1" applyAlignment="1">
      <alignment vertical="top" wrapText="1"/>
    </xf>
    <xf numFmtId="0" fontId="107" fillId="53" borderId="10" xfId="0" applyFont="1" applyFill="1" applyBorder="1" applyAlignment="1">
      <alignment horizontal="left" vertical="top" wrapText="1"/>
    </xf>
    <xf numFmtId="0" fontId="107" fillId="53" borderId="11" xfId="0" applyFont="1" applyFill="1" applyBorder="1" applyAlignment="1">
      <alignment horizontal="left" vertical="top" wrapText="1"/>
    </xf>
    <xf numFmtId="179" fontId="95" fillId="47" borderId="11" xfId="42" applyFont="1" applyFill="1" applyBorder="1" applyAlignment="1">
      <alignment/>
    </xf>
    <xf numFmtId="0" fontId="0" fillId="47" borderId="11" xfId="0" applyFill="1" applyBorder="1" applyAlignment="1">
      <alignment/>
    </xf>
    <xf numFmtId="0" fontId="84" fillId="48" borderId="11" xfId="0" applyFont="1" applyFill="1" applyBorder="1" applyAlignment="1">
      <alignment horizontal="left" vertical="center" wrapText="1"/>
    </xf>
    <xf numFmtId="0" fontId="96" fillId="53" borderId="10" xfId="0" applyFont="1" applyFill="1" applyBorder="1" applyAlignment="1">
      <alignment horizontal="left" vertical="top" wrapText="1"/>
    </xf>
    <xf numFmtId="0" fontId="96" fillId="53" borderId="11" xfId="0" applyFont="1" applyFill="1" applyBorder="1" applyAlignment="1">
      <alignment horizontal="left" vertical="top" wrapText="1"/>
    </xf>
    <xf numFmtId="0" fontId="30" fillId="0" borderId="0" xfId="0" applyFont="1" applyAlignment="1">
      <alignment wrapText="1"/>
    </xf>
    <xf numFmtId="0" fontId="29"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2085975</xdr:colOff>
      <xdr:row>0</xdr:row>
      <xdr:rowOff>0</xdr:rowOff>
    </xdr:from>
    <xdr:to>
      <xdr:col>14</xdr:col>
      <xdr:colOff>219075</xdr:colOff>
      <xdr:row>5</xdr:row>
      <xdr:rowOff>104775</xdr:rowOff>
    </xdr:to>
    <xdr:pic>
      <xdr:nvPicPr>
        <xdr:cNvPr id="1" name="Picture 30"/>
        <xdr:cNvPicPr preferRelativeResize="1">
          <a:picLocks noChangeAspect="1"/>
        </xdr:cNvPicPr>
      </xdr:nvPicPr>
      <xdr:blipFill>
        <a:blip r:embed="rId1"/>
        <a:stretch>
          <a:fillRect/>
        </a:stretch>
      </xdr:blipFill>
      <xdr:spPr>
        <a:xfrm>
          <a:off x="14516100" y="0"/>
          <a:ext cx="14001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14</xdr:col>
      <xdr:colOff>333375</xdr:colOff>
      <xdr:row>5</xdr:row>
      <xdr:rowOff>9525</xdr:rowOff>
    </xdr:to>
    <xdr:pic>
      <xdr:nvPicPr>
        <xdr:cNvPr id="1" name="Picture 30"/>
        <xdr:cNvPicPr preferRelativeResize="1">
          <a:picLocks noChangeAspect="1"/>
        </xdr:cNvPicPr>
      </xdr:nvPicPr>
      <xdr:blipFill>
        <a:blip r:embed="rId1"/>
        <a:stretch>
          <a:fillRect/>
        </a:stretch>
      </xdr:blipFill>
      <xdr:spPr>
        <a:xfrm>
          <a:off x="9601200" y="0"/>
          <a:ext cx="3209925"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an%20Bosco.DESKTOP-JO0BJHC\Desktop\FINANCE%20IA\Donors\NJIA%20II\Final%20Docs%20Submitted\Revision\Revised%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tions"/>
      <sheetName val="BUDGET"/>
      <sheetName val="DTR- Jan19-Jan20"/>
      <sheetName val="Feuil3"/>
      <sheetName val="CAT SUM"/>
      <sheetName val="UNDG-Template"/>
    </sheetNames>
    <sheetDataSet>
      <sheetData sheetId="0">
        <row r="2">
          <cell r="C2" t="str">
            <v>AP21RR</v>
          </cell>
        </row>
        <row r="4">
          <cell r="C4" t="str">
            <v>001</v>
          </cell>
        </row>
        <row r="5">
          <cell r="C5" t="str">
            <v>002</v>
          </cell>
        </row>
        <row r="7">
          <cell r="C7" t="str">
            <v>003</v>
          </cell>
        </row>
        <row r="9">
          <cell r="C9" t="str">
            <v>004</v>
          </cell>
        </row>
        <row r="11">
          <cell r="C11" t="str">
            <v>005</v>
          </cell>
        </row>
        <row r="15">
          <cell r="C15" t="str">
            <v>006</v>
          </cell>
        </row>
        <row r="16">
          <cell r="C16" t="str">
            <v>007</v>
          </cell>
        </row>
        <row r="17">
          <cell r="C17" t="str">
            <v>008</v>
          </cell>
        </row>
        <row r="19">
          <cell r="C19" t="str">
            <v>009</v>
          </cell>
        </row>
        <row r="20">
          <cell r="C20" t="str">
            <v>010</v>
          </cell>
        </row>
        <row r="21">
          <cell r="C21" t="str">
            <v>011</v>
          </cell>
        </row>
        <row r="22">
          <cell r="C22" t="str">
            <v>012</v>
          </cell>
        </row>
        <row r="23">
          <cell r="C23" t="str">
            <v>013</v>
          </cell>
        </row>
        <row r="27">
          <cell r="C27" t="str">
            <v>014</v>
          </cell>
        </row>
        <row r="28">
          <cell r="C28" t="str">
            <v>015</v>
          </cell>
        </row>
        <row r="29">
          <cell r="C29" t="str">
            <v>016</v>
          </cell>
        </row>
        <row r="30">
          <cell r="C30" t="str">
            <v>017</v>
          </cell>
        </row>
        <row r="32">
          <cell r="C32" t="str">
            <v>018</v>
          </cell>
        </row>
        <row r="33">
          <cell r="C33" t="str">
            <v>019</v>
          </cell>
        </row>
        <row r="34">
          <cell r="C34" t="str">
            <v>020</v>
          </cell>
        </row>
        <row r="35">
          <cell r="C35" t="str">
            <v>021</v>
          </cell>
        </row>
        <row r="36">
          <cell r="C36" t="str">
            <v>022</v>
          </cell>
        </row>
        <row r="37">
          <cell r="C37" t="str">
            <v>023</v>
          </cell>
        </row>
        <row r="38">
          <cell r="C38" t="str">
            <v>024</v>
          </cell>
        </row>
        <row r="39">
          <cell r="C39" t="str">
            <v>025</v>
          </cell>
        </row>
        <row r="40">
          <cell r="C40" t="str">
            <v>026</v>
          </cell>
        </row>
        <row r="41">
          <cell r="C41" t="str">
            <v>027</v>
          </cell>
        </row>
        <row r="45">
          <cell r="C45" t="str">
            <v>028</v>
          </cell>
        </row>
        <row r="46">
          <cell r="C46" t="str">
            <v>029</v>
          </cell>
        </row>
        <row r="47">
          <cell r="C47" t="str">
            <v>030</v>
          </cell>
        </row>
        <row r="48">
          <cell r="C48" t="str">
            <v>031</v>
          </cell>
        </row>
        <row r="49">
          <cell r="C49" t="str">
            <v>032</v>
          </cell>
        </row>
        <row r="53">
          <cell r="C53" t="str">
            <v>033</v>
          </cell>
        </row>
        <row r="54">
          <cell r="C54" t="str">
            <v>034</v>
          </cell>
        </row>
        <row r="55">
          <cell r="C55" t="str">
            <v>035</v>
          </cell>
        </row>
        <row r="56">
          <cell r="C56" t="str">
            <v>036</v>
          </cell>
        </row>
        <row r="57">
          <cell r="C57" t="str">
            <v>037</v>
          </cell>
        </row>
        <row r="58">
          <cell r="C58" t="str">
            <v>038</v>
          </cell>
        </row>
        <row r="59">
          <cell r="C59" t="str">
            <v>039</v>
          </cell>
        </row>
        <row r="60">
          <cell r="C60" t="str">
            <v>040</v>
          </cell>
        </row>
        <row r="61">
          <cell r="C61" t="str">
            <v>041</v>
          </cell>
        </row>
        <row r="62">
          <cell r="C62" t="str">
            <v>042</v>
          </cell>
        </row>
        <row r="63">
          <cell r="C63" t="str">
            <v>043</v>
          </cell>
        </row>
        <row r="64">
          <cell r="C64" t="str">
            <v>044</v>
          </cell>
        </row>
        <row r="65">
          <cell r="C65" t="str">
            <v>045</v>
          </cell>
        </row>
        <row r="66">
          <cell r="C66" t="str">
            <v>046</v>
          </cell>
        </row>
        <row r="67">
          <cell r="C67" t="str">
            <v>047</v>
          </cell>
        </row>
        <row r="68">
          <cell r="C68" t="str">
            <v>048</v>
          </cell>
        </row>
        <row r="69">
          <cell r="C69" t="str">
            <v>049</v>
          </cell>
        </row>
        <row r="70">
          <cell r="C70" t="str">
            <v>050</v>
          </cell>
        </row>
        <row r="71">
          <cell r="C71" t="str">
            <v>051</v>
          </cell>
        </row>
        <row r="76">
          <cell r="C76" t="str">
            <v>052</v>
          </cell>
        </row>
        <row r="81">
          <cell r="C81" t="str">
            <v>053</v>
          </cell>
        </row>
        <row r="82">
          <cell r="C82" t="str">
            <v>054</v>
          </cell>
        </row>
        <row r="85">
          <cell r="C85" t="str">
            <v>055</v>
          </cell>
        </row>
        <row r="88">
          <cell r="C88" t="str">
            <v>056</v>
          </cell>
        </row>
        <row r="89">
          <cell r="C89" t="str">
            <v>057</v>
          </cell>
        </row>
        <row r="90">
          <cell r="C90" t="str">
            <v>058</v>
          </cell>
        </row>
        <row r="91">
          <cell r="C91" t="str">
            <v>059</v>
          </cell>
        </row>
        <row r="92">
          <cell r="C92" t="str">
            <v>060</v>
          </cell>
        </row>
        <row r="93">
          <cell r="C93" t="str">
            <v>061</v>
          </cell>
        </row>
        <row r="94">
          <cell r="C94" t="str">
            <v>062</v>
          </cell>
        </row>
        <row r="95">
          <cell r="C95" t="str">
            <v>063</v>
          </cell>
        </row>
        <row r="96">
          <cell r="C96" t="str">
            <v>064</v>
          </cell>
        </row>
        <row r="97">
          <cell r="C97" t="str">
            <v>065</v>
          </cell>
        </row>
        <row r="98">
          <cell r="C98" t="str">
            <v>066</v>
          </cell>
        </row>
        <row r="101">
          <cell r="C101" t="str">
            <v>300</v>
          </cell>
        </row>
        <row r="103">
          <cell r="C103" t="str">
            <v>067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207"/>
  <sheetViews>
    <sheetView tabSelected="1" zoomScale="90" zoomScaleNormal="90" zoomScalePageLayoutView="0" workbookViewId="0" topLeftCell="A118">
      <selection activeCell="D57" sqref="D57"/>
    </sheetView>
  </sheetViews>
  <sheetFormatPr defaultColWidth="8.8515625" defaultRowHeight="15"/>
  <cols>
    <col min="1" max="1" width="4.00390625" style="6" customWidth="1"/>
    <col min="2" max="2" width="7.140625" style="6" customWidth="1"/>
    <col min="3" max="3" width="27.28125" style="6" customWidth="1"/>
    <col min="4" max="4" width="54.00390625" style="6" customWidth="1"/>
    <col min="5" max="5" width="20.8515625" style="6" customWidth="1"/>
    <col min="6" max="6" width="15.57421875" style="6" customWidth="1"/>
    <col min="7" max="7" width="8.7109375" style="571" customWidth="1"/>
    <col min="8" max="8" width="11.57421875" style="577" bestFit="1" customWidth="1"/>
    <col min="9" max="9" width="8.7109375" style="571" customWidth="1"/>
    <col min="10" max="10" width="14.28125" style="571" customWidth="1"/>
    <col min="11" max="11" width="14.28125" style="656" customWidth="1"/>
    <col min="12" max="12" width="31.28125" style="406" customWidth="1"/>
    <col min="13" max="16384" width="8.8515625" style="6" customWidth="1"/>
  </cols>
  <sheetData>
    <row r="1" spans="1:12" ht="12.75">
      <c r="A1" s="1"/>
      <c r="B1" s="1"/>
      <c r="C1" s="2"/>
      <c r="D1" s="3" t="s">
        <v>0</v>
      </c>
      <c r="E1" s="3"/>
      <c r="F1" s="3" t="s">
        <v>1</v>
      </c>
      <c r="G1" s="545"/>
      <c r="H1" s="575"/>
      <c r="I1" s="545"/>
      <c r="J1" s="545"/>
      <c r="K1" s="630"/>
      <c r="L1" s="38"/>
    </row>
    <row r="2" spans="1:12" ht="12.75">
      <c r="A2" s="1"/>
      <c r="B2" s="1"/>
      <c r="C2" s="1"/>
      <c r="D2" s="3" t="s">
        <v>2</v>
      </c>
      <c r="E2" s="3"/>
      <c r="F2" s="3" t="s">
        <v>576</v>
      </c>
      <c r="G2" s="545"/>
      <c r="H2" s="575"/>
      <c r="I2" s="545"/>
      <c r="J2" s="545"/>
      <c r="K2" s="630"/>
      <c r="L2" s="38"/>
    </row>
    <row r="3" spans="1:12" ht="12.75">
      <c r="A3" s="1"/>
      <c r="B3" s="1"/>
      <c r="C3" s="1"/>
      <c r="D3" s="480" t="s">
        <v>3</v>
      </c>
      <c r="E3" s="480"/>
      <c r="F3" s="5"/>
      <c r="G3" s="546"/>
      <c r="H3" s="575"/>
      <c r="I3" s="576"/>
      <c r="J3" s="576"/>
      <c r="K3" s="631"/>
      <c r="L3" s="39"/>
    </row>
    <row r="4" spans="1:12" ht="12.75">
      <c r="A4" s="1"/>
      <c r="B4" s="1"/>
      <c r="C4" s="1"/>
      <c r="D4" s="480"/>
      <c r="E4" s="480"/>
      <c r="F4" s="5"/>
      <c r="G4" s="546"/>
      <c r="H4" s="575"/>
      <c r="I4" s="576"/>
      <c r="J4" s="576"/>
      <c r="K4" s="631"/>
      <c r="L4" s="39"/>
    </row>
    <row r="5" spans="1:12" ht="13.5" thickBot="1">
      <c r="A5" s="1"/>
      <c r="B5" s="1"/>
      <c r="C5" s="1"/>
      <c r="D5" s="480"/>
      <c r="E5" s="480"/>
      <c r="F5" s="5"/>
      <c r="G5" s="546"/>
      <c r="I5" s="576"/>
      <c r="J5" s="576"/>
      <c r="K5" s="631"/>
      <c r="L5" s="39"/>
    </row>
    <row r="6" spans="1:12" ht="15.75" customHeight="1" thickBot="1">
      <c r="A6" s="1"/>
      <c r="B6" s="50"/>
      <c r="C6" s="51"/>
      <c r="D6" s="481"/>
      <c r="E6" s="482"/>
      <c r="F6" s="483"/>
      <c r="G6" s="808" t="s">
        <v>556</v>
      </c>
      <c r="H6" s="809"/>
      <c r="I6" s="809"/>
      <c r="J6" s="810"/>
      <c r="K6" s="632"/>
      <c r="L6" s="52" t="s">
        <v>7</v>
      </c>
    </row>
    <row r="7" spans="2:12" ht="26.25" thickBot="1">
      <c r="B7" s="53"/>
      <c r="C7" s="54"/>
      <c r="D7" s="484" t="s">
        <v>8</v>
      </c>
      <c r="E7" s="484" t="s">
        <v>516</v>
      </c>
      <c r="F7" s="55" t="s">
        <v>9</v>
      </c>
      <c r="G7" s="547" t="s">
        <v>4</v>
      </c>
      <c r="H7" s="578" t="s">
        <v>5</v>
      </c>
      <c r="I7" s="547" t="s">
        <v>6</v>
      </c>
      <c r="J7" s="579" t="s">
        <v>510</v>
      </c>
      <c r="K7" s="387" t="s">
        <v>119</v>
      </c>
      <c r="L7" s="56" t="s">
        <v>10</v>
      </c>
    </row>
    <row r="8" spans="2:12" ht="13.5" thickBot="1">
      <c r="B8" s="57" t="s">
        <v>11</v>
      </c>
      <c r="C8" s="54" t="s">
        <v>12</v>
      </c>
      <c r="D8" s="485" t="s">
        <v>8</v>
      </c>
      <c r="E8" s="485"/>
      <c r="F8" s="58"/>
      <c r="G8" s="548"/>
      <c r="H8" s="580"/>
      <c r="I8" s="581" t="s">
        <v>14</v>
      </c>
      <c r="J8" s="581" t="s">
        <v>13</v>
      </c>
      <c r="K8" s="633"/>
      <c r="L8" s="59" t="s">
        <v>10</v>
      </c>
    </row>
    <row r="9" spans="2:12" s="44" customFormat="1" ht="33" customHeight="1" thickBot="1">
      <c r="B9" s="60"/>
      <c r="C9" s="486" t="s">
        <v>15</v>
      </c>
      <c r="D9" s="811" t="s">
        <v>123</v>
      </c>
      <c r="E9" s="811"/>
      <c r="F9" s="812"/>
      <c r="G9" s="812"/>
      <c r="H9" s="812"/>
      <c r="I9" s="812"/>
      <c r="J9" s="812"/>
      <c r="K9" s="634"/>
      <c r="L9" s="61"/>
    </row>
    <row r="10" spans="1:12" s="44" customFormat="1" ht="39">
      <c r="A10" s="487"/>
      <c r="B10" s="488"/>
      <c r="C10" s="813" t="s">
        <v>17</v>
      </c>
      <c r="D10" s="279" t="s">
        <v>717</v>
      </c>
      <c r="E10" s="279" t="s">
        <v>517</v>
      </c>
      <c r="F10" s="515" t="s">
        <v>36</v>
      </c>
      <c r="G10" s="549">
        <v>6</v>
      </c>
      <c r="H10" s="582">
        <f>POLE!H14/6</f>
        <v>1840</v>
      </c>
      <c r="I10" s="549">
        <v>1</v>
      </c>
      <c r="J10" s="583">
        <f>G10*H10*I10</f>
        <v>11040</v>
      </c>
      <c r="K10" s="635">
        <v>0.5</v>
      </c>
      <c r="L10" s="489"/>
    </row>
    <row r="11" spans="1:12" s="44" customFormat="1" ht="39">
      <c r="A11" s="490"/>
      <c r="B11" s="62"/>
      <c r="C11" s="814"/>
      <c r="D11" s="279" t="s">
        <v>511</v>
      </c>
      <c r="E11" s="279" t="s">
        <v>517</v>
      </c>
      <c r="F11" s="515" t="s">
        <v>36</v>
      </c>
      <c r="G11" s="550">
        <v>2</v>
      </c>
      <c r="H11" s="584">
        <f>POLE!H25/2</f>
        <v>2416.5</v>
      </c>
      <c r="I11" s="550">
        <v>1</v>
      </c>
      <c r="J11" s="583">
        <f>G11*H11*I11</f>
        <v>4833</v>
      </c>
      <c r="K11" s="635">
        <v>0.3</v>
      </c>
      <c r="L11" s="76"/>
    </row>
    <row r="12" spans="1:12" s="44" customFormat="1" ht="39">
      <c r="A12" s="490"/>
      <c r="B12" s="62"/>
      <c r="C12" s="491"/>
      <c r="D12" s="279" t="s">
        <v>718</v>
      </c>
      <c r="E12" s="279" t="s">
        <v>517</v>
      </c>
      <c r="F12" s="515" t="s">
        <v>36</v>
      </c>
      <c r="G12" s="550">
        <v>4</v>
      </c>
      <c r="H12" s="584">
        <f>POLE!H31/4</f>
        <v>2760</v>
      </c>
      <c r="I12" s="550">
        <v>1</v>
      </c>
      <c r="J12" s="583">
        <f>G12*H12*I12</f>
        <v>11040</v>
      </c>
      <c r="K12" s="635">
        <v>0.3</v>
      </c>
      <c r="L12" s="492"/>
    </row>
    <row r="13" spans="1:12" s="44" customFormat="1" ht="20.25" customHeight="1">
      <c r="A13" s="490"/>
      <c r="B13" s="62"/>
      <c r="C13" s="495"/>
      <c r="D13" s="496" t="s">
        <v>16</v>
      </c>
      <c r="E13" s="497"/>
      <c r="F13" s="516"/>
      <c r="G13" s="551"/>
      <c r="H13" s="586"/>
      <c r="I13" s="551"/>
      <c r="J13" s="587">
        <f>SUM(J10:J12)</f>
        <v>26913</v>
      </c>
      <c r="K13" s="637"/>
      <c r="L13" s="498"/>
    </row>
    <row r="14" spans="1:12" s="44" customFormat="1" ht="39">
      <c r="A14" s="490"/>
      <c r="B14" s="62"/>
      <c r="C14" s="493" t="s">
        <v>18</v>
      </c>
      <c r="D14" s="494" t="s">
        <v>19</v>
      </c>
      <c r="E14" s="494" t="s">
        <v>518</v>
      </c>
      <c r="F14" s="515" t="s">
        <v>36</v>
      </c>
      <c r="G14" s="550">
        <v>4</v>
      </c>
      <c r="H14" s="584">
        <f>ASP!G11/24</f>
        <v>41.666666666666664</v>
      </c>
      <c r="I14" s="585">
        <v>6</v>
      </c>
      <c r="J14" s="583">
        <f>G14*H14*I14</f>
        <v>1000</v>
      </c>
      <c r="K14" s="636"/>
      <c r="L14" s="76"/>
    </row>
    <row r="15" spans="1:12" s="44" customFormat="1" ht="20.25" customHeight="1">
      <c r="A15" s="490"/>
      <c r="B15" s="62"/>
      <c r="C15" s="495"/>
      <c r="D15" s="496" t="s">
        <v>16</v>
      </c>
      <c r="E15" s="497"/>
      <c r="F15" s="516"/>
      <c r="G15" s="551"/>
      <c r="H15" s="586"/>
      <c r="I15" s="551"/>
      <c r="J15" s="658">
        <f>J14</f>
        <v>1000</v>
      </c>
      <c r="K15" s="637"/>
      <c r="L15" s="498"/>
    </row>
    <row r="16" spans="2:12" s="44" customFormat="1" ht="39">
      <c r="B16" s="62"/>
      <c r="C16" s="499"/>
      <c r="D16" s="494" t="s">
        <v>512</v>
      </c>
      <c r="E16" s="494" t="s">
        <v>518</v>
      </c>
      <c r="F16" s="515" t="s">
        <v>36</v>
      </c>
      <c r="G16" s="550">
        <v>1</v>
      </c>
      <c r="H16" s="584">
        <f>ASP!G26</f>
        <v>3030</v>
      </c>
      <c r="I16" s="550">
        <v>1</v>
      </c>
      <c r="J16" s="583">
        <f>G16*H16*I16</f>
        <v>3030</v>
      </c>
      <c r="K16" s="635">
        <v>0.6</v>
      </c>
      <c r="L16" s="76"/>
    </row>
    <row r="17" spans="2:12" s="44" customFormat="1" ht="39">
      <c r="B17" s="62"/>
      <c r="C17" s="499"/>
      <c r="D17" s="494" t="s">
        <v>719</v>
      </c>
      <c r="E17" s="494" t="s">
        <v>518</v>
      </c>
      <c r="F17" s="515" t="s">
        <v>36</v>
      </c>
      <c r="G17" s="550">
        <v>1</v>
      </c>
      <c r="H17" s="584">
        <f>ASP!G38</f>
        <v>2430</v>
      </c>
      <c r="I17" s="550">
        <v>1</v>
      </c>
      <c r="J17" s="583">
        <f>G17*H17*I17</f>
        <v>2430</v>
      </c>
      <c r="K17" s="635">
        <v>0.6</v>
      </c>
      <c r="L17" s="76"/>
    </row>
    <row r="18" spans="2:12" s="44" customFormat="1" ht="39">
      <c r="B18" s="62"/>
      <c r="C18" s="499"/>
      <c r="D18" s="494" t="s">
        <v>513</v>
      </c>
      <c r="E18" s="494" t="s">
        <v>518</v>
      </c>
      <c r="F18" s="515" t="s">
        <v>36</v>
      </c>
      <c r="G18" s="550">
        <v>1</v>
      </c>
      <c r="H18" s="584">
        <f>ASP!G50</f>
        <v>2430</v>
      </c>
      <c r="I18" s="550">
        <v>1</v>
      </c>
      <c r="J18" s="583">
        <f>G18*H18*I18</f>
        <v>2430</v>
      </c>
      <c r="K18" s="635">
        <v>0.6</v>
      </c>
      <c r="L18" s="76"/>
    </row>
    <row r="19" spans="1:12" s="44" customFormat="1" ht="19.5" customHeight="1">
      <c r="A19" s="47"/>
      <c r="B19" s="68"/>
      <c r="C19" s="517"/>
      <c r="D19" s="518" t="s">
        <v>21</v>
      </c>
      <c r="E19" s="518"/>
      <c r="F19" s="519" t="s">
        <v>514</v>
      </c>
      <c r="G19" s="552"/>
      <c r="H19" s="588"/>
      <c r="I19" s="552"/>
      <c r="J19" s="589">
        <f>SUM(J16:J18)</f>
        <v>7890</v>
      </c>
      <c r="K19" s="638"/>
      <c r="L19" s="69"/>
    </row>
    <row r="20" spans="2:12" s="44" customFormat="1" ht="39">
      <c r="B20" s="62"/>
      <c r="C20" s="499"/>
      <c r="D20" s="494" t="s">
        <v>281</v>
      </c>
      <c r="E20" s="494" t="s">
        <v>518</v>
      </c>
      <c r="F20" s="515" t="s">
        <v>36</v>
      </c>
      <c r="G20" s="550">
        <v>1</v>
      </c>
      <c r="H20" s="584">
        <f>ASP!G65</f>
        <v>8746</v>
      </c>
      <c r="I20" s="550">
        <v>1</v>
      </c>
      <c r="J20" s="583">
        <f>G20*H20*I20</f>
        <v>8746</v>
      </c>
      <c r="K20" s="635">
        <v>0.6</v>
      </c>
      <c r="L20" s="76"/>
    </row>
    <row r="21" spans="2:12" s="44" customFormat="1" ht="39">
      <c r="B21" s="62"/>
      <c r="C21" s="499"/>
      <c r="D21" s="494" t="s">
        <v>515</v>
      </c>
      <c r="E21" s="494" t="s">
        <v>518</v>
      </c>
      <c r="F21" s="515" t="s">
        <v>36</v>
      </c>
      <c r="G21" s="550">
        <v>2</v>
      </c>
      <c r="H21" s="584">
        <f>(ASP!G82+ASP!G99)/2</f>
        <v>5182</v>
      </c>
      <c r="I21" s="550">
        <v>1</v>
      </c>
      <c r="J21" s="583">
        <f>G21*H21*I21</f>
        <v>10364</v>
      </c>
      <c r="K21" s="635">
        <v>0.6</v>
      </c>
      <c r="L21" s="76"/>
    </row>
    <row r="22" spans="2:12" s="44" customFormat="1" ht="39">
      <c r="B22" s="62"/>
      <c r="C22" s="499"/>
      <c r="D22" s="494" t="s">
        <v>310</v>
      </c>
      <c r="E22" s="494" t="s">
        <v>518</v>
      </c>
      <c r="F22" s="515" t="s">
        <v>36</v>
      </c>
      <c r="G22" s="550">
        <v>1</v>
      </c>
      <c r="H22" s="584">
        <f>ASP!G103</f>
        <v>20000</v>
      </c>
      <c r="I22" s="550">
        <v>1</v>
      </c>
      <c r="J22" s="583">
        <f>G22*H22*I22</f>
        <v>20000</v>
      </c>
      <c r="K22" s="635">
        <v>0.6</v>
      </c>
      <c r="L22" s="76"/>
    </row>
    <row r="23" spans="2:12" s="44" customFormat="1" ht="39">
      <c r="B23" s="62"/>
      <c r="C23" s="499"/>
      <c r="D23" s="494" t="s">
        <v>720</v>
      </c>
      <c r="E23" s="494" t="s">
        <v>518</v>
      </c>
      <c r="F23" s="515" t="s">
        <v>36</v>
      </c>
      <c r="G23" s="550">
        <v>1</v>
      </c>
      <c r="H23" s="584">
        <f>ASP!G108</f>
        <v>22500</v>
      </c>
      <c r="I23" s="550">
        <v>1</v>
      </c>
      <c r="J23" s="583">
        <f>G23*H23*I23</f>
        <v>22500</v>
      </c>
      <c r="K23" s="635">
        <v>0.6</v>
      </c>
      <c r="L23" s="76"/>
    </row>
    <row r="24" spans="2:12" s="44" customFormat="1" ht="39">
      <c r="B24" s="62"/>
      <c r="C24" s="499"/>
      <c r="D24" s="494" t="s">
        <v>721</v>
      </c>
      <c r="E24" s="494" t="s">
        <v>518</v>
      </c>
      <c r="F24" s="515" t="s">
        <v>36</v>
      </c>
      <c r="G24" s="550">
        <v>1</v>
      </c>
      <c r="H24" s="584">
        <f>ASP!G111</f>
        <v>1000</v>
      </c>
      <c r="I24" s="550">
        <v>1</v>
      </c>
      <c r="J24" s="583">
        <f>G24*H24*I24</f>
        <v>1000</v>
      </c>
      <c r="K24" s="635">
        <v>0.6</v>
      </c>
      <c r="L24" s="76"/>
    </row>
    <row r="25" spans="1:12" s="44" customFormat="1" ht="19.5" customHeight="1">
      <c r="A25" s="47"/>
      <c r="B25" s="68"/>
      <c r="C25" s="517"/>
      <c r="D25" s="518" t="s">
        <v>21</v>
      </c>
      <c r="E25" s="518"/>
      <c r="F25" s="519" t="s">
        <v>514</v>
      </c>
      <c r="G25" s="552"/>
      <c r="H25" s="588"/>
      <c r="I25" s="552"/>
      <c r="J25" s="589">
        <f>SUM(J20:J24)</f>
        <v>62610</v>
      </c>
      <c r="K25" s="638"/>
      <c r="L25" s="69"/>
    </row>
    <row r="26" spans="2:12" s="44" customFormat="1" ht="19.5" customHeight="1">
      <c r="B26" s="62"/>
      <c r="C26" s="520"/>
      <c r="D26" s="521" t="s">
        <v>22</v>
      </c>
      <c r="E26" s="521"/>
      <c r="F26" s="522"/>
      <c r="G26" s="553"/>
      <c r="H26" s="590"/>
      <c r="I26" s="553"/>
      <c r="J26" s="591">
        <f>J25+J13+J15+J19</f>
        <v>98413</v>
      </c>
      <c r="K26" s="639"/>
      <c r="L26" s="63"/>
    </row>
    <row r="27" spans="2:12" s="44" customFormat="1" ht="45.75" customHeight="1">
      <c r="B27" s="283"/>
      <c r="C27" s="815" t="s">
        <v>120</v>
      </c>
      <c r="D27" s="816"/>
      <c r="E27" s="523"/>
      <c r="F27" s="524"/>
      <c r="G27" s="554"/>
      <c r="H27" s="592"/>
      <c r="I27" s="554"/>
      <c r="J27" s="554"/>
      <c r="K27" s="524"/>
      <c r="L27" s="65"/>
    </row>
    <row r="28" spans="2:12" s="44" customFormat="1" ht="39">
      <c r="B28" s="284"/>
      <c r="C28" s="803" t="s">
        <v>122</v>
      </c>
      <c r="D28" s="502" t="s">
        <v>117</v>
      </c>
      <c r="E28" s="502" t="s">
        <v>519</v>
      </c>
      <c r="F28" s="515" t="s">
        <v>36</v>
      </c>
      <c r="G28" s="555">
        <v>3</v>
      </c>
      <c r="H28" s="593">
        <f>Alert!G17/3</f>
        <v>1450</v>
      </c>
      <c r="I28" s="555">
        <v>1</v>
      </c>
      <c r="J28" s="594">
        <f>G28*H28*I28/2</f>
        <v>2175</v>
      </c>
      <c r="K28" s="640">
        <v>0.5</v>
      </c>
      <c r="L28" s="66"/>
    </row>
    <row r="29" spans="2:12" s="44" customFormat="1" ht="39">
      <c r="B29" s="284"/>
      <c r="C29" s="804"/>
      <c r="D29" s="502" t="s">
        <v>520</v>
      </c>
      <c r="E29" s="502" t="s">
        <v>517</v>
      </c>
      <c r="F29" s="515" t="s">
        <v>36</v>
      </c>
      <c r="G29" s="555">
        <v>6</v>
      </c>
      <c r="H29" s="593">
        <f>POLE!H44/6</f>
        <v>2272</v>
      </c>
      <c r="I29" s="555">
        <v>1</v>
      </c>
      <c r="J29" s="594">
        <f>G29*H29*I29</f>
        <v>13632</v>
      </c>
      <c r="K29" s="640">
        <v>0.5</v>
      </c>
      <c r="L29" s="66"/>
    </row>
    <row r="30" spans="1:12" s="44" customFormat="1" ht="19.5" customHeight="1">
      <c r="A30" s="47"/>
      <c r="B30" s="68"/>
      <c r="C30" s="517"/>
      <c r="D30" s="496" t="s">
        <v>16</v>
      </c>
      <c r="E30" s="496"/>
      <c r="F30" s="519" t="s">
        <v>21</v>
      </c>
      <c r="G30" s="552"/>
      <c r="H30" s="588"/>
      <c r="I30" s="552"/>
      <c r="J30" s="595">
        <f>SUM(J28:J29)</f>
        <v>15807</v>
      </c>
      <c r="K30" s="641"/>
      <c r="L30" s="69"/>
    </row>
    <row r="31" spans="2:12" s="44" customFormat="1" ht="39">
      <c r="B31" s="62"/>
      <c r="C31" s="805" t="s">
        <v>521</v>
      </c>
      <c r="D31" s="502" t="s">
        <v>333</v>
      </c>
      <c r="E31" s="502" t="s">
        <v>518</v>
      </c>
      <c r="F31" s="515" t="s">
        <v>36</v>
      </c>
      <c r="G31" s="550">
        <v>1</v>
      </c>
      <c r="H31" s="584">
        <f>ASP!G142</f>
        <v>900</v>
      </c>
      <c r="I31" s="550">
        <v>1</v>
      </c>
      <c r="J31" s="583">
        <f aca="true" t="shared" si="0" ref="J31:J41">G31*H31*I31</f>
        <v>900</v>
      </c>
      <c r="K31" s="635">
        <v>0.2</v>
      </c>
      <c r="L31" s="67"/>
    </row>
    <row r="32" spans="1:12" s="490" customFormat="1" ht="39">
      <c r="A32" s="48"/>
      <c r="B32" s="68"/>
      <c r="C32" s="806"/>
      <c r="D32" s="502" t="s">
        <v>522</v>
      </c>
      <c r="E32" s="279" t="s">
        <v>517</v>
      </c>
      <c r="F32" s="515" t="s">
        <v>36</v>
      </c>
      <c r="G32" s="550">
        <v>4</v>
      </c>
      <c r="H32" s="584">
        <f>POLE!H51/4</f>
        <v>4200</v>
      </c>
      <c r="I32" s="550">
        <v>1</v>
      </c>
      <c r="J32" s="583">
        <f t="shared" si="0"/>
        <v>16800</v>
      </c>
      <c r="K32" s="635">
        <v>0.4</v>
      </c>
      <c r="L32" s="70"/>
    </row>
    <row r="33" spans="1:12" s="490" customFormat="1" ht="39">
      <c r="A33" s="48"/>
      <c r="B33" s="68"/>
      <c r="C33" s="806"/>
      <c r="D33" s="502" t="s">
        <v>414</v>
      </c>
      <c r="E33" s="502" t="s">
        <v>517</v>
      </c>
      <c r="F33" s="515" t="s">
        <v>36</v>
      </c>
      <c r="G33" s="550">
        <v>6</v>
      </c>
      <c r="H33" s="584">
        <f>POLE!H62/24</f>
        <v>561.9583333333334</v>
      </c>
      <c r="I33" s="550">
        <v>4</v>
      </c>
      <c r="J33" s="583">
        <f t="shared" si="0"/>
        <v>13487</v>
      </c>
      <c r="K33" s="635">
        <v>0.3</v>
      </c>
      <c r="L33" s="500"/>
    </row>
    <row r="34" spans="2:12" s="44" customFormat="1" ht="78">
      <c r="B34" s="62"/>
      <c r="C34" s="807"/>
      <c r="D34" s="494" t="s">
        <v>577</v>
      </c>
      <c r="E34" s="502" t="s">
        <v>517</v>
      </c>
      <c r="F34" s="515" t="s">
        <v>36</v>
      </c>
      <c r="G34" s="555">
        <v>6</v>
      </c>
      <c r="H34" s="593">
        <f>POLE!H75/6</f>
        <v>4000.3333333333335</v>
      </c>
      <c r="I34" s="555">
        <v>1</v>
      </c>
      <c r="J34" s="594">
        <f t="shared" si="0"/>
        <v>24002</v>
      </c>
      <c r="K34" s="635">
        <v>0.5</v>
      </c>
      <c r="L34" s="67"/>
    </row>
    <row r="35" spans="2:12" s="44" customFormat="1" ht="64.5">
      <c r="B35" s="62"/>
      <c r="C35" s="501"/>
      <c r="D35" s="494" t="s">
        <v>722</v>
      </c>
      <c r="E35" s="502" t="s">
        <v>517</v>
      </c>
      <c r="F35" s="515" t="s">
        <v>36</v>
      </c>
      <c r="G35" s="555">
        <v>6</v>
      </c>
      <c r="H35" s="593">
        <f>POLE!H86/6</f>
        <v>1662.6666666666667</v>
      </c>
      <c r="I35" s="555">
        <v>1</v>
      </c>
      <c r="J35" s="594">
        <f t="shared" si="0"/>
        <v>9976</v>
      </c>
      <c r="K35" s="635">
        <v>0.5</v>
      </c>
      <c r="L35" s="67"/>
    </row>
    <row r="36" spans="2:12" s="44" customFormat="1" ht="39">
      <c r="B36" s="62"/>
      <c r="C36" s="501"/>
      <c r="D36" s="494" t="s">
        <v>578</v>
      </c>
      <c r="E36" s="502" t="s">
        <v>518</v>
      </c>
      <c r="F36" s="515" t="s">
        <v>36</v>
      </c>
      <c r="G36" s="555">
        <v>1</v>
      </c>
      <c r="H36" s="593">
        <f>ASP!G145</f>
        <v>7000</v>
      </c>
      <c r="I36" s="555">
        <v>1</v>
      </c>
      <c r="J36" s="594">
        <f t="shared" si="0"/>
        <v>7000</v>
      </c>
      <c r="K36" s="635">
        <v>0.5</v>
      </c>
      <c r="L36" s="67"/>
    </row>
    <row r="37" spans="2:12" s="44" customFormat="1" ht="39">
      <c r="B37" s="62"/>
      <c r="C37" s="501"/>
      <c r="D37" s="494" t="s">
        <v>579</v>
      </c>
      <c r="E37" s="502" t="s">
        <v>518</v>
      </c>
      <c r="F37" s="515" t="s">
        <v>36</v>
      </c>
      <c r="G37" s="555">
        <v>1</v>
      </c>
      <c r="H37" s="593">
        <f>ASP!G163</f>
        <v>9174</v>
      </c>
      <c r="I37" s="555">
        <v>1</v>
      </c>
      <c r="J37" s="594">
        <f t="shared" si="0"/>
        <v>9174</v>
      </c>
      <c r="K37" s="635">
        <v>0.5</v>
      </c>
      <c r="L37" s="67"/>
    </row>
    <row r="38" spans="2:12" s="44" customFormat="1" ht="39">
      <c r="B38" s="62"/>
      <c r="C38" s="501"/>
      <c r="D38" s="494" t="s">
        <v>580</v>
      </c>
      <c r="E38" s="502" t="s">
        <v>518</v>
      </c>
      <c r="F38" s="515" t="s">
        <v>36</v>
      </c>
      <c r="G38" s="555">
        <v>1</v>
      </c>
      <c r="H38" s="593">
        <f>ASP!G166/4</f>
        <v>612</v>
      </c>
      <c r="I38" s="555">
        <v>4</v>
      </c>
      <c r="J38" s="594">
        <f t="shared" si="0"/>
        <v>2448</v>
      </c>
      <c r="K38" s="635">
        <v>0.5</v>
      </c>
      <c r="L38" s="67"/>
    </row>
    <row r="39" spans="2:12" s="44" customFormat="1" ht="39">
      <c r="B39" s="62"/>
      <c r="C39" s="501"/>
      <c r="D39" s="494" t="s">
        <v>581</v>
      </c>
      <c r="E39" s="502" t="s">
        <v>518</v>
      </c>
      <c r="F39" s="515" t="s">
        <v>36</v>
      </c>
      <c r="G39" s="555">
        <v>1</v>
      </c>
      <c r="H39" s="593">
        <f>ASP!G169/4</f>
        <v>1000</v>
      </c>
      <c r="I39" s="555">
        <v>4</v>
      </c>
      <c r="J39" s="594">
        <f t="shared" si="0"/>
        <v>4000</v>
      </c>
      <c r="K39" s="635">
        <v>0.5</v>
      </c>
      <c r="L39" s="67"/>
    </row>
    <row r="40" spans="2:12" s="44" customFormat="1" ht="39">
      <c r="B40" s="62"/>
      <c r="C40" s="501"/>
      <c r="D40" s="494" t="s">
        <v>582</v>
      </c>
      <c r="E40" s="502" t="s">
        <v>518</v>
      </c>
      <c r="F40" s="515" t="s">
        <v>36</v>
      </c>
      <c r="G40" s="555">
        <v>1</v>
      </c>
      <c r="H40" s="593">
        <f>ASP!G172/2</f>
        <v>2000</v>
      </c>
      <c r="I40" s="555">
        <v>2</v>
      </c>
      <c r="J40" s="594">
        <f t="shared" si="0"/>
        <v>4000</v>
      </c>
      <c r="K40" s="635">
        <v>0.5</v>
      </c>
      <c r="L40" s="67"/>
    </row>
    <row r="41" spans="2:12" s="44" customFormat="1" ht="39">
      <c r="B41" s="62"/>
      <c r="C41" s="501"/>
      <c r="D41" s="494" t="s">
        <v>583</v>
      </c>
      <c r="E41" s="502" t="s">
        <v>519</v>
      </c>
      <c r="F41" s="515" t="s">
        <v>36</v>
      </c>
      <c r="G41" s="555">
        <v>1</v>
      </c>
      <c r="H41" s="593">
        <f>Alert!G32</f>
        <v>6520</v>
      </c>
      <c r="I41" s="555">
        <v>1</v>
      </c>
      <c r="J41" s="594">
        <f t="shared" si="0"/>
        <v>6520</v>
      </c>
      <c r="K41" s="635">
        <v>0.5</v>
      </c>
      <c r="L41" s="67"/>
    </row>
    <row r="42" spans="1:12" s="44" customFormat="1" ht="19.5" customHeight="1">
      <c r="A42" s="47"/>
      <c r="B42" s="71"/>
      <c r="C42" s="517"/>
      <c r="D42" s="496" t="s">
        <v>16</v>
      </c>
      <c r="E42" s="496"/>
      <c r="F42" s="519" t="s">
        <v>21</v>
      </c>
      <c r="G42" s="552"/>
      <c r="H42" s="588"/>
      <c r="I42" s="552"/>
      <c r="J42" s="600">
        <f>SUM(J31:J41)</f>
        <v>98307</v>
      </c>
      <c r="K42" s="643"/>
      <c r="L42" s="69"/>
    </row>
    <row r="43" spans="1:12" s="44" customFormat="1" ht="19.5" customHeight="1">
      <c r="A43" s="47"/>
      <c r="B43" s="72"/>
      <c r="C43" s="525"/>
      <c r="D43" s="521" t="s">
        <v>23</v>
      </c>
      <c r="E43" s="521"/>
      <c r="F43" s="525"/>
      <c r="G43" s="556"/>
      <c r="H43" s="597"/>
      <c r="I43" s="556"/>
      <c r="J43" s="596">
        <f>J30+J42</f>
        <v>114114</v>
      </c>
      <c r="K43" s="642"/>
      <c r="L43" s="73"/>
    </row>
    <row r="44" spans="2:12" s="44" customFormat="1" ht="42" customHeight="1">
      <c r="B44" s="64"/>
      <c r="C44" s="817" t="s">
        <v>121</v>
      </c>
      <c r="D44" s="818"/>
      <c r="E44" s="526"/>
      <c r="F44" s="527"/>
      <c r="G44" s="557"/>
      <c r="H44" s="598"/>
      <c r="I44" s="557"/>
      <c r="J44" s="557"/>
      <c r="K44" s="527"/>
      <c r="L44" s="74"/>
    </row>
    <row r="45" spans="2:12" s="44" customFormat="1" ht="78">
      <c r="B45" s="62"/>
      <c r="C45" s="107" t="s">
        <v>523</v>
      </c>
      <c r="D45" s="502" t="s">
        <v>118</v>
      </c>
      <c r="E45" s="502" t="s">
        <v>524</v>
      </c>
      <c r="F45" s="515" t="s">
        <v>36</v>
      </c>
      <c r="G45" s="555">
        <v>2</v>
      </c>
      <c r="H45" s="593">
        <f>AAP!G25/2</f>
        <v>1960</v>
      </c>
      <c r="I45" s="555">
        <v>1</v>
      </c>
      <c r="J45" s="594">
        <f>G45*H45*I45</f>
        <v>3920</v>
      </c>
      <c r="K45" s="640">
        <v>0.5</v>
      </c>
      <c r="L45" s="66"/>
    </row>
    <row r="46" spans="1:12" s="504" customFormat="1" ht="18.75" customHeight="1">
      <c r="A46" s="47"/>
      <c r="B46" s="72"/>
      <c r="C46" s="528"/>
      <c r="D46" s="503" t="s">
        <v>16</v>
      </c>
      <c r="E46" s="503"/>
      <c r="F46" s="519" t="s">
        <v>21</v>
      </c>
      <c r="G46" s="558"/>
      <c r="H46" s="599"/>
      <c r="I46" s="558"/>
      <c r="J46" s="600">
        <f>SUM(J45:J45)</f>
        <v>3920</v>
      </c>
      <c r="K46" s="643"/>
      <c r="L46" s="77"/>
    </row>
    <row r="47" spans="1:12" s="490" customFormat="1" ht="39">
      <c r="A47" s="48"/>
      <c r="B47" s="68"/>
      <c r="C47" s="801" t="s">
        <v>525</v>
      </c>
      <c r="D47" s="279" t="s">
        <v>167</v>
      </c>
      <c r="E47" s="279" t="s">
        <v>524</v>
      </c>
      <c r="F47" s="515" t="s">
        <v>36</v>
      </c>
      <c r="G47" s="555">
        <v>1</v>
      </c>
      <c r="H47" s="593">
        <f>AAP!G40</f>
        <v>10250</v>
      </c>
      <c r="I47" s="555">
        <v>1</v>
      </c>
      <c r="J47" s="594">
        <f aca="true" t="shared" si="1" ref="J47:J52">G47*H47*I47</f>
        <v>10250</v>
      </c>
      <c r="K47" s="640">
        <v>0.4</v>
      </c>
      <c r="L47" s="66"/>
    </row>
    <row r="48" spans="1:12" s="490" customFormat="1" ht="39">
      <c r="A48" s="48"/>
      <c r="B48" s="68"/>
      <c r="C48" s="801"/>
      <c r="D48" s="529" t="s">
        <v>175</v>
      </c>
      <c r="E48" s="279" t="s">
        <v>524</v>
      </c>
      <c r="F48" s="515" t="s">
        <v>36</v>
      </c>
      <c r="G48" s="555">
        <v>6</v>
      </c>
      <c r="H48" s="593">
        <f>AAP!G55/6</f>
        <v>2140</v>
      </c>
      <c r="I48" s="555">
        <v>1</v>
      </c>
      <c r="J48" s="594">
        <f t="shared" si="1"/>
        <v>12840</v>
      </c>
      <c r="K48" s="640">
        <v>0.3</v>
      </c>
      <c r="L48" s="66"/>
    </row>
    <row r="49" spans="1:12" s="490" customFormat="1" ht="39">
      <c r="A49" s="87"/>
      <c r="B49" s="88"/>
      <c r="C49" s="801"/>
      <c r="D49" s="529" t="s">
        <v>187</v>
      </c>
      <c r="E49" s="279" t="s">
        <v>524</v>
      </c>
      <c r="F49" s="515" t="s">
        <v>36</v>
      </c>
      <c r="G49" s="555">
        <v>6</v>
      </c>
      <c r="H49" s="593">
        <f>AAP!G59/6</f>
        <v>1850</v>
      </c>
      <c r="I49" s="555">
        <v>1</v>
      </c>
      <c r="J49" s="594">
        <f>G49*H49*I49</f>
        <v>11100</v>
      </c>
      <c r="K49" s="640">
        <v>0.3</v>
      </c>
      <c r="L49" s="66"/>
    </row>
    <row r="50" spans="1:12" s="490" customFormat="1" ht="39">
      <c r="A50" s="48"/>
      <c r="B50" s="68"/>
      <c r="C50" s="801"/>
      <c r="D50" s="529" t="s">
        <v>526</v>
      </c>
      <c r="E50" s="279" t="s">
        <v>524</v>
      </c>
      <c r="F50" s="515" t="s">
        <v>36</v>
      </c>
      <c r="G50" s="550">
        <v>3</v>
      </c>
      <c r="H50" s="584">
        <f>AAP!G95/3</f>
        <v>5655</v>
      </c>
      <c r="I50" s="550">
        <v>1</v>
      </c>
      <c r="J50" s="594">
        <f t="shared" si="1"/>
        <v>16965</v>
      </c>
      <c r="K50" s="640">
        <v>0.5</v>
      </c>
      <c r="L50" s="66"/>
    </row>
    <row r="51" spans="1:12" s="490" customFormat="1" ht="39">
      <c r="A51" s="48"/>
      <c r="B51" s="68"/>
      <c r="C51" s="802"/>
      <c r="D51" s="529" t="s">
        <v>527</v>
      </c>
      <c r="E51" s="529" t="s">
        <v>519</v>
      </c>
      <c r="F51" s="515" t="s">
        <v>36</v>
      </c>
      <c r="G51" s="555">
        <v>1</v>
      </c>
      <c r="H51" s="593">
        <f>Alert!G52</f>
        <v>143730</v>
      </c>
      <c r="I51" s="555">
        <v>1</v>
      </c>
      <c r="J51" s="594">
        <f t="shared" si="1"/>
        <v>143730</v>
      </c>
      <c r="K51" s="640">
        <v>0.5</v>
      </c>
      <c r="L51" s="66"/>
    </row>
    <row r="52" spans="1:12" s="490" customFormat="1" ht="99" customHeight="1">
      <c r="A52" s="48"/>
      <c r="B52" s="68"/>
      <c r="C52" s="802"/>
      <c r="D52" s="502" t="s">
        <v>528</v>
      </c>
      <c r="E52" s="529" t="s">
        <v>519</v>
      </c>
      <c r="F52" s="515" t="s">
        <v>36</v>
      </c>
      <c r="G52" s="550">
        <v>1</v>
      </c>
      <c r="H52" s="584">
        <f>Alert!G64</f>
        <v>6550</v>
      </c>
      <c r="I52" s="550">
        <v>1</v>
      </c>
      <c r="J52" s="583">
        <f t="shared" si="1"/>
        <v>6550</v>
      </c>
      <c r="K52" s="640">
        <v>0.5</v>
      </c>
      <c r="L52" s="76"/>
    </row>
    <row r="53" spans="1:12" s="490" customFormat="1" ht="99" customHeight="1">
      <c r="A53" s="48"/>
      <c r="B53" s="68"/>
      <c r="C53" s="802"/>
      <c r="D53" s="502" t="s">
        <v>529</v>
      </c>
      <c r="E53" s="529" t="s">
        <v>519</v>
      </c>
      <c r="F53" s="515" t="s">
        <v>36</v>
      </c>
      <c r="G53" s="550">
        <v>1</v>
      </c>
      <c r="H53" s="584">
        <f>Alert!G70</f>
        <v>3180</v>
      </c>
      <c r="I53" s="550">
        <v>1</v>
      </c>
      <c r="J53" s="583">
        <f>G53*H53*I53</f>
        <v>3180</v>
      </c>
      <c r="K53" s="640">
        <v>0.5</v>
      </c>
      <c r="L53" s="76"/>
    </row>
    <row r="54" spans="1:12" s="490" customFormat="1" ht="99" customHeight="1">
      <c r="A54" s="48"/>
      <c r="B54" s="68"/>
      <c r="C54" s="802"/>
      <c r="D54" s="502" t="s">
        <v>584</v>
      </c>
      <c r="E54" s="529" t="s">
        <v>519</v>
      </c>
      <c r="F54" s="515" t="s">
        <v>36</v>
      </c>
      <c r="G54" s="550">
        <v>1</v>
      </c>
      <c r="H54" s="584">
        <f>Alert!G78/2</f>
        <v>464</v>
      </c>
      <c r="I54" s="550">
        <v>1</v>
      </c>
      <c r="J54" s="583">
        <f>G54*H54*I54</f>
        <v>464</v>
      </c>
      <c r="K54" s="640">
        <v>0.5</v>
      </c>
      <c r="L54" s="76"/>
    </row>
    <row r="55" spans="1:12" s="490" customFormat="1" ht="99" customHeight="1">
      <c r="A55" s="48"/>
      <c r="B55" s="68"/>
      <c r="C55" s="802"/>
      <c r="D55" s="502" t="s">
        <v>530</v>
      </c>
      <c r="E55" s="529" t="s">
        <v>519</v>
      </c>
      <c r="F55" s="515" t="s">
        <v>36</v>
      </c>
      <c r="G55" s="550">
        <v>4</v>
      </c>
      <c r="H55" s="584">
        <f>Alert!G84/4</f>
        <v>955</v>
      </c>
      <c r="I55" s="550">
        <v>1</v>
      </c>
      <c r="J55" s="583">
        <f>G55*H55*I55</f>
        <v>3820</v>
      </c>
      <c r="K55" s="640">
        <v>0.5</v>
      </c>
      <c r="L55" s="76"/>
    </row>
    <row r="56" spans="1:12" s="490" customFormat="1" ht="99" customHeight="1">
      <c r="A56" s="48"/>
      <c r="B56" s="68"/>
      <c r="C56" s="802"/>
      <c r="D56" s="502" t="s">
        <v>531</v>
      </c>
      <c r="E56" s="529" t="s">
        <v>519</v>
      </c>
      <c r="F56" s="515" t="s">
        <v>36</v>
      </c>
      <c r="G56" s="550">
        <v>4</v>
      </c>
      <c r="H56" s="584">
        <f>Alert!G90/4</f>
        <v>3109.5</v>
      </c>
      <c r="I56" s="550">
        <v>1</v>
      </c>
      <c r="J56" s="583">
        <f>G56*H56*I56</f>
        <v>12438</v>
      </c>
      <c r="K56" s="640">
        <v>0.5</v>
      </c>
      <c r="L56" s="76"/>
    </row>
    <row r="57" spans="1:12" s="490" customFormat="1" ht="39">
      <c r="A57" s="48"/>
      <c r="B57" s="68"/>
      <c r="C57" s="781"/>
      <c r="D57" s="502" t="s">
        <v>725</v>
      </c>
      <c r="E57" s="529" t="s">
        <v>519</v>
      </c>
      <c r="F57" s="515" t="s">
        <v>36</v>
      </c>
      <c r="G57" s="550">
        <v>1</v>
      </c>
      <c r="H57" s="584">
        <v>4100</v>
      </c>
      <c r="I57" s="550">
        <v>1</v>
      </c>
      <c r="J57" s="583">
        <f>G57*H57*I57</f>
        <v>4100</v>
      </c>
      <c r="K57" s="640">
        <v>0.5</v>
      </c>
      <c r="L57" s="76"/>
    </row>
    <row r="58" spans="2:12" ht="25.5">
      <c r="B58" s="62"/>
      <c r="C58" s="530"/>
      <c r="D58" s="494" t="s">
        <v>532</v>
      </c>
      <c r="E58" s="494" t="s">
        <v>519</v>
      </c>
      <c r="F58" s="279" t="s">
        <v>33</v>
      </c>
      <c r="G58" s="559">
        <f>7+7/12</f>
        <v>7.583333333333333</v>
      </c>
      <c r="H58" s="550">
        <v>1977.0338507999998</v>
      </c>
      <c r="I58" s="601">
        <v>0.5</v>
      </c>
      <c r="J58" s="583">
        <f>(G58*H58*I58)</f>
        <v>7496.253350949999</v>
      </c>
      <c r="K58" s="640"/>
      <c r="L58" s="489"/>
    </row>
    <row r="59" spans="2:12" ht="25.5">
      <c r="B59" s="62"/>
      <c r="C59" s="530"/>
      <c r="D59" s="494" t="s">
        <v>533</v>
      </c>
      <c r="E59" s="494" t="s">
        <v>519</v>
      </c>
      <c r="F59" s="279" t="s">
        <v>33</v>
      </c>
      <c r="G59" s="559">
        <f>8+8/12</f>
        <v>8.666666666666666</v>
      </c>
      <c r="H59" s="550">
        <v>3755.9259352</v>
      </c>
      <c r="I59" s="601">
        <v>0.5</v>
      </c>
      <c r="J59" s="583">
        <f>G59*H59*I59</f>
        <v>16275.679052533333</v>
      </c>
      <c r="K59" s="640"/>
      <c r="L59" s="489"/>
    </row>
    <row r="60" spans="2:12" ht="25.5">
      <c r="B60" s="62"/>
      <c r="C60" s="530"/>
      <c r="D60" s="494" t="s">
        <v>534</v>
      </c>
      <c r="E60" s="494" t="s">
        <v>519</v>
      </c>
      <c r="F60" s="279" t="s">
        <v>33</v>
      </c>
      <c r="G60" s="559">
        <f>7+7/12</f>
        <v>7.583333333333333</v>
      </c>
      <c r="H60" s="550">
        <v>1911.1198480000003</v>
      </c>
      <c r="I60" s="601">
        <v>0.6</v>
      </c>
      <c r="J60" s="583">
        <f>(G60*H60*I60)</f>
        <v>8695.5953084</v>
      </c>
      <c r="K60" s="640"/>
      <c r="L60" s="489"/>
    </row>
    <row r="61" spans="1:12" ht="19.5" customHeight="1">
      <c r="A61" s="9"/>
      <c r="B61" s="72"/>
      <c r="C61" s="528"/>
      <c r="D61" s="496" t="s">
        <v>16</v>
      </c>
      <c r="E61" s="496"/>
      <c r="F61" s="519" t="s">
        <v>21</v>
      </c>
      <c r="G61" s="558"/>
      <c r="H61" s="599"/>
      <c r="I61" s="558"/>
      <c r="J61" s="600">
        <f>SUM(J47:J60)</f>
        <v>257904.5277118833</v>
      </c>
      <c r="K61" s="643"/>
      <c r="L61" s="77"/>
    </row>
    <row r="62" spans="1:12" ht="19.5" customHeight="1" thickBot="1">
      <c r="A62" s="9"/>
      <c r="B62" s="78"/>
      <c r="C62" s="531"/>
      <c r="D62" s="532" t="s">
        <v>24</v>
      </c>
      <c r="E62" s="533"/>
      <c r="F62" s="531"/>
      <c r="G62" s="560"/>
      <c r="H62" s="602"/>
      <c r="I62" s="560"/>
      <c r="J62" s="603">
        <f>J61+J46</f>
        <v>261824.5277118833</v>
      </c>
      <c r="K62" s="644"/>
      <c r="L62" s="80"/>
    </row>
    <row r="63" spans="2:12" ht="19.5" customHeight="1">
      <c r="B63" s="83"/>
      <c r="C63" s="534"/>
      <c r="D63" s="535" t="s">
        <v>116</v>
      </c>
      <c r="E63" s="535"/>
      <c r="F63" s="508"/>
      <c r="G63" s="561"/>
      <c r="H63" s="604"/>
      <c r="I63" s="605"/>
      <c r="J63" s="606"/>
      <c r="K63" s="645"/>
      <c r="L63" s="84"/>
    </row>
    <row r="64" spans="2:12" ht="25.5">
      <c r="B64" s="62"/>
      <c r="C64" s="530" t="s">
        <v>110</v>
      </c>
      <c r="D64" s="494" t="s">
        <v>26</v>
      </c>
      <c r="E64" s="494"/>
      <c r="F64" s="279" t="s">
        <v>44</v>
      </c>
      <c r="G64" s="550">
        <v>1</v>
      </c>
      <c r="H64" s="584">
        <v>0</v>
      </c>
      <c r="I64" s="601"/>
      <c r="J64" s="583">
        <f>(G64*H64*I64)*12</f>
        <v>0</v>
      </c>
      <c r="K64" s="636"/>
      <c r="L64" s="85"/>
    </row>
    <row r="65" spans="2:12" ht="26.25" customHeight="1">
      <c r="B65" s="62"/>
      <c r="C65" s="530" t="s">
        <v>25</v>
      </c>
      <c r="D65" s="494" t="s">
        <v>27</v>
      </c>
      <c r="E65" s="494" t="s">
        <v>519</v>
      </c>
      <c r="F65" s="515" t="s">
        <v>47</v>
      </c>
      <c r="G65" s="550">
        <f>2*6</f>
        <v>12</v>
      </c>
      <c r="H65" s="584">
        <v>200</v>
      </c>
      <c r="I65" s="601">
        <v>1</v>
      </c>
      <c r="J65" s="583">
        <f>G65*H65*I65</f>
        <v>2400</v>
      </c>
      <c r="K65" s="636"/>
      <c r="L65" s="85"/>
    </row>
    <row r="66" spans="2:12" ht="39">
      <c r="B66" s="89"/>
      <c r="C66" s="530" t="s">
        <v>126</v>
      </c>
      <c r="D66" s="494" t="s">
        <v>124</v>
      </c>
      <c r="E66" s="494" t="s">
        <v>519</v>
      </c>
      <c r="F66" s="515" t="s">
        <v>36</v>
      </c>
      <c r="G66" s="562">
        <v>1</v>
      </c>
      <c r="H66" s="607">
        <v>2000</v>
      </c>
      <c r="I66" s="601">
        <v>1</v>
      </c>
      <c r="J66" s="583">
        <f>G66*H66*I66</f>
        <v>2000</v>
      </c>
      <c r="K66" s="646"/>
      <c r="L66" s="85"/>
    </row>
    <row r="67" spans="2:12" ht="39">
      <c r="B67" s="89"/>
      <c r="C67" s="530" t="s">
        <v>127</v>
      </c>
      <c r="D67" s="494" t="s">
        <v>125</v>
      </c>
      <c r="E67" s="494" t="s">
        <v>519</v>
      </c>
      <c r="F67" s="515" t="s">
        <v>36</v>
      </c>
      <c r="G67" s="562">
        <v>1</v>
      </c>
      <c r="H67" s="607">
        <v>1631</v>
      </c>
      <c r="I67" s="601">
        <v>1</v>
      </c>
      <c r="J67" s="583">
        <f>G67*H67*I67</f>
        <v>1631</v>
      </c>
      <c r="K67" s="646"/>
      <c r="L67" s="85"/>
    </row>
    <row r="68" spans="1:12" ht="19.5" customHeight="1" thickBot="1">
      <c r="A68" s="9"/>
      <c r="B68" s="78"/>
      <c r="C68" s="79"/>
      <c r="D68" s="505" t="s">
        <v>28</v>
      </c>
      <c r="E68" s="506"/>
      <c r="F68" s="507" t="s">
        <v>21</v>
      </c>
      <c r="G68" s="560"/>
      <c r="H68" s="602"/>
      <c r="I68" s="560"/>
      <c r="J68" s="603">
        <f>SUM(J64:J67)</f>
        <v>6031</v>
      </c>
      <c r="K68" s="644"/>
      <c r="L68" s="86"/>
    </row>
    <row r="69" spans="2:12" ht="19.5" customHeight="1">
      <c r="B69" s="81"/>
      <c r="C69" s="395"/>
      <c r="D69" s="509" t="s">
        <v>29</v>
      </c>
      <c r="E69" s="509"/>
      <c r="F69" s="395"/>
      <c r="G69" s="563"/>
      <c r="H69" s="608"/>
      <c r="I69" s="563"/>
      <c r="J69" s="609">
        <f>J68+J62+J43+J26</f>
        <v>480382.5277118833</v>
      </c>
      <c r="K69" s="647"/>
      <c r="L69" s="82"/>
    </row>
    <row r="70" spans="2:12" ht="19.5" customHeight="1">
      <c r="B70" s="12"/>
      <c r="C70" s="280"/>
      <c r="D70" s="13"/>
      <c r="E70" s="13"/>
      <c r="F70" s="13"/>
      <c r="G70" s="543"/>
      <c r="H70" s="572"/>
      <c r="I70" s="543"/>
      <c r="J70" s="573"/>
      <c r="K70" s="14"/>
      <c r="L70" s="14"/>
    </row>
    <row r="71" spans="2:12" ht="19.5" customHeight="1">
      <c r="B71" s="12"/>
      <c r="C71" s="396" t="s">
        <v>30</v>
      </c>
      <c r="D71" s="510" t="s">
        <v>31</v>
      </c>
      <c r="E71" s="510"/>
      <c r="F71" s="396"/>
      <c r="G71" s="539"/>
      <c r="H71" s="610"/>
      <c r="I71" s="539"/>
      <c r="J71" s="611"/>
      <c r="K71" s="611"/>
      <c r="L71" s="397"/>
    </row>
    <row r="72" spans="2:12" ht="19.5" customHeight="1">
      <c r="B72" s="12"/>
      <c r="C72" s="536"/>
      <c r="D72" s="537"/>
      <c r="E72" s="537"/>
      <c r="F72" s="536"/>
      <c r="G72" s="564"/>
      <c r="H72" s="612"/>
      <c r="I72" s="564"/>
      <c r="J72" s="613"/>
      <c r="K72" s="648"/>
      <c r="L72" s="41"/>
    </row>
    <row r="73" spans="2:12" ht="25.5">
      <c r="B73" s="8"/>
      <c r="C73" s="538" t="s">
        <v>111</v>
      </c>
      <c r="D73" s="13" t="s">
        <v>532</v>
      </c>
      <c r="E73" s="13" t="s">
        <v>519</v>
      </c>
      <c r="F73" s="95" t="s">
        <v>33</v>
      </c>
      <c r="G73" s="559">
        <f>7+7/12</f>
        <v>7.583333333333333</v>
      </c>
      <c r="H73" s="550">
        <v>1977.0338507999998</v>
      </c>
      <c r="I73" s="614">
        <v>0.5</v>
      </c>
      <c r="J73" s="615">
        <f>(G73*H73*I73)</f>
        <v>7496.253350949999</v>
      </c>
      <c r="K73" s="649"/>
      <c r="L73" s="512"/>
    </row>
    <row r="74" spans="2:12" ht="25.5">
      <c r="B74" s="8"/>
      <c r="C74" s="538" t="s">
        <v>32</v>
      </c>
      <c r="D74" s="13" t="s">
        <v>533</v>
      </c>
      <c r="E74" s="13" t="s">
        <v>519</v>
      </c>
      <c r="F74" s="95" t="s">
        <v>33</v>
      </c>
      <c r="G74" s="559">
        <f>8+8/12</f>
        <v>8.666666666666666</v>
      </c>
      <c r="H74" s="550">
        <v>3755.9259352</v>
      </c>
      <c r="I74" s="614">
        <v>0.5</v>
      </c>
      <c r="J74" s="615">
        <f>G74*H74*I74</f>
        <v>16275.679052533333</v>
      </c>
      <c r="K74" s="649"/>
      <c r="L74" s="512"/>
    </row>
    <row r="75" spans="2:12" ht="25.5">
      <c r="B75" s="8"/>
      <c r="C75" s="538" t="s">
        <v>585</v>
      </c>
      <c r="D75" s="13" t="s">
        <v>536</v>
      </c>
      <c r="E75" s="13" t="s">
        <v>519</v>
      </c>
      <c r="F75" s="95" t="s">
        <v>33</v>
      </c>
      <c r="G75" s="559">
        <f>7+7/12</f>
        <v>7.583333333333333</v>
      </c>
      <c r="H75" s="565">
        <v>3340</v>
      </c>
      <c r="I75" s="614">
        <v>0.15</v>
      </c>
      <c r="J75" s="615">
        <f>(G75*H75*I75)</f>
        <v>3799.2499999999995</v>
      </c>
      <c r="K75" s="649"/>
      <c r="L75" s="512"/>
    </row>
    <row r="76" spans="2:12" ht="25.5">
      <c r="B76" s="8"/>
      <c r="C76" s="538" t="s">
        <v>535</v>
      </c>
      <c r="D76" s="13" t="s">
        <v>571</v>
      </c>
      <c r="E76" s="13" t="s">
        <v>519</v>
      </c>
      <c r="F76" s="95" t="s">
        <v>33</v>
      </c>
      <c r="G76" s="559">
        <f>7+7/12</f>
        <v>7.583333333333333</v>
      </c>
      <c r="H76" s="565">
        <v>3150</v>
      </c>
      <c r="I76" s="614">
        <v>0.15</v>
      </c>
      <c r="J76" s="615">
        <f>G76*H76*I76</f>
        <v>3583.125</v>
      </c>
      <c r="K76" s="649"/>
      <c r="L76" s="512"/>
    </row>
    <row r="77" spans="2:12" ht="25.5">
      <c r="B77" s="8"/>
      <c r="C77" s="538" t="s">
        <v>586</v>
      </c>
      <c r="D77" s="13" t="s">
        <v>539</v>
      </c>
      <c r="E77" s="13" t="s">
        <v>519</v>
      </c>
      <c r="F77" s="95" t="s">
        <v>33</v>
      </c>
      <c r="G77" s="559">
        <f>6+6/12</f>
        <v>6.5</v>
      </c>
      <c r="H77" s="565">
        <v>1928</v>
      </c>
      <c r="I77" s="614">
        <v>0.15</v>
      </c>
      <c r="J77" s="615">
        <f aca="true" t="shared" si="2" ref="J77:J84">G77*H77*I77</f>
        <v>1879.8</v>
      </c>
      <c r="K77" s="649"/>
      <c r="L77" s="512"/>
    </row>
    <row r="78" spans="2:12" ht="25.5">
      <c r="B78" s="8"/>
      <c r="C78" s="538" t="s">
        <v>537</v>
      </c>
      <c r="D78" s="13" t="s">
        <v>541</v>
      </c>
      <c r="E78" s="13" t="s">
        <v>519</v>
      </c>
      <c r="F78" s="95" t="s">
        <v>33</v>
      </c>
      <c r="G78" s="559">
        <f>6+6/12</f>
        <v>6.5</v>
      </c>
      <c r="H78" s="550">
        <v>1911.1198480000003</v>
      </c>
      <c r="I78" s="614">
        <v>0.15</v>
      </c>
      <c r="J78" s="615">
        <f t="shared" si="2"/>
        <v>1863.3418518000003</v>
      </c>
      <c r="K78" s="649"/>
      <c r="L78" s="512"/>
    </row>
    <row r="79" spans="2:12" ht="25.5">
      <c r="B79" s="8"/>
      <c r="C79" s="538" t="s">
        <v>538</v>
      </c>
      <c r="D79" s="13" t="s">
        <v>543</v>
      </c>
      <c r="E79" s="13" t="s">
        <v>519</v>
      </c>
      <c r="F79" s="95" t="s">
        <v>33</v>
      </c>
      <c r="G79" s="559">
        <f>7+7/12</f>
        <v>7.583333333333333</v>
      </c>
      <c r="H79" s="565">
        <v>929</v>
      </c>
      <c r="I79" s="614">
        <v>0.8</v>
      </c>
      <c r="J79" s="615">
        <f t="shared" si="2"/>
        <v>5635.933333333333</v>
      </c>
      <c r="K79" s="649"/>
      <c r="L79" s="512"/>
    </row>
    <row r="80" spans="2:12" ht="25.5">
      <c r="B80" s="8"/>
      <c r="C80" s="538" t="s">
        <v>540</v>
      </c>
      <c r="D80" s="13" t="s">
        <v>545</v>
      </c>
      <c r="E80" s="13" t="s">
        <v>519</v>
      </c>
      <c r="F80" s="95" t="s">
        <v>33</v>
      </c>
      <c r="G80" s="559">
        <f>6+6/12</f>
        <v>6.5</v>
      </c>
      <c r="H80" s="565">
        <v>641</v>
      </c>
      <c r="I80" s="614">
        <v>0.25</v>
      </c>
      <c r="J80" s="615">
        <f t="shared" si="2"/>
        <v>1041.625</v>
      </c>
      <c r="K80" s="649"/>
      <c r="L80" s="512"/>
    </row>
    <row r="81" spans="2:12" ht="22.5" customHeight="1">
      <c r="B81" s="8"/>
      <c r="C81" s="538" t="s">
        <v>542</v>
      </c>
      <c r="D81" s="13" t="s">
        <v>547</v>
      </c>
      <c r="E81" s="13" t="s">
        <v>519</v>
      </c>
      <c r="F81" s="95" t="s">
        <v>33</v>
      </c>
      <c r="G81" s="559">
        <f>6+6/12</f>
        <v>6.5</v>
      </c>
      <c r="H81" s="616">
        <v>577</v>
      </c>
      <c r="I81" s="614">
        <v>0.3</v>
      </c>
      <c r="J81" s="615">
        <f t="shared" si="2"/>
        <v>1125.1499999999999</v>
      </c>
      <c r="K81" s="649"/>
      <c r="L81" s="512"/>
    </row>
    <row r="82" spans="2:12" ht="25.5">
      <c r="B82" s="8"/>
      <c r="C82" s="538" t="s">
        <v>544</v>
      </c>
      <c r="D82" s="13" t="s">
        <v>549</v>
      </c>
      <c r="E82" s="13" t="s">
        <v>519</v>
      </c>
      <c r="F82" s="95" t="s">
        <v>33</v>
      </c>
      <c r="G82" s="565">
        <v>7</v>
      </c>
      <c r="H82" s="565">
        <v>7000</v>
      </c>
      <c r="I82" s="614">
        <v>0.07</v>
      </c>
      <c r="J82" s="615">
        <f t="shared" si="2"/>
        <v>3430.0000000000005</v>
      </c>
      <c r="K82" s="649"/>
      <c r="L82" s="512"/>
    </row>
    <row r="83" spans="2:12" ht="25.5">
      <c r="B83" s="8"/>
      <c r="C83" s="538" t="s">
        <v>546</v>
      </c>
      <c r="D83" s="13" t="s">
        <v>551</v>
      </c>
      <c r="E83" s="13" t="s">
        <v>519</v>
      </c>
      <c r="F83" s="95" t="s">
        <v>33</v>
      </c>
      <c r="G83" s="565">
        <v>7</v>
      </c>
      <c r="H83" s="565">
        <v>6100</v>
      </c>
      <c r="I83" s="614">
        <v>0.07</v>
      </c>
      <c r="J83" s="615">
        <f t="shared" si="2"/>
        <v>2989.0000000000005</v>
      </c>
      <c r="K83" s="649"/>
      <c r="L83" s="512"/>
    </row>
    <row r="84" spans="2:12" ht="25.5">
      <c r="B84" s="8"/>
      <c r="C84" s="538" t="s">
        <v>548</v>
      </c>
      <c r="D84" s="13" t="s">
        <v>553</v>
      </c>
      <c r="E84" s="13" t="s">
        <v>519</v>
      </c>
      <c r="F84" s="95" t="s">
        <v>33</v>
      </c>
      <c r="G84" s="565">
        <v>7</v>
      </c>
      <c r="H84" s="565">
        <v>5500</v>
      </c>
      <c r="I84" s="614">
        <v>0.07</v>
      </c>
      <c r="J84" s="615">
        <f t="shared" si="2"/>
        <v>2695.0000000000005</v>
      </c>
      <c r="K84" s="649"/>
      <c r="L84" s="512"/>
    </row>
    <row r="85" spans="2:12" ht="25.5">
      <c r="B85" s="8"/>
      <c r="C85" s="538" t="s">
        <v>550</v>
      </c>
      <c r="D85" s="13" t="s">
        <v>555</v>
      </c>
      <c r="E85" s="13" t="s">
        <v>519</v>
      </c>
      <c r="F85" s="95" t="s">
        <v>33</v>
      </c>
      <c r="G85" s="559">
        <f>7+7/12</f>
        <v>7.583333333333333</v>
      </c>
      <c r="H85" s="565">
        <v>5037</v>
      </c>
      <c r="I85" s="614">
        <v>0.1</v>
      </c>
      <c r="J85" s="615">
        <f>G85*H85*I85</f>
        <v>3819.7250000000004</v>
      </c>
      <c r="K85" s="649"/>
      <c r="L85" s="512"/>
    </row>
    <row r="86" spans="2:12" ht="25.5">
      <c r="B86" s="8"/>
      <c r="C86" s="538" t="s">
        <v>552</v>
      </c>
      <c r="D86" s="13" t="s">
        <v>68</v>
      </c>
      <c r="E86" s="13" t="s">
        <v>519</v>
      </c>
      <c r="F86" s="95" t="s">
        <v>33</v>
      </c>
      <c r="G86" s="565">
        <v>7</v>
      </c>
      <c r="H86" s="565">
        <v>2000</v>
      </c>
      <c r="I86" s="614">
        <v>0.15</v>
      </c>
      <c r="J86" s="615">
        <f>(G86*H86*I86)</f>
        <v>2100</v>
      </c>
      <c r="K86" s="649"/>
      <c r="L86" s="512"/>
    </row>
    <row r="87" spans="2:12" ht="25.5">
      <c r="B87" s="8"/>
      <c r="C87" s="538" t="s">
        <v>554</v>
      </c>
      <c r="D87" s="13" t="s">
        <v>70</v>
      </c>
      <c r="E87" s="13" t="s">
        <v>519</v>
      </c>
      <c r="F87" s="95" t="s">
        <v>33</v>
      </c>
      <c r="G87" s="565">
        <v>1</v>
      </c>
      <c r="H87" s="565">
        <v>10000</v>
      </c>
      <c r="I87" s="614">
        <v>0.15</v>
      </c>
      <c r="J87" s="615">
        <f>(G87*H87*I87)</f>
        <v>1500</v>
      </c>
      <c r="K87" s="649"/>
      <c r="L87" s="512"/>
    </row>
    <row r="88" spans="2:12" ht="25.5">
      <c r="B88" s="8"/>
      <c r="C88" s="538" t="s">
        <v>112</v>
      </c>
      <c r="D88" s="13" t="s">
        <v>73</v>
      </c>
      <c r="E88" s="13" t="s">
        <v>519</v>
      </c>
      <c r="F88" s="95" t="s">
        <v>33</v>
      </c>
      <c r="G88" s="565">
        <v>7</v>
      </c>
      <c r="H88" s="565">
        <f>1500+900+1800</f>
        <v>4200</v>
      </c>
      <c r="I88" s="614">
        <v>0.07</v>
      </c>
      <c r="J88" s="615">
        <f>(G88*H88*I88)</f>
        <v>2058</v>
      </c>
      <c r="K88" s="649"/>
      <c r="L88" s="512"/>
    </row>
    <row r="89" spans="2:12" ht="25.5">
      <c r="B89" s="8"/>
      <c r="C89" s="538" t="s">
        <v>113</v>
      </c>
      <c r="D89" s="13" t="s">
        <v>75</v>
      </c>
      <c r="E89" s="13" t="s">
        <v>519</v>
      </c>
      <c r="F89" s="95" t="s">
        <v>33</v>
      </c>
      <c r="G89" s="565">
        <v>7</v>
      </c>
      <c r="H89" s="565">
        <v>700</v>
      </c>
      <c r="I89" s="614">
        <v>0.07</v>
      </c>
      <c r="J89" s="615">
        <f>(G89*H89*I89)</f>
        <v>343.00000000000006</v>
      </c>
      <c r="K89" s="649"/>
      <c r="L89" s="512"/>
    </row>
    <row r="90" spans="2:12" ht="19.5" customHeight="1">
      <c r="B90" s="12"/>
      <c r="C90" s="281" t="s">
        <v>34</v>
      </c>
      <c r="D90" s="281" t="s">
        <v>34</v>
      </c>
      <c r="E90" s="281"/>
      <c r="F90" s="281"/>
      <c r="G90" s="566"/>
      <c r="H90" s="566"/>
      <c r="I90" s="566"/>
      <c r="J90" s="617">
        <f>SUM(J73:J89)</f>
        <v>61634.882588616674</v>
      </c>
      <c r="K90" s="650"/>
      <c r="L90" s="282"/>
    </row>
    <row r="91" spans="2:12" ht="19.5" customHeight="1">
      <c r="B91" s="12"/>
      <c r="C91" s="539" t="s">
        <v>35</v>
      </c>
      <c r="D91" s="540" t="s">
        <v>36</v>
      </c>
      <c r="E91" s="540"/>
      <c r="F91" s="539"/>
      <c r="G91" s="539"/>
      <c r="H91" s="610"/>
      <c r="I91" s="539"/>
      <c r="J91" s="618"/>
      <c r="K91" s="618"/>
      <c r="L91" s="398"/>
    </row>
    <row r="92" spans="2:12" ht="19.5" customHeight="1">
      <c r="B92" s="12"/>
      <c r="C92" s="538"/>
      <c r="D92" s="13"/>
      <c r="E92" s="13"/>
      <c r="F92" s="95"/>
      <c r="G92" s="565"/>
      <c r="H92" s="619"/>
      <c r="I92" s="614"/>
      <c r="J92" s="615"/>
      <c r="K92" s="649"/>
      <c r="L92" s="11"/>
    </row>
    <row r="93" spans="2:12" ht="19.5" customHeight="1">
      <c r="B93" s="12"/>
      <c r="C93" s="538"/>
      <c r="D93" s="13"/>
      <c r="E93" s="13"/>
      <c r="F93" s="95"/>
      <c r="G93" s="565"/>
      <c r="H93" s="619"/>
      <c r="I93" s="614"/>
      <c r="J93" s="615"/>
      <c r="K93" s="649"/>
      <c r="L93" s="11"/>
    </row>
    <row r="94" spans="2:12" ht="19.5" customHeight="1">
      <c r="B94" s="12"/>
      <c r="C94" s="541" t="s">
        <v>37</v>
      </c>
      <c r="D94" s="541" t="s">
        <v>37</v>
      </c>
      <c r="E94" s="541"/>
      <c r="F94" s="541"/>
      <c r="G94" s="566"/>
      <c r="H94" s="800"/>
      <c r="I94" s="800"/>
      <c r="J94" s="617">
        <f>J92+J93</f>
        <v>0</v>
      </c>
      <c r="K94" s="650"/>
      <c r="L94" s="282"/>
    </row>
    <row r="95" spans="2:12" ht="19.5" customHeight="1">
      <c r="B95" s="12"/>
      <c r="C95" s="539" t="s">
        <v>38</v>
      </c>
      <c r="D95" s="540" t="s">
        <v>39</v>
      </c>
      <c r="E95" s="540"/>
      <c r="F95" s="539"/>
      <c r="G95" s="539"/>
      <c r="H95" s="610"/>
      <c r="I95" s="539"/>
      <c r="J95" s="618"/>
      <c r="K95" s="618"/>
      <c r="L95" s="398"/>
    </row>
    <row r="96" spans="2:12" ht="39">
      <c r="B96" s="12"/>
      <c r="C96" s="538" t="s">
        <v>40</v>
      </c>
      <c r="D96" s="13" t="s">
        <v>41</v>
      </c>
      <c r="E96" s="13" t="s">
        <v>519</v>
      </c>
      <c r="F96" s="95" t="s">
        <v>39</v>
      </c>
      <c r="G96" s="565">
        <v>0</v>
      </c>
      <c r="H96" s="619">
        <v>1200</v>
      </c>
      <c r="I96" s="614">
        <v>1</v>
      </c>
      <c r="J96" s="615">
        <f>G96*H96</f>
        <v>0</v>
      </c>
      <c r="K96" s="649"/>
      <c r="L96" s="11"/>
    </row>
    <row r="97" spans="2:12" ht="19.5" customHeight="1">
      <c r="B97" s="12"/>
      <c r="C97" s="541" t="s">
        <v>42</v>
      </c>
      <c r="D97" s="541" t="s">
        <v>42</v>
      </c>
      <c r="E97" s="541"/>
      <c r="F97" s="541"/>
      <c r="G97" s="566"/>
      <c r="H97" s="620"/>
      <c r="I97" s="566"/>
      <c r="J97" s="617">
        <f>J96</f>
        <v>0</v>
      </c>
      <c r="K97" s="650"/>
      <c r="L97" s="282"/>
    </row>
    <row r="98" spans="2:12" ht="19.5" customHeight="1">
      <c r="B98" s="12"/>
      <c r="C98" s="539" t="s">
        <v>43</v>
      </c>
      <c r="D98" s="540" t="s">
        <v>44</v>
      </c>
      <c r="E98" s="540"/>
      <c r="F98" s="539"/>
      <c r="G98" s="539"/>
      <c r="H98" s="610"/>
      <c r="I98" s="539"/>
      <c r="J98" s="618"/>
      <c r="K98" s="618"/>
      <c r="L98" s="398"/>
    </row>
    <row r="99" spans="2:12" ht="19.5" customHeight="1">
      <c r="B99" s="12"/>
      <c r="C99" s="538"/>
      <c r="D99" s="13"/>
      <c r="E99" s="13"/>
      <c r="F99" s="95"/>
      <c r="G99" s="565"/>
      <c r="H99" s="619"/>
      <c r="I99" s="614"/>
      <c r="J99" s="615"/>
      <c r="K99" s="649"/>
      <c r="L99" s="11"/>
    </row>
    <row r="100" spans="2:12" ht="19.5" customHeight="1">
      <c r="B100" s="12"/>
      <c r="C100" s="541" t="s">
        <v>45</v>
      </c>
      <c r="D100" s="541" t="s">
        <v>45</v>
      </c>
      <c r="E100" s="541"/>
      <c r="F100" s="541"/>
      <c r="G100" s="566"/>
      <c r="H100" s="620"/>
      <c r="I100" s="566"/>
      <c r="J100" s="617">
        <f>SUM(J99:J99)</f>
        <v>0</v>
      </c>
      <c r="K100" s="650"/>
      <c r="L100" s="282"/>
    </row>
    <row r="101" spans="2:12" ht="19.5" customHeight="1">
      <c r="B101" s="12"/>
      <c r="C101" s="539" t="s">
        <v>46</v>
      </c>
      <c r="D101" s="540" t="s">
        <v>47</v>
      </c>
      <c r="E101" s="540"/>
      <c r="F101" s="539"/>
      <c r="G101" s="539"/>
      <c r="H101" s="610"/>
      <c r="I101" s="539"/>
      <c r="J101" s="618"/>
      <c r="K101" s="618"/>
      <c r="L101" s="398"/>
    </row>
    <row r="102" spans="2:12" ht="25.5">
      <c r="B102" s="8"/>
      <c r="C102" s="538" t="s">
        <v>48</v>
      </c>
      <c r="D102" s="13" t="s">
        <v>49</v>
      </c>
      <c r="E102" s="13" t="s">
        <v>519</v>
      </c>
      <c r="F102" s="542" t="s">
        <v>47</v>
      </c>
      <c r="G102" s="565">
        <f>1*6</f>
        <v>6</v>
      </c>
      <c r="H102" s="619">
        <v>200</v>
      </c>
      <c r="I102" s="614">
        <v>1</v>
      </c>
      <c r="J102" s="615">
        <f>G102*H102*I102</f>
        <v>1200</v>
      </c>
      <c r="K102" s="649"/>
      <c r="L102" s="512"/>
    </row>
    <row r="103" spans="2:12" ht="21.75" customHeight="1">
      <c r="B103" s="8"/>
      <c r="C103" s="538" t="s">
        <v>50</v>
      </c>
      <c r="D103" s="13" t="s">
        <v>51</v>
      </c>
      <c r="E103" s="13" t="s">
        <v>519</v>
      </c>
      <c r="F103" s="542" t="s">
        <v>47</v>
      </c>
      <c r="G103" s="565">
        <v>0</v>
      </c>
      <c r="H103" s="619">
        <v>0</v>
      </c>
      <c r="I103" s="614">
        <v>1</v>
      </c>
      <c r="J103" s="615">
        <f>G103*H103*I103</f>
        <v>0</v>
      </c>
      <c r="K103" s="649"/>
      <c r="L103" s="11"/>
    </row>
    <row r="104" spans="2:12" ht="19.5" customHeight="1">
      <c r="B104" s="12"/>
      <c r="C104" s="541" t="s">
        <v>52</v>
      </c>
      <c r="D104" s="541" t="s">
        <v>52</v>
      </c>
      <c r="E104" s="541"/>
      <c r="F104" s="541"/>
      <c r="G104" s="566"/>
      <c r="H104" s="620"/>
      <c r="I104" s="566"/>
      <c r="J104" s="617">
        <f>J102+J103</f>
        <v>1200</v>
      </c>
      <c r="K104" s="650"/>
      <c r="L104" s="282"/>
    </row>
    <row r="105" spans="2:12" ht="19.5" customHeight="1">
      <c r="B105" s="12"/>
      <c r="C105" s="539" t="s">
        <v>53</v>
      </c>
      <c r="D105" s="540" t="s">
        <v>54</v>
      </c>
      <c r="E105" s="540"/>
      <c r="F105" s="539"/>
      <c r="G105" s="539"/>
      <c r="H105" s="610"/>
      <c r="I105" s="539"/>
      <c r="J105" s="618"/>
      <c r="K105" s="618"/>
      <c r="L105" s="398"/>
    </row>
    <row r="106" spans="2:12" ht="25.5">
      <c r="B106" s="8"/>
      <c r="C106" s="538" t="s">
        <v>114</v>
      </c>
      <c r="D106" s="13" t="s">
        <v>55</v>
      </c>
      <c r="E106" s="13" t="s">
        <v>517</v>
      </c>
      <c r="F106" s="95" t="s">
        <v>54</v>
      </c>
      <c r="G106" s="565">
        <v>1</v>
      </c>
      <c r="H106" s="572">
        <f>POLE!H110</f>
        <v>44066.392</v>
      </c>
      <c r="I106" s="543">
        <v>1</v>
      </c>
      <c r="J106" s="615">
        <f>G106*H106*I106</f>
        <v>44066.392</v>
      </c>
      <c r="K106" s="649"/>
      <c r="L106" s="90"/>
    </row>
    <row r="107" spans="2:12" ht="25.5">
      <c r="B107" s="8"/>
      <c r="C107" s="538" t="s">
        <v>587</v>
      </c>
      <c r="D107" s="13" t="s">
        <v>55</v>
      </c>
      <c r="E107" s="13" t="s">
        <v>518</v>
      </c>
      <c r="F107" s="95" t="s">
        <v>54</v>
      </c>
      <c r="G107" s="565">
        <v>1</v>
      </c>
      <c r="H107" s="572">
        <f>ASP!G197</f>
        <v>30960</v>
      </c>
      <c r="I107" s="543">
        <v>1</v>
      </c>
      <c r="J107" s="615">
        <f>G107*H107*I107</f>
        <v>30960</v>
      </c>
      <c r="K107" s="649"/>
      <c r="L107" s="90"/>
    </row>
    <row r="108" spans="2:12" ht="25.5">
      <c r="B108" s="8"/>
      <c r="C108" s="538" t="s">
        <v>588</v>
      </c>
      <c r="D108" s="13" t="s">
        <v>55</v>
      </c>
      <c r="E108" s="13" t="s">
        <v>524</v>
      </c>
      <c r="F108" s="95" t="s">
        <v>54</v>
      </c>
      <c r="G108" s="565">
        <v>1</v>
      </c>
      <c r="H108" s="572">
        <f>AAP!G117</f>
        <v>21840</v>
      </c>
      <c r="I108" s="543">
        <v>1</v>
      </c>
      <c r="J108" s="615">
        <f>G108*H108*I108</f>
        <v>21840</v>
      </c>
      <c r="K108" s="649"/>
      <c r="L108" s="90"/>
    </row>
    <row r="109" spans="2:12" ht="19.5" customHeight="1">
      <c r="B109" s="12"/>
      <c r="C109" s="281" t="s">
        <v>56</v>
      </c>
      <c r="D109" s="281" t="s">
        <v>56</v>
      </c>
      <c r="E109" s="281"/>
      <c r="F109" s="281"/>
      <c r="G109" s="566"/>
      <c r="H109" s="800"/>
      <c r="I109" s="800"/>
      <c r="J109" s="617">
        <f>SUM(J106:J108)</f>
        <v>96866.39199999999</v>
      </c>
      <c r="K109" s="650"/>
      <c r="L109" s="282"/>
    </row>
    <row r="110" spans="2:12" ht="19.5" customHeight="1">
      <c r="B110" s="12"/>
      <c r="C110" s="396" t="s">
        <v>57</v>
      </c>
      <c r="D110" s="510" t="s">
        <v>58</v>
      </c>
      <c r="E110" s="510"/>
      <c r="F110" s="396"/>
      <c r="G110" s="539"/>
      <c r="H110" s="610"/>
      <c r="I110" s="539"/>
      <c r="J110" s="618"/>
      <c r="K110" s="618"/>
      <c r="L110" s="398"/>
    </row>
    <row r="111" spans="2:12" ht="51.75">
      <c r="B111" s="8"/>
      <c r="C111" s="538" t="s">
        <v>59</v>
      </c>
      <c r="D111" s="13" t="s">
        <v>60</v>
      </c>
      <c r="E111" s="13" t="s">
        <v>519</v>
      </c>
      <c r="F111" s="95" t="s">
        <v>58</v>
      </c>
      <c r="G111" s="565">
        <v>7</v>
      </c>
      <c r="H111" s="619">
        <v>500</v>
      </c>
      <c r="I111" s="614">
        <v>1</v>
      </c>
      <c r="J111" s="615">
        <f>(G111*H111*I111)</f>
        <v>3500</v>
      </c>
      <c r="K111" s="649"/>
      <c r="L111" s="512"/>
    </row>
    <row r="112" spans="2:12" ht="51" customHeight="1">
      <c r="B112" s="8"/>
      <c r="C112" s="538" t="s">
        <v>61</v>
      </c>
      <c r="D112" s="13" t="s">
        <v>62</v>
      </c>
      <c r="E112" s="13" t="s">
        <v>519</v>
      </c>
      <c r="F112" s="95" t="s">
        <v>58</v>
      </c>
      <c r="G112" s="565">
        <v>7</v>
      </c>
      <c r="H112" s="619">
        <v>200</v>
      </c>
      <c r="I112" s="614">
        <v>1</v>
      </c>
      <c r="J112" s="615">
        <f>(G112*H112*I112)</f>
        <v>1400</v>
      </c>
      <c r="K112" s="649"/>
      <c r="L112" s="512"/>
    </row>
    <row r="113" spans="2:12" ht="48" customHeight="1">
      <c r="B113" s="8"/>
      <c r="C113" s="538" t="s">
        <v>63</v>
      </c>
      <c r="D113" s="13" t="s">
        <v>64</v>
      </c>
      <c r="E113" s="13" t="s">
        <v>519</v>
      </c>
      <c r="F113" s="95" t="s">
        <v>58</v>
      </c>
      <c r="G113" s="565">
        <v>7</v>
      </c>
      <c r="H113" s="619">
        <v>150</v>
      </c>
      <c r="I113" s="614">
        <v>1</v>
      </c>
      <c r="J113" s="615">
        <f>(G113*H113*I113)</f>
        <v>1050</v>
      </c>
      <c r="K113" s="649"/>
      <c r="L113" s="512"/>
    </row>
    <row r="114" spans="2:12" ht="22.5" customHeight="1">
      <c r="B114" s="8"/>
      <c r="C114" s="538" t="s">
        <v>65</v>
      </c>
      <c r="D114" s="13" t="s">
        <v>66</v>
      </c>
      <c r="E114" s="13" t="s">
        <v>519</v>
      </c>
      <c r="F114" s="95" t="s">
        <v>58</v>
      </c>
      <c r="G114" s="565">
        <v>7</v>
      </c>
      <c r="H114" s="619">
        <v>100</v>
      </c>
      <c r="I114" s="614">
        <v>1</v>
      </c>
      <c r="J114" s="615">
        <f>(G114*H114*I114)</f>
        <v>700</v>
      </c>
      <c r="K114" s="649"/>
      <c r="L114" s="512"/>
    </row>
    <row r="115" spans="2:12" ht="22.5" customHeight="1">
      <c r="B115" s="8"/>
      <c r="C115" s="538" t="s">
        <v>67</v>
      </c>
      <c r="D115" s="13" t="s">
        <v>77</v>
      </c>
      <c r="E115" s="13" t="s">
        <v>519</v>
      </c>
      <c r="F115" s="95" t="s">
        <v>58</v>
      </c>
      <c r="G115" s="565">
        <v>0</v>
      </c>
      <c r="H115" s="619">
        <v>500</v>
      </c>
      <c r="I115" s="614">
        <v>1</v>
      </c>
      <c r="J115" s="615">
        <f>(G115*H115*I115)*1</f>
        <v>0</v>
      </c>
      <c r="K115" s="649"/>
      <c r="L115" s="512"/>
    </row>
    <row r="116" spans="2:12" ht="51.75">
      <c r="B116" s="8"/>
      <c r="C116" s="538" t="s">
        <v>69</v>
      </c>
      <c r="D116" s="13" t="s">
        <v>79</v>
      </c>
      <c r="E116" s="13" t="s">
        <v>519</v>
      </c>
      <c r="F116" s="95" t="s">
        <v>58</v>
      </c>
      <c r="G116" s="565">
        <v>6</v>
      </c>
      <c r="H116" s="619">
        <v>351.92</v>
      </c>
      <c r="I116" s="614">
        <v>0.15</v>
      </c>
      <c r="J116" s="615">
        <f aca="true" t="shared" si="3" ref="J116:J121">(G116*H116*I116)</f>
        <v>316.728</v>
      </c>
      <c r="K116" s="649"/>
      <c r="L116" s="512"/>
    </row>
    <row r="117" spans="2:12" ht="51.75">
      <c r="B117" s="8"/>
      <c r="C117" s="538" t="s">
        <v>71</v>
      </c>
      <c r="D117" s="13" t="s">
        <v>109</v>
      </c>
      <c r="E117" s="13" t="s">
        <v>519</v>
      </c>
      <c r="F117" s="95" t="s">
        <v>58</v>
      </c>
      <c r="G117" s="565">
        <v>7</v>
      </c>
      <c r="H117" s="619">
        <v>3000</v>
      </c>
      <c r="I117" s="614">
        <v>0.15</v>
      </c>
      <c r="J117" s="615">
        <f t="shared" si="3"/>
        <v>3150</v>
      </c>
      <c r="K117" s="649"/>
      <c r="L117" s="512"/>
    </row>
    <row r="118" spans="2:12" ht="51.75">
      <c r="B118" s="8"/>
      <c r="C118" s="538" t="s">
        <v>72</v>
      </c>
      <c r="D118" s="13" t="s">
        <v>81</v>
      </c>
      <c r="E118" s="13" t="s">
        <v>519</v>
      </c>
      <c r="F118" s="95" t="s">
        <v>58</v>
      </c>
      <c r="G118" s="565">
        <v>6</v>
      </c>
      <c r="H118" s="619">
        <v>500</v>
      </c>
      <c r="I118" s="614">
        <v>0.15</v>
      </c>
      <c r="J118" s="615">
        <f t="shared" si="3"/>
        <v>450</v>
      </c>
      <c r="K118" s="649"/>
      <c r="L118" s="512"/>
    </row>
    <row r="119" spans="2:12" ht="51.75">
      <c r="B119" s="8"/>
      <c r="C119" s="538" t="s">
        <v>74</v>
      </c>
      <c r="D119" s="13" t="s">
        <v>82</v>
      </c>
      <c r="E119" s="13" t="s">
        <v>519</v>
      </c>
      <c r="F119" s="95" t="s">
        <v>58</v>
      </c>
      <c r="G119" s="565">
        <v>7</v>
      </c>
      <c r="H119" s="619">
        <v>1500</v>
      </c>
      <c r="I119" s="614">
        <v>0.15</v>
      </c>
      <c r="J119" s="615">
        <f t="shared" si="3"/>
        <v>1575</v>
      </c>
      <c r="K119" s="649"/>
      <c r="L119" s="512"/>
    </row>
    <row r="120" spans="2:12" ht="51.75">
      <c r="B120" s="8"/>
      <c r="C120" s="538" t="s">
        <v>76</v>
      </c>
      <c r="D120" s="13" t="s">
        <v>115</v>
      </c>
      <c r="E120" s="13" t="s">
        <v>519</v>
      </c>
      <c r="F120" s="95" t="s">
        <v>58</v>
      </c>
      <c r="G120" s="565">
        <v>6</v>
      </c>
      <c r="H120" s="619">
        <v>1700</v>
      </c>
      <c r="I120" s="614">
        <v>0.15</v>
      </c>
      <c r="J120" s="615">
        <f t="shared" si="3"/>
        <v>1530</v>
      </c>
      <c r="K120" s="649"/>
      <c r="L120" s="512"/>
    </row>
    <row r="121" spans="2:12" ht="51.75">
      <c r="B121" s="8"/>
      <c r="C121" s="538" t="s">
        <v>78</v>
      </c>
      <c r="D121" s="13" t="s">
        <v>83</v>
      </c>
      <c r="E121" s="13" t="s">
        <v>519</v>
      </c>
      <c r="F121" s="95" t="s">
        <v>58</v>
      </c>
      <c r="G121" s="565">
        <v>6</v>
      </c>
      <c r="H121" s="619">
        <v>500</v>
      </c>
      <c r="I121" s="614">
        <v>0.15</v>
      </c>
      <c r="J121" s="615">
        <f t="shared" si="3"/>
        <v>450</v>
      </c>
      <c r="K121" s="649"/>
      <c r="L121" s="512"/>
    </row>
    <row r="122" spans="2:12" ht="19.5" customHeight="1">
      <c r="B122" s="12"/>
      <c r="C122" s="281" t="s">
        <v>84</v>
      </c>
      <c r="D122" s="281" t="s">
        <v>84</v>
      </c>
      <c r="E122" s="281"/>
      <c r="F122" s="281"/>
      <c r="G122" s="566"/>
      <c r="H122" s="800"/>
      <c r="I122" s="800"/>
      <c r="J122" s="617">
        <f>SUM(J111:J121)</f>
        <v>14121.728</v>
      </c>
      <c r="K122" s="650"/>
      <c r="L122" s="282"/>
    </row>
    <row r="123" spans="2:12" ht="19.5" customHeight="1">
      <c r="B123" s="12"/>
      <c r="C123" s="399" t="s">
        <v>85</v>
      </c>
      <c r="D123" s="399" t="s">
        <v>85</v>
      </c>
      <c r="E123" s="399"/>
      <c r="F123" s="15"/>
      <c r="G123" s="567"/>
      <c r="H123" s="621"/>
      <c r="I123" s="567"/>
      <c r="J123" s="659">
        <f>J122+J109+J104+J100+J97+J94+J90</f>
        <v>173823.00258861668</v>
      </c>
      <c r="K123" s="651"/>
      <c r="L123" s="40"/>
    </row>
    <row r="124" spans="2:12" ht="19.5" customHeight="1">
      <c r="B124" s="16"/>
      <c r="C124" s="280" t="s">
        <v>80</v>
      </c>
      <c r="D124" s="13" t="s">
        <v>86</v>
      </c>
      <c r="E124" s="13" t="s">
        <v>519</v>
      </c>
      <c r="F124" s="511"/>
      <c r="G124" s="565">
        <v>1</v>
      </c>
      <c r="H124" s="619"/>
      <c r="I124" s="614"/>
      <c r="J124" s="615"/>
      <c r="K124" s="649"/>
      <c r="L124" s="11"/>
    </row>
    <row r="125" spans="2:12" ht="19.5" customHeight="1">
      <c r="B125" s="12"/>
      <c r="C125" s="400"/>
      <c r="D125" s="400" t="s">
        <v>87</v>
      </c>
      <c r="E125" s="400"/>
      <c r="F125" s="400"/>
      <c r="G125" s="568"/>
      <c r="H125" s="622"/>
      <c r="I125" s="568"/>
      <c r="J125" s="623">
        <f>J123+J69</f>
        <v>654205.5303005</v>
      </c>
      <c r="K125" s="652"/>
      <c r="L125" s="17"/>
    </row>
    <row r="126" spans="2:12" ht="21" customHeight="1">
      <c r="B126" s="8"/>
      <c r="C126" s="18" t="s">
        <v>88</v>
      </c>
      <c r="D126" s="18" t="s">
        <v>88</v>
      </c>
      <c r="E126" s="18"/>
      <c r="F126" s="18" t="s">
        <v>101</v>
      </c>
      <c r="G126" s="544"/>
      <c r="H126" s="574"/>
      <c r="I126" s="544" t="s">
        <v>128</v>
      </c>
      <c r="J126" s="624">
        <f>J125*0.07</f>
        <v>45794.387121035004</v>
      </c>
      <c r="K126" s="653"/>
      <c r="L126" s="42"/>
    </row>
    <row r="127" spans="2:12" ht="30.75" customHeight="1" thickBot="1">
      <c r="B127" s="19"/>
      <c r="C127" s="20" t="s">
        <v>89</v>
      </c>
      <c r="D127" s="20" t="s">
        <v>89</v>
      </c>
      <c r="E127" s="20"/>
      <c r="F127" s="20"/>
      <c r="G127" s="569"/>
      <c r="H127" s="625"/>
      <c r="I127" s="569"/>
      <c r="J127" s="626">
        <f>J126+J125</f>
        <v>699999.917421535</v>
      </c>
      <c r="K127" s="654"/>
      <c r="L127" s="43"/>
    </row>
    <row r="128" spans="2:12" ht="12.75">
      <c r="B128" s="21"/>
      <c r="C128" s="22"/>
      <c r="D128" s="22"/>
      <c r="E128" s="22"/>
      <c r="F128" s="22"/>
      <c r="G128" s="570"/>
      <c r="H128" s="627"/>
      <c r="I128" s="570"/>
      <c r="J128" s="628"/>
      <c r="K128" s="655"/>
      <c r="L128" s="23"/>
    </row>
    <row r="129" spans="2:12" ht="12.75">
      <c r="B129" s="7"/>
      <c r="C129" s="7"/>
      <c r="D129" s="513"/>
      <c r="E129" s="513"/>
      <c r="F129" s="514"/>
      <c r="J129" s="629"/>
      <c r="L129" s="37"/>
    </row>
    <row r="130" spans="2:11" ht="12.75">
      <c r="B130" s="7"/>
      <c r="K130" s="657"/>
    </row>
    <row r="131" ht="12.75">
      <c r="B131" s="7"/>
    </row>
    <row r="132" spans="2:11" ht="12.75">
      <c r="B132" s="7"/>
      <c r="K132" s="657"/>
    </row>
    <row r="133" spans="2:11" ht="12.75">
      <c r="B133" s="7"/>
      <c r="K133" s="657"/>
    </row>
    <row r="134" ht="12.75">
      <c r="B134" s="7"/>
    </row>
    <row r="135" ht="12.75">
      <c r="B135" s="7"/>
    </row>
    <row r="136" ht="12.75">
      <c r="B136" s="7"/>
    </row>
    <row r="137" ht="12.75">
      <c r="B137" s="7"/>
    </row>
    <row r="138" ht="12.75">
      <c r="B138" s="7"/>
    </row>
    <row r="139" ht="12.75">
      <c r="B139" s="7"/>
    </row>
    <row r="140" ht="12.75">
      <c r="B140" s="7"/>
    </row>
    <row r="141" ht="12.75">
      <c r="B141" s="7"/>
    </row>
    <row r="142" ht="12.75">
      <c r="B142" s="7"/>
    </row>
    <row r="143" ht="12.75">
      <c r="B143" s="7"/>
    </row>
    <row r="144" ht="12.75">
      <c r="B144" s="7"/>
    </row>
    <row r="145" ht="12.75">
      <c r="B145" s="7"/>
    </row>
    <row r="146" ht="12.75">
      <c r="B146" s="7"/>
    </row>
    <row r="147" ht="12.75">
      <c r="B147" s="7"/>
    </row>
    <row r="148" ht="12.75">
      <c r="B148" s="7"/>
    </row>
    <row r="149" ht="12.75">
      <c r="B149" s="7"/>
    </row>
    <row r="150" ht="12.75">
      <c r="B150" s="7"/>
    </row>
    <row r="151" ht="12.75">
      <c r="B151" s="7"/>
    </row>
    <row r="152" ht="12.75">
      <c r="B152" s="7"/>
    </row>
    <row r="153" ht="12.75">
      <c r="B153" s="7"/>
    </row>
    <row r="154" ht="12.75">
      <c r="B154" s="7"/>
    </row>
    <row r="155" ht="12.75">
      <c r="B155" s="7"/>
    </row>
    <row r="156" ht="12.75">
      <c r="B156" s="7"/>
    </row>
    <row r="157" ht="12.75">
      <c r="B157" s="7"/>
    </row>
    <row r="158" ht="12.75">
      <c r="B158" s="7"/>
    </row>
    <row r="159" ht="12.75">
      <c r="B159" s="7"/>
    </row>
    <row r="160" ht="12.75">
      <c r="B160" s="7"/>
    </row>
    <row r="161" ht="12.75">
      <c r="B161" s="7"/>
    </row>
    <row r="162" ht="12.75">
      <c r="B162" s="7"/>
    </row>
    <row r="163" ht="12.75">
      <c r="B163" s="7"/>
    </row>
    <row r="164" ht="12.75">
      <c r="B164" s="7"/>
    </row>
    <row r="165" ht="12.75">
      <c r="B165" s="7"/>
    </row>
    <row r="166" ht="12.75">
      <c r="B166" s="7"/>
    </row>
    <row r="167" ht="12.75">
      <c r="B167" s="7"/>
    </row>
    <row r="168" ht="12.75">
      <c r="B168" s="7"/>
    </row>
    <row r="169" ht="12.75">
      <c r="B169" s="7"/>
    </row>
    <row r="170" ht="12.75">
      <c r="B170" s="7"/>
    </row>
    <row r="171" ht="12.75">
      <c r="B171" s="7"/>
    </row>
    <row r="172" ht="12.75">
      <c r="B172" s="7"/>
    </row>
    <row r="173" ht="12.75">
      <c r="B173" s="7"/>
    </row>
    <row r="174" ht="12.75">
      <c r="B174" s="7"/>
    </row>
    <row r="175" ht="12.75">
      <c r="B175" s="7"/>
    </row>
    <row r="176" ht="12.75">
      <c r="B176" s="7"/>
    </row>
    <row r="177" ht="12.75">
      <c r="B177" s="7"/>
    </row>
    <row r="178" ht="12.75">
      <c r="B178" s="7"/>
    </row>
    <row r="179" ht="12.75">
      <c r="B179" s="7"/>
    </row>
    <row r="180" ht="12.75">
      <c r="B180" s="7"/>
    </row>
    <row r="181" ht="12.75">
      <c r="B181" s="7"/>
    </row>
    <row r="182" ht="12.75">
      <c r="B182" s="7"/>
    </row>
    <row r="183" ht="12.75">
      <c r="B183" s="7"/>
    </row>
    <row r="184" ht="12.75">
      <c r="B184" s="7"/>
    </row>
    <row r="185" ht="12.75">
      <c r="B185" s="7"/>
    </row>
    <row r="186" ht="12.75">
      <c r="B186" s="7"/>
    </row>
    <row r="187" ht="12.75">
      <c r="B187" s="7"/>
    </row>
    <row r="188" ht="12.75">
      <c r="B188" s="7"/>
    </row>
    <row r="189" ht="12.75">
      <c r="B189" s="7"/>
    </row>
    <row r="190" ht="12.75">
      <c r="B190" s="7"/>
    </row>
    <row r="191" ht="12.75">
      <c r="B191" s="7"/>
    </row>
    <row r="192" ht="12.75">
      <c r="B192" s="7"/>
    </row>
    <row r="193" ht="12.75">
      <c r="B193" s="7"/>
    </row>
    <row r="194" ht="12.75">
      <c r="B194" s="7"/>
    </row>
    <row r="195" ht="12.75">
      <c r="B195" s="7"/>
    </row>
    <row r="196" ht="12.75">
      <c r="B196" s="7"/>
    </row>
    <row r="197" ht="12.75">
      <c r="B197" s="7"/>
    </row>
    <row r="198" ht="12.75">
      <c r="B198" s="7"/>
    </row>
    <row r="199" ht="12.75">
      <c r="B199" s="7"/>
    </row>
    <row r="200" ht="12.75">
      <c r="B200" s="7"/>
    </row>
    <row r="201" ht="12.75">
      <c r="B201" s="7"/>
    </row>
    <row r="202" ht="12.75">
      <c r="B202" s="7"/>
    </row>
    <row r="203" ht="12.75">
      <c r="B203" s="7"/>
    </row>
    <row r="204" ht="12.75">
      <c r="B204" s="7"/>
    </row>
    <row r="205" ht="12.75">
      <c r="B205" s="7"/>
    </row>
    <row r="206" ht="12.75">
      <c r="B206" s="7"/>
    </row>
    <row r="207" ht="12.75">
      <c r="B207" s="7"/>
    </row>
  </sheetData>
  <sheetProtection/>
  <autoFilter ref="A8:L127"/>
  <mergeCells count="11">
    <mergeCell ref="G6:J6"/>
    <mergeCell ref="D9:J9"/>
    <mergeCell ref="C10:C11"/>
    <mergeCell ref="C27:D27"/>
    <mergeCell ref="C44:D44"/>
    <mergeCell ref="H122:I122"/>
    <mergeCell ref="C47:C56"/>
    <mergeCell ref="C28:C29"/>
    <mergeCell ref="H94:I94"/>
    <mergeCell ref="H109:I109"/>
    <mergeCell ref="C31:C34"/>
  </mergeCells>
  <dataValidations count="2">
    <dataValidation operator="greaterThan" allowBlank="1" showInputMessage="1" showErrorMessage="1" promptTitle="Project Period" prompt="Please enter the project's implementation period into this cell.&#10;Please use the format MMM-YY-MMM-YY&#10;Do NOT delete this row!" sqref="F2"/>
    <dataValidation allowBlank="1" showInputMessage="1" showErrorMessage="1" promptTitle="Name Donor" prompt="Please fill in the name of the donor/funder.&#10;Do NOT delete this row or any other rows above row 30!" sqref="F1"/>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G27"/>
  <sheetViews>
    <sheetView zoomScalePageLayoutView="0" workbookViewId="0" topLeftCell="A1">
      <selection activeCell="C13" sqref="C13"/>
    </sheetView>
  </sheetViews>
  <sheetFormatPr defaultColWidth="11.421875" defaultRowHeight="15"/>
  <cols>
    <col min="1" max="1" width="6.140625" style="6" customWidth="1"/>
    <col min="2" max="3" width="30.7109375" style="6" customWidth="1"/>
    <col min="4" max="4" width="15.7109375" style="6" customWidth="1"/>
    <col min="5" max="5" width="14.28125" style="6" customWidth="1"/>
    <col min="6" max="6" width="17.00390625" style="6" bestFit="1" customWidth="1"/>
    <col min="7" max="16384" width="11.421875" style="6" customWidth="1"/>
  </cols>
  <sheetData>
    <row r="1" ht="12.75">
      <c r="D1" s="24" t="s">
        <v>90</v>
      </c>
    </row>
    <row r="2" spans="2:3" ht="12.75">
      <c r="B2" s="407" t="s">
        <v>91</v>
      </c>
      <c r="C2" s="407"/>
    </row>
    <row r="3" spans="2:3" ht="12.75">
      <c r="B3" s="407" t="s">
        <v>92</v>
      </c>
      <c r="C3" s="407"/>
    </row>
    <row r="4" spans="2:3" ht="12.75">
      <c r="B4" s="407" t="s">
        <v>93</v>
      </c>
      <c r="C4" s="407"/>
    </row>
    <row r="5" spans="2:4" ht="12.75">
      <c r="B5" s="407" t="s">
        <v>94</v>
      </c>
      <c r="C5" s="407"/>
      <c r="D5" s="25"/>
    </row>
    <row r="7" spans="2:6" ht="25.5">
      <c r="B7" s="401" t="s">
        <v>95</v>
      </c>
      <c r="C7" s="401" t="s">
        <v>669</v>
      </c>
      <c r="D7" s="401" t="s">
        <v>685</v>
      </c>
      <c r="E7" s="401" t="s">
        <v>98</v>
      </c>
      <c r="F7" s="401" t="s">
        <v>99</v>
      </c>
    </row>
    <row r="8" spans="2:7" ht="12.75">
      <c r="B8" s="26" t="s">
        <v>33</v>
      </c>
      <c r="C8" s="402">
        <f>SUMIF('BUDGET CONSOLIDE'!$E$20:$E$157,'CAT SUM'!B8,'BUDGET CONSOLIDE'!$K$20:$K$157)</f>
        <v>240752.97467698663</v>
      </c>
      <c r="D8" s="403">
        <f>SUMIF('BUDGET ADDITIONNEL'!$F$10:$F$127,'CAT SUM'!B8,'BUDGET ADDITIONNEL'!$J$10:$J$127)</f>
        <v>94102.4103005</v>
      </c>
      <c r="E8" s="27">
        <f>C8+D8</f>
        <v>334855.3849774866</v>
      </c>
      <c r="F8" s="104">
        <f aca="true" t="shared" si="0" ref="F8:F15">E8/$E$17</f>
        <v>0.1969737654598591</v>
      </c>
      <c r="G8" s="28"/>
    </row>
    <row r="9" spans="2:6" ht="25.5">
      <c r="B9" s="29" t="s">
        <v>36</v>
      </c>
      <c r="C9" s="402">
        <f>SUMIF('BUDGET CONSOLIDE'!$E$20:$E$157,'CAT SUM'!B9,'BUDGET CONSOLIDE'!$K$20:$K$157)</f>
        <v>496646.15</v>
      </c>
      <c r="D9" s="403">
        <f>SUMIF('BUDGET ADDITIONNEL'!$F$10:$F$127,'CAT SUM'!B9,'BUDGET ADDITIONNEL'!$J$10:$J$127)</f>
        <v>445515</v>
      </c>
      <c r="E9" s="27">
        <f aca="true" t="shared" si="1" ref="E9:E16">C9+D9</f>
        <v>942161.15</v>
      </c>
      <c r="F9" s="104">
        <f t="shared" si="0"/>
        <v>0.5542124681613476</v>
      </c>
    </row>
    <row r="10" spans="2:6" ht="12.75">
      <c r="B10" s="29" t="s">
        <v>39</v>
      </c>
      <c r="C10" s="402">
        <f>SUMIF('BUDGET CONSOLIDE'!$E$20:$E$157,'CAT SUM'!B10,'BUDGET CONSOLIDE'!$K$20:$K$157)</f>
        <v>1295</v>
      </c>
      <c r="D10" s="403">
        <f>SUMIF('BUDGET ADDITIONNEL'!$F$10:$F$127,'CAT SUM'!B10,'BUDGET ADDITIONNEL'!$J$10:$J$127)</f>
        <v>0</v>
      </c>
      <c r="E10" s="27">
        <f t="shared" si="1"/>
        <v>1295</v>
      </c>
      <c r="F10" s="104">
        <f t="shared" si="0"/>
        <v>0.0007617647429730521</v>
      </c>
    </row>
    <row r="11" spans="2:6" ht="12.75">
      <c r="B11" s="29" t="s">
        <v>44</v>
      </c>
      <c r="C11" s="402">
        <f>SUMIF('BUDGET CONSOLIDE'!$E$20:$E$157,'CAT SUM'!B11,'BUDGET CONSOLIDE'!$K$20:$K$157)</f>
        <v>20000</v>
      </c>
      <c r="D11" s="403">
        <f>SUMIF('BUDGET ADDITIONNEL'!$F$10:$F$127,'CAT SUM'!B11,'BUDGET ADDITIONNEL'!$J$10:$J$127)</f>
        <v>0</v>
      </c>
      <c r="E11" s="27">
        <f t="shared" si="1"/>
        <v>20000</v>
      </c>
      <c r="F11" s="104">
        <f t="shared" si="0"/>
        <v>0.011764706455182272</v>
      </c>
    </row>
    <row r="12" spans="2:6" ht="12.75">
      <c r="B12" s="30" t="s">
        <v>47</v>
      </c>
      <c r="C12" s="402">
        <f>SUMIF('BUDGET CONSOLIDE'!$E$20:$E$157,'CAT SUM'!B12,'BUDGET CONSOLIDE'!$K$20:$K$157)</f>
        <v>18956.75</v>
      </c>
      <c r="D12" s="403">
        <f>SUMIF('BUDGET ADDITIONNEL'!$F$10:$F$127,'CAT SUM'!B12,'BUDGET ADDITIONNEL'!$J$10:$J$127)</f>
        <v>3600</v>
      </c>
      <c r="E12" s="27">
        <f t="shared" si="1"/>
        <v>22556.75</v>
      </c>
      <c r="F12" s="104">
        <f t="shared" si="0"/>
        <v>0.013268677116646635</v>
      </c>
    </row>
    <row r="13" spans="2:6" ht="12.75">
      <c r="B13" s="30" t="s">
        <v>54</v>
      </c>
      <c r="C13" s="402">
        <f>SUMIF('BUDGET CONSOLIDE'!$E$20:$E$157,'CAT SUM'!B13,'BUDGET CONSOLIDE'!$K$20:$K$157)</f>
        <v>91200</v>
      </c>
      <c r="D13" s="403">
        <f>SUMIF('BUDGET ADDITIONNEL'!$F$10:$F$127,'CAT SUM'!B13,'BUDGET ADDITIONNEL'!$J$10:$J$127)</f>
        <v>96866.39199999999</v>
      </c>
      <c r="E13" s="27">
        <f t="shared" si="1"/>
        <v>188066.392</v>
      </c>
      <c r="F13" s="104">
        <f t="shared" si="0"/>
        <v>0.11062729479826197</v>
      </c>
    </row>
    <row r="14" spans="2:6" ht="25.5">
      <c r="B14" s="30" t="s">
        <v>58</v>
      </c>
      <c r="C14" s="402">
        <f>SUMIF('BUDGET CONSOLIDE'!$E$20:$E$157,'CAT SUM'!B14,'BUDGET CONSOLIDE'!$K$20:$K$157)+0.4</f>
        <v>65728.59230769228</v>
      </c>
      <c r="D14" s="403">
        <f>SUMIF('BUDGET ADDITIONNEL'!$F$10:$F$127,'CAT SUM'!B14,'BUDGET ADDITIONNEL'!$J$10:$J$127)</f>
        <v>14121.728</v>
      </c>
      <c r="E14" s="27">
        <f t="shared" si="1"/>
        <v>79850.32030769228</v>
      </c>
      <c r="F14" s="104">
        <f t="shared" si="0"/>
        <v>0.04697077893861397</v>
      </c>
    </row>
    <row r="15" spans="2:6" ht="12.75">
      <c r="B15" s="31" t="s">
        <v>100</v>
      </c>
      <c r="C15" s="403">
        <f>SUM(C8:C14)</f>
        <v>934579.4669846789</v>
      </c>
      <c r="D15" s="403">
        <f>SUM(D8:D14)</f>
        <v>654205.5303005</v>
      </c>
      <c r="E15" s="27">
        <f t="shared" si="1"/>
        <v>1588784.9972851789</v>
      </c>
      <c r="F15" s="105">
        <f t="shared" si="0"/>
        <v>0.9345794556728846</v>
      </c>
    </row>
    <row r="16" spans="2:6" ht="12.75">
      <c r="B16" s="32" t="s">
        <v>101</v>
      </c>
      <c r="C16" s="402">
        <f>SUMIF('BUDGET CONSOLIDE'!$E$20:$E$157,'CAT SUM'!B16,'BUDGET CONSOLIDE'!$K$20:$K$157)</f>
        <v>65420.53281995197</v>
      </c>
      <c r="D16" s="403">
        <f>D15*0.07</f>
        <v>45794.387121035004</v>
      </c>
      <c r="E16" s="27">
        <f t="shared" si="1"/>
        <v>111214.91994098698</v>
      </c>
      <c r="F16" s="104">
        <f>E16/$E$17</f>
        <v>0.06542054432711546</v>
      </c>
    </row>
    <row r="17" spans="2:6" ht="13.5" thickBot="1">
      <c r="B17" s="33" t="s">
        <v>102</v>
      </c>
      <c r="C17" s="404">
        <f>C15+C16</f>
        <v>999999.9998046309</v>
      </c>
      <c r="D17" s="404">
        <f>D15+D16</f>
        <v>699999.917421535</v>
      </c>
      <c r="E17" s="34">
        <f>E15+E16</f>
        <v>1699999.9172261658</v>
      </c>
      <c r="F17" s="106">
        <f>E17/$E$17</f>
        <v>1</v>
      </c>
    </row>
    <row r="18" ht="12.75">
      <c r="G18" s="36"/>
    </row>
    <row r="19" ht="12.75">
      <c r="B19" s="6" t="s">
        <v>103</v>
      </c>
    </row>
    <row r="20" spans="2:6" ht="12.75">
      <c r="B20" s="839"/>
      <c r="C20" s="839"/>
      <c r="D20" s="839"/>
      <c r="E20" s="839"/>
      <c r="F20" s="35"/>
    </row>
    <row r="21" spans="2:5" ht="12.75">
      <c r="B21" s="840"/>
      <c r="C21" s="840"/>
      <c r="D21" s="840"/>
      <c r="E21" s="840"/>
    </row>
    <row r="23" spans="2:4" ht="25.5">
      <c r="B23" s="408" t="s">
        <v>129</v>
      </c>
      <c r="C23" s="408"/>
      <c r="D23" s="409" t="s">
        <v>130</v>
      </c>
    </row>
    <row r="24" spans="2:4" ht="39">
      <c r="B24" s="410" t="s">
        <v>713</v>
      </c>
      <c r="C24" s="410"/>
      <c r="D24" s="411"/>
    </row>
    <row r="25" spans="2:4" ht="39">
      <c r="B25" s="410" t="s">
        <v>714</v>
      </c>
      <c r="C25" s="410"/>
      <c r="D25" s="411">
        <v>331682</v>
      </c>
    </row>
    <row r="26" spans="2:4" ht="12.75">
      <c r="B26" s="410" t="s">
        <v>715</v>
      </c>
      <c r="C26" s="410"/>
      <c r="D26" s="411">
        <v>65421</v>
      </c>
    </row>
    <row r="27" spans="2:4" ht="12.75">
      <c r="B27" s="412" t="s">
        <v>98</v>
      </c>
      <c r="C27" s="412"/>
      <c r="D27" s="413">
        <f>D24+D25+D26</f>
        <v>397103</v>
      </c>
    </row>
  </sheetData>
  <sheetProtection/>
  <mergeCells count="2">
    <mergeCell ref="B20:E20"/>
    <mergeCell ref="B21:E2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14"/>
  <sheetViews>
    <sheetView zoomScalePageLayoutView="0" workbookViewId="0" topLeftCell="A1">
      <selection activeCell="B2" sqref="B2"/>
    </sheetView>
  </sheetViews>
  <sheetFormatPr defaultColWidth="11.421875" defaultRowHeight="15"/>
  <cols>
    <col min="1" max="1" width="47.421875" style="0" customWidth="1"/>
    <col min="2" max="2" width="14.140625" style="0" customWidth="1"/>
    <col min="3" max="3" width="11.7109375" style="0" customWidth="1"/>
  </cols>
  <sheetData>
    <row r="1" spans="1:3" ht="28.5">
      <c r="A1" s="91" t="s">
        <v>95</v>
      </c>
      <c r="B1" s="92" t="s">
        <v>98</v>
      </c>
      <c r="C1" s="92" t="s">
        <v>99</v>
      </c>
    </row>
    <row r="2" spans="1:3" ht="14.25">
      <c r="A2" s="93" t="s">
        <v>33</v>
      </c>
      <c r="B2" s="94">
        <f>'CAT SUM'!E8</f>
        <v>334855.3849774866</v>
      </c>
      <c r="C2" s="102">
        <f>B2/$B$11</f>
        <v>0.19697376199903274</v>
      </c>
    </row>
    <row r="3" spans="1:3" ht="14.25">
      <c r="A3" s="75" t="s">
        <v>36</v>
      </c>
      <c r="B3" s="101">
        <f>'CAT SUM'!E9</f>
        <v>942161.15</v>
      </c>
      <c r="C3" s="102">
        <f aca="true" t="shared" si="0" ref="C3:C11">B3/$B$11</f>
        <v>0.5542124584238423</v>
      </c>
    </row>
    <row r="4" spans="1:3" ht="14.25">
      <c r="A4" s="75" t="s">
        <v>131</v>
      </c>
      <c r="B4" s="101">
        <f>'CAT SUM'!E10</f>
        <v>1295</v>
      </c>
      <c r="C4" s="102">
        <f t="shared" si="0"/>
        <v>0.0007617647295888561</v>
      </c>
    </row>
    <row r="5" spans="1:3" ht="14.25">
      <c r="A5" s="75" t="s">
        <v>44</v>
      </c>
      <c r="B5" s="94">
        <f>'CAT SUM'!E11</f>
        <v>20000</v>
      </c>
      <c r="C5" s="102">
        <f t="shared" si="0"/>
        <v>0.011764706248476543</v>
      </c>
    </row>
    <row r="6" spans="1:3" ht="14.25">
      <c r="A6" s="95" t="s">
        <v>47</v>
      </c>
      <c r="B6" s="101">
        <f>'CAT SUM'!E12</f>
        <v>22556.75</v>
      </c>
      <c r="C6" s="102">
        <f t="shared" si="0"/>
        <v>0.013268676883516163</v>
      </c>
    </row>
    <row r="7" spans="1:3" ht="14.25">
      <c r="A7" s="95" t="s">
        <v>54</v>
      </c>
      <c r="B7" s="101">
        <f>'CAT SUM'!E13</f>
        <v>188066.392</v>
      </c>
      <c r="C7" s="102">
        <f t="shared" si="0"/>
        <v>0.11062729285454194</v>
      </c>
    </row>
    <row r="8" spans="1:3" ht="14.25">
      <c r="A8" s="95" t="s">
        <v>58</v>
      </c>
      <c r="B8" s="101">
        <f>'CAT SUM'!E14</f>
        <v>79850.32030769228</v>
      </c>
      <c r="C8" s="102">
        <f t="shared" si="0"/>
        <v>0.04697077811333804</v>
      </c>
    </row>
    <row r="9" spans="1:3" ht="14.25">
      <c r="A9" s="96" t="s">
        <v>100</v>
      </c>
      <c r="B9" s="94">
        <f>SUM(B2:B8)</f>
        <v>1588784.9972851789</v>
      </c>
      <c r="C9" s="102">
        <f t="shared" si="0"/>
        <v>0.9345794392523366</v>
      </c>
    </row>
    <row r="10" spans="1:3" ht="14.25">
      <c r="A10" s="97" t="s">
        <v>132</v>
      </c>
      <c r="B10" s="98">
        <f>B9*0.07</f>
        <v>111214.94980996253</v>
      </c>
      <c r="C10" s="103">
        <f t="shared" si="0"/>
        <v>0.06542056074766356</v>
      </c>
    </row>
    <row r="11" spans="1:3" ht="14.25">
      <c r="A11" s="91" t="s">
        <v>102</v>
      </c>
      <c r="B11" s="99">
        <f>B9+B10</f>
        <v>1699999.9470951413</v>
      </c>
      <c r="C11" s="103">
        <f t="shared" si="0"/>
        <v>1</v>
      </c>
    </row>
    <row r="12" ht="14.25">
      <c r="B12" s="100"/>
    </row>
    <row r="13" ht="14.25">
      <c r="B13" s="100"/>
    </row>
    <row r="14" ht="14.25">
      <c r="B14" s="10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170"/>
  <sheetViews>
    <sheetView zoomScalePageLayoutView="0" workbookViewId="0" topLeftCell="A149">
      <pane xSplit="4" topLeftCell="K1" activePane="topRight" state="frozen"/>
      <selection pane="topLeft" activeCell="A14" sqref="A14"/>
      <selection pane="topRight" activeCell="L97" sqref="L97"/>
    </sheetView>
  </sheetViews>
  <sheetFormatPr defaultColWidth="8.8515625" defaultRowHeight="15" outlineLevelCol="1"/>
  <cols>
    <col min="1" max="1" width="2.28125" style="4" customWidth="1"/>
    <col min="2" max="2" width="4.28125" style="4" customWidth="1"/>
    <col min="3" max="3" width="16.28125" style="666" customWidth="1"/>
    <col min="4" max="4" width="48.421875" style="673" customWidth="1"/>
    <col min="5" max="5" width="46.7109375" style="665" bestFit="1" customWidth="1"/>
    <col min="6" max="6" width="14.28125" style="666" hidden="1" customWidth="1" outlineLevel="1"/>
    <col min="7" max="8" width="15.00390625" style="666" hidden="1" customWidth="1" outlineLevel="1"/>
    <col min="9" max="10" width="12.421875" style="666" hidden="1" customWidth="1" outlineLevel="1"/>
    <col min="11" max="11" width="13.00390625" style="666" customWidth="1" collapsed="1"/>
    <col min="12" max="12" width="13.00390625" style="666" customWidth="1"/>
    <col min="13" max="13" width="34.28125" style="667" customWidth="1"/>
    <col min="14" max="16384" width="8.8515625" style="4" customWidth="1"/>
  </cols>
  <sheetData>
    <row r="1" spans="3:4" ht="15">
      <c r="C1" s="663" t="s">
        <v>601</v>
      </c>
      <c r="D1" s="664" t="s">
        <v>602</v>
      </c>
    </row>
    <row r="2" spans="3:4" ht="15">
      <c r="C2" s="668" t="s">
        <v>603</v>
      </c>
      <c r="D2" s="669" t="s">
        <v>13</v>
      </c>
    </row>
    <row r="3" spans="3:4" ht="15">
      <c r="C3" s="668" t="s">
        <v>604</v>
      </c>
      <c r="D3" s="669" t="s">
        <v>605</v>
      </c>
    </row>
    <row r="4" spans="3:4" ht="15">
      <c r="C4" s="668" t="s">
        <v>606</v>
      </c>
      <c r="D4" s="670">
        <v>1.269643579</v>
      </c>
    </row>
    <row r="5" spans="3:4" ht="15">
      <c r="C5" s="668" t="s">
        <v>607</v>
      </c>
      <c r="D5" s="669" t="s">
        <v>608</v>
      </c>
    </row>
    <row r="6" spans="3:4" ht="15">
      <c r="C6" s="668" t="s">
        <v>609</v>
      </c>
      <c r="D6" s="669" t="str">
        <f>'[1]Options'!C2</f>
        <v>AP21RR</v>
      </c>
    </row>
    <row r="7" spans="3:4" ht="14.25">
      <c r="C7" s="668" t="s">
        <v>610</v>
      </c>
      <c r="D7" s="669" t="s">
        <v>611</v>
      </c>
    </row>
    <row r="8" spans="3:4" ht="14.25">
      <c r="C8" s="668" t="s">
        <v>612</v>
      </c>
      <c r="D8" s="669" t="s">
        <v>613</v>
      </c>
    </row>
    <row r="9" spans="3:4" ht="14.25">
      <c r="C9" s="668" t="s">
        <v>614</v>
      </c>
      <c r="D9" s="669"/>
    </row>
    <row r="10" spans="3:4" ht="14.25">
      <c r="C10" s="668" t="s">
        <v>615</v>
      </c>
      <c r="D10" s="669" t="s">
        <v>602</v>
      </c>
    </row>
    <row r="11" spans="3:4" ht="14.25">
      <c r="C11" s="668" t="s">
        <v>2</v>
      </c>
      <c r="D11" s="671" t="s">
        <v>616</v>
      </c>
    </row>
    <row r="12" spans="3:4" ht="14.25">
      <c r="C12" s="668" t="s">
        <v>617</v>
      </c>
      <c r="D12" s="672" t="s">
        <v>618</v>
      </c>
    </row>
    <row r="13" spans="3:4" ht="14.25">
      <c r="C13" s="668" t="s">
        <v>619</v>
      </c>
      <c r="D13" s="671"/>
    </row>
    <row r="14" spans="3:4" ht="14.25">
      <c r="C14" s="668" t="s">
        <v>620</v>
      </c>
      <c r="D14" s="671" t="s">
        <v>621</v>
      </c>
    </row>
    <row r="15" ht="15" thickBot="1"/>
    <row r="16" spans="2:13" ht="65.25" thickBot="1">
      <c r="B16" s="51"/>
      <c r="C16" s="674"/>
      <c r="D16" s="675"/>
      <c r="E16" s="676"/>
      <c r="F16" s="386" t="s">
        <v>622</v>
      </c>
      <c r="G16" s="386" t="s">
        <v>623</v>
      </c>
      <c r="H16" s="387" t="s">
        <v>624</v>
      </c>
      <c r="I16" s="388" t="s">
        <v>625</v>
      </c>
      <c r="J16" s="389" t="s">
        <v>626</v>
      </c>
      <c r="K16" s="387" t="s">
        <v>686</v>
      </c>
      <c r="L16" s="387" t="s">
        <v>687</v>
      </c>
      <c r="M16" s="390" t="s">
        <v>688</v>
      </c>
    </row>
    <row r="17" spans="2:13" ht="15" thickBot="1">
      <c r="B17" s="768"/>
      <c r="C17" s="752"/>
      <c r="D17" s="677" t="s">
        <v>8</v>
      </c>
      <c r="E17" s="678" t="s">
        <v>9</v>
      </c>
      <c r="F17" s="579" t="s">
        <v>627</v>
      </c>
      <c r="G17" s="579" t="s">
        <v>628</v>
      </c>
      <c r="H17" s="579" t="s">
        <v>629</v>
      </c>
      <c r="I17" s="679" t="s">
        <v>13</v>
      </c>
      <c r="J17" s="679" t="s">
        <v>13</v>
      </c>
      <c r="K17" s="579" t="s">
        <v>13</v>
      </c>
      <c r="L17" s="732" t="s">
        <v>13</v>
      </c>
      <c r="M17" s="680"/>
    </row>
    <row r="18" spans="2:13" ht="15" thickBot="1">
      <c r="B18" s="769" t="s">
        <v>11</v>
      </c>
      <c r="C18" s="752" t="s">
        <v>12</v>
      </c>
      <c r="D18" s="681" t="s">
        <v>8</v>
      </c>
      <c r="E18" s="682"/>
      <c r="F18" s="633" t="s">
        <v>13</v>
      </c>
      <c r="G18" s="633" t="s">
        <v>13</v>
      </c>
      <c r="H18" s="633" t="s">
        <v>13</v>
      </c>
      <c r="I18" s="683"/>
      <c r="J18" s="684"/>
      <c r="K18" s="633"/>
      <c r="L18" s="685"/>
      <c r="M18" s="680"/>
    </row>
    <row r="19" spans="2:13" s="45" customFormat="1" ht="15" thickBot="1">
      <c r="B19" s="770"/>
      <c r="C19" s="753" t="s">
        <v>15</v>
      </c>
      <c r="D19" s="819" t="s">
        <v>123</v>
      </c>
      <c r="E19" s="820"/>
      <c r="F19" s="820"/>
      <c r="G19" s="686"/>
      <c r="H19" s="686"/>
      <c r="I19" s="687"/>
      <c r="J19" s="688"/>
      <c r="K19" s="686"/>
      <c r="L19" s="689"/>
      <c r="M19" s="690"/>
    </row>
    <row r="20" spans="2:13" s="46" customFormat="1" ht="24" thickBot="1">
      <c r="B20" s="771" t="str">
        <f>'[1]Options'!C4</f>
        <v>001</v>
      </c>
      <c r="C20" s="821" t="s">
        <v>631</v>
      </c>
      <c r="D20" s="391" t="s">
        <v>632</v>
      </c>
      <c r="E20" s="691" t="s">
        <v>36</v>
      </c>
      <c r="F20" s="392">
        <v>32100</v>
      </c>
      <c r="G20" s="392">
        <v>0</v>
      </c>
      <c r="H20" s="392">
        <f>F20+G20</f>
        <v>32100</v>
      </c>
      <c r="I20" s="692">
        <v>41153.75</v>
      </c>
      <c r="J20" s="692">
        <v>0</v>
      </c>
      <c r="K20" s="392">
        <f>I20+J20</f>
        <v>41153.75</v>
      </c>
      <c r="L20" s="733"/>
      <c r="M20" s="749"/>
    </row>
    <row r="21" spans="2:13" s="46" customFormat="1" ht="24" thickBot="1">
      <c r="B21" s="771" t="str">
        <f>'[1]Options'!C5</f>
        <v>002</v>
      </c>
      <c r="C21" s="822"/>
      <c r="D21" s="391" t="s">
        <v>633</v>
      </c>
      <c r="E21" s="691" t="s">
        <v>36</v>
      </c>
      <c r="F21" s="392">
        <v>20436</v>
      </c>
      <c r="G21" s="392">
        <v>0</v>
      </c>
      <c r="H21" s="392">
        <f>F21+G21</f>
        <v>20436</v>
      </c>
      <c r="I21" s="692">
        <v>20493.2</v>
      </c>
      <c r="J21" s="692">
        <v>0</v>
      </c>
      <c r="K21" s="392">
        <f>I21+J21</f>
        <v>20493.2</v>
      </c>
      <c r="L21" s="733"/>
      <c r="M21" s="749"/>
    </row>
    <row r="22" spans="2:13" s="46" customFormat="1" ht="12" thickBot="1">
      <c r="B22" s="772"/>
      <c r="C22" s="754"/>
      <c r="D22" s="393" t="s">
        <v>16</v>
      </c>
      <c r="E22" s="693"/>
      <c r="F22" s="694">
        <f aca="true" t="shared" si="0" ref="F22:L22">SUM(F20:F21)</f>
        <v>52536</v>
      </c>
      <c r="G22" s="694">
        <f t="shared" si="0"/>
        <v>0</v>
      </c>
      <c r="H22" s="694">
        <f t="shared" si="0"/>
        <v>52536</v>
      </c>
      <c r="I22" s="695">
        <f t="shared" si="0"/>
        <v>61646.95</v>
      </c>
      <c r="J22" s="695">
        <f t="shared" si="0"/>
        <v>0</v>
      </c>
      <c r="K22" s="694">
        <f t="shared" si="0"/>
        <v>61646.95</v>
      </c>
      <c r="L22" s="734">
        <f t="shared" si="0"/>
        <v>0</v>
      </c>
      <c r="M22" s="749"/>
    </row>
    <row r="23" spans="2:13" s="46" customFormat="1" ht="84" thickBot="1">
      <c r="B23" s="771" t="str">
        <f>'[1]Options'!C7</f>
        <v>003</v>
      </c>
      <c r="C23" s="755" t="s">
        <v>17</v>
      </c>
      <c r="D23" s="391" t="s">
        <v>634</v>
      </c>
      <c r="E23" s="691" t="s">
        <v>36</v>
      </c>
      <c r="F23" s="392">
        <v>5600</v>
      </c>
      <c r="G23" s="392">
        <v>4200</v>
      </c>
      <c r="H23" s="392">
        <f>F23+G23</f>
        <v>9800</v>
      </c>
      <c r="I23" s="692">
        <v>3265</v>
      </c>
      <c r="J23" s="692">
        <v>6535</v>
      </c>
      <c r="K23" s="392">
        <f>I23+J23</f>
        <v>9800</v>
      </c>
      <c r="L23" s="733">
        <f>'BUDGET ADDITIONNEL'!J10</f>
        <v>11040</v>
      </c>
      <c r="M23" s="749"/>
    </row>
    <row r="24" spans="2:13" s="46" customFormat="1" ht="24" thickBot="1">
      <c r="B24" s="771"/>
      <c r="C24" s="755"/>
      <c r="D24" s="391" t="s">
        <v>511</v>
      </c>
      <c r="E24" s="691" t="s">
        <v>36</v>
      </c>
      <c r="F24" s="392"/>
      <c r="G24" s="392"/>
      <c r="H24" s="392"/>
      <c r="I24" s="692"/>
      <c r="J24" s="692"/>
      <c r="K24" s="392"/>
      <c r="L24" s="733">
        <f>'BUDGET ADDITIONNEL'!J11</f>
        <v>4833</v>
      </c>
      <c r="M24" s="749" t="s">
        <v>689</v>
      </c>
    </row>
    <row r="25" spans="2:13" s="46" customFormat="1" ht="12" thickBot="1">
      <c r="B25" s="771"/>
      <c r="C25" s="755"/>
      <c r="D25" s="391" t="s">
        <v>395</v>
      </c>
      <c r="E25" s="691" t="s">
        <v>36</v>
      </c>
      <c r="F25" s="392"/>
      <c r="G25" s="392"/>
      <c r="H25" s="392"/>
      <c r="I25" s="692"/>
      <c r="J25" s="692"/>
      <c r="K25" s="392"/>
      <c r="L25" s="733">
        <f>'BUDGET ADDITIONNEL'!J12</f>
        <v>11040</v>
      </c>
      <c r="M25" s="749" t="s">
        <v>689</v>
      </c>
    </row>
    <row r="26" spans="2:13" s="46" customFormat="1" ht="12" thickBot="1">
      <c r="B26" s="772"/>
      <c r="C26" s="754"/>
      <c r="D26" s="393" t="s">
        <v>16</v>
      </c>
      <c r="E26" s="693"/>
      <c r="F26" s="694">
        <f aca="true" t="shared" si="1" ref="F26:K26">SUM(F23)</f>
        <v>5600</v>
      </c>
      <c r="G26" s="694">
        <f t="shared" si="1"/>
        <v>4200</v>
      </c>
      <c r="H26" s="694">
        <f t="shared" si="1"/>
        <v>9800</v>
      </c>
      <c r="I26" s="695">
        <f t="shared" si="1"/>
        <v>3265</v>
      </c>
      <c r="J26" s="695">
        <f t="shared" si="1"/>
        <v>6535</v>
      </c>
      <c r="K26" s="694">
        <f t="shared" si="1"/>
        <v>9800</v>
      </c>
      <c r="L26" s="734">
        <f>SUM(L23:L25)</f>
        <v>26913</v>
      </c>
      <c r="M26" s="749"/>
    </row>
    <row r="27" spans="2:13" s="46" customFormat="1" ht="60" thickBot="1">
      <c r="B27" s="771" t="str">
        <f>'[1]Options'!C9</f>
        <v>004</v>
      </c>
      <c r="C27" s="755" t="s">
        <v>18</v>
      </c>
      <c r="D27" s="391" t="s">
        <v>19</v>
      </c>
      <c r="E27" s="691" t="s">
        <v>36</v>
      </c>
      <c r="F27" s="392">
        <v>3500</v>
      </c>
      <c r="G27" s="392">
        <v>1400</v>
      </c>
      <c r="H27" s="392">
        <f>F27+G27</f>
        <v>4900</v>
      </c>
      <c r="I27" s="692">
        <v>2448</v>
      </c>
      <c r="J27" s="692">
        <v>2452</v>
      </c>
      <c r="K27" s="392">
        <f>I27+J27</f>
        <v>4900</v>
      </c>
      <c r="L27" s="733">
        <f>'BUDGET ADDITIONNEL'!J14</f>
        <v>1000</v>
      </c>
      <c r="M27" s="749"/>
    </row>
    <row r="28" spans="2:13" s="46" customFormat="1" ht="12" thickBot="1">
      <c r="B28" s="772"/>
      <c r="C28" s="754"/>
      <c r="D28" s="393" t="s">
        <v>16</v>
      </c>
      <c r="E28" s="693"/>
      <c r="F28" s="694">
        <f>SUM(F27)</f>
        <v>3500</v>
      </c>
      <c r="G28" s="694">
        <f aca="true" t="shared" si="2" ref="G28:L28">SUM(G27)</f>
        <v>1400</v>
      </c>
      <c r="H28" s="694">
        <f t="shared" si="2"/>
        <v>4900</v>
      </c>
      <c r="I28" s="695">
        <f t="shared" si="2"/>
        <v>2448</v>
      </c>
      <c r="J28" s="695">
        <f t="shared" si="2"/>
        <v>2452</v>
      </c>
      <c r="K28" s="694">
        <f t="shared" si="2"/>
        <v>4900</v>
      </c>
      <c r="L28" s="734">
        <f t="shared" si="2"/>
        <v>1000</v>
      </c>
      <c r="M28" s="749"/>
    </row>
    <row r="29" spans="2:13" s="46" customFormat="1" ht="84" thickBot="1">
      <c r="B29" s="771" t="str">
        <f>'[1]Options'!C11</f>
        <v>005</v>
      </c>
      <c r="C29" s="755" t="s">
        <v>20</v>
      </c>
      <c r="D29" s="391" t="s">
        <v>635</v>
      </c>
      <c r="E29" s="691" t="s">
        <v>36</v>
      </c>
      <c r="F29" s="392">
        <v>50000</v>
      </c>
      <c r="G29" s="392">
        <v>0</v>
      </c>
      <c r="H29" s="392">
        <f>F29+G29</f>
        <v>50000</v>
      </c>
      <c r="I29" s="692">
        <v>49288.71</v>
      </c>
      <c r="J29" s="692">
        <v>711.2900000000009</v>
      </c>
      <c r="K29" s="392">
        <f>I29+J29</f>
        <v>50000</v>
      </c>
      <c r="L29" s="733">
        <f>'BUDGET ADDITIONNEL'!J19</f>
        <v>7890</v>
      </c>
      <c r="M29" s="749"/>
    </row>
    <row r="30" spans="2:13" s="46" customFormat="1" ht="12" thickBot="1">
      <c r="B30" s="773"/>
      <c r="C30" s="756"/>
      <c r="D30" s="696" t="s">
        <v>21</v>
      </c>
      <c r="E30" s="697" t="s">
        <v>21</v>
      </c>
      <c r="F30" s="698">
        <f aca="true" t="shared" si="3" ref="F30:K30">SUM(F29)</f>
        <v>50000</v>
      </c>
      <c r="G30" s="698">
        <f t="shared" si="3"/>
        <v>0</v>
      </c>
      <c r="H30" s="698">
        <f t="shared" si="3"/>
        <v>50000</v>
      </c>
      <c r="I30" s="699">
        <f t="shared" si="3"/>
        <v>49288.71</v>
      </c>
      <c r="J30" s="699">
        <f t="shared" si="3"/>
        <v>711.2900000000009</v>
      </c>
      <c r="K30" s="698">
        <f t="shared" si="3"/>
        <v>50000</v>
      </c>
      <c r="L30" s="735">
        <f>SUM(L29)</f>
        <v>7890</v>
      </c>
      <c r="M30" s="749"/>
    </row>
    <row r="31" spans="2:13" s="46" customFormat="1" ht="24" thickBot="1">
      <c r="B31" s="771"/>
      <c r="C31" s="755"/>
      <c r="D31" s="391" t="str">
        <f>'BUDGET ADDITIONNEL'!D20</f>
        <v>Activité 1.4.2. Atelier de plaidoyer avec les concessionnaires pour l'installation des paysans sans terre dans les concsssions de USTAWI </v>
      </c>
      <c r="E31" s="691" t="s">
        <v>36</v>
      </c>
      <c r="F31" s="392"/>
      <c r="G31" s="392"/>
      <c r="H31" s="392"/>
      <c r="I31" s="692"/>
      <c r="J31" s="692"/>
      <c r="K31" s="392"/>
      <c r="L31" s="733">
        <f>'BUDGET ADDITIONNEL'!J20</f>
        <v>8746</v>
      </c>
      <c r="M31" s="749" t="s">
        <v>689</v>
      </c>
    </row>
    <row r="32" spans="2:13" s="46" customFormat="1" ht="12" thickBot="1">
      <c r="B32" s="773"/>
      <c r="C32" s="756"/>
      <c r="D32" s="696" t="s">
        <v>21</v>
      </c>
      <c r="E32" s="697" t="s">
        <v>21</v>
      </c>
      <c r="F32" s="698">
        <f aca="true" t="shared" si="4" ref="F32:L32">SUM(F31)</f>
        <v>0</v>
      </c>
      <c r="G32" s="698">
        <f t="shared" si="4"/>
        <v>0</v>
      </c>
      <c r="H32" s="698">
        <f t="shared" si="4"/>
        <v>0</v>
      </c>
      <c r="I32" s="699">
        <f t="shared" si="4"/>
        <v>0</v>
      </c>
      <c r="J32" s="699">
        <f t="shared" si="4"/>
        <v>0</v>
      </c>
      <c r="K32" s="698">
        <f t="shared" si="4"/>
        <v>0</v>
      </c>
      <c r="L32" s="735">
        <f t="shared" si="4"/>
        <v>8746</v>
      </c>
      <c r="M32" s="749"/>
    </row>
    <row r="33" spans="2:13" s="46" customFormat="1" ht="24" thickBot="1">
      <c r="B33" s="771"/>
      <c r="C33" s="755"/>
      <c r="D33" s="405" t="str">
        <f>'BUDGET ADDITIONNEL'!D21</f>
        <v>Activité 1.4.3. Formation des pépinieristes et des paysans sur les nouvelles techniques agricoles</v>
      </c>
      <c r="E33" s="691" t="s">
        <v>36</v>
      </c>
      <c r="F33" s="392"/>
      <c r="G33" s="392"/>
      <c r="H33" s="392"/>
      <c r="I33" s="692"/>
      <c r="J33" s="692"/>
      <c r="K33" s="392"/>
      <c r="L33" s="733">
        <f>'BUDGET ADDITIONNEL'!J21</f>
        <v>10364</v>
      </c>
      <c r="M33" s="749" t="s">
        <v>689</v>
      </c>
    </row>
    <row r="34" spans="2:13" s="46" customFormat="1" ht="12" thickBot="1">
      <c r="B34" s="773"/>
      <c r="C34" s="756"/>
      <c r="D34" s="696" t="s">
        <v>21</v>
      </c>
      <c r="E34" s="697" t="s">
        <v>21</v>
      </c>
      <c r="F34" s="698">
        <f aca="true" t="shared" si="5" ref="F34:L34">SUM(F33)</f>
        <v>0</v>
      </c>
      <c r="G34" s="698">
        <f t="shared" si="5"/>
        <v>0</v>
      </c>
      <c r="H34" s="698">
        <f t="shared" si="5"/>
        <v>0</v>
      </c>
      <c r="I34" s="699">
        <f t="shared" si="5"/>
        <v>0</v>
      </c>
      <c r="J34" s="699">
        <f t="shared" si="5"/>
        <v>0</v>
      </c>
      <c r="K34" s="698">
        <f t="shared" si="5"/>
        <v>0</v>
      </c>
      <c r="L34" s="735">
        <f t="shared" si="5"/>
        <v>10364</v>
      </c>
      <c r="M34" s="749"/>
    </row>
    <row r="35" spans="2:13" s="46" customFormat="1" ht="24" thickBot="1">
      <c r="B35" s="771"/>
      <c r="C35" s="755"/>
      <c r="D35" s="405" t="str">
        <f>'BUDGET ADDITIONNEL'!D22</f>
        <v>Activité 1.4.4. Appuyer la realisation d'une etude de faisabilité assortie d'un business plan pour la cooperative USTAWI</v>
      </c>
      <c r="E35" s="691" t="s">
        <v>36</v>
      </c>
      <c r="F35" s="392"/>
      <c r="G35" s="392"/>
      <c r="H35" s="392"/>
      <c r="I35" s="692"/>
      <c r="J35" s="692"/>
      <c r="K35" s="392"/>
      <c r="L35" s="733">
        <f>'BUDGET ADDITIONNEL'!J22</f>
        <v>20000</v>
      </c>
      <c r="M35" s="749" t="s">
        <v>689</v>
      </c>
    </row>
    <row r="36" spans="2:13" s="46" customFormat="1" ht="12" thickBot="1">
      <c r="B36" s="773"/>
      <c r="C36" s="756"/>
      <c r="D36" s="696" t="s">
        <v>21</v>
      </c>
      <c r="E36" s="697" t="s">
        <v>21</v>
      </c>
      <c r="F36" s="698">
        <f aca="true" t="shared" si="6" ref="F36:L36">SUM(F35)</f>
        <v>0</v>
      </c>
      <c r="G36" s="698">
        <f t="shared" si="6"/>
        <v>0</v>
      </c>
      <c r="H36" s="698">
        <f t="shared" si="6"/>
        <v>0</v>
      </c>
      <c r="I36" s="699">
        <f t="shared" si="6"/>
        <v>0</v>
      </c>
      <c r="J36" s="699">
        <f t="shared" si="6"/>
        <v>0</v>
      </c>
      <c r="K36" s="698">
        <f t="shared" si="6"/>
        <v>0</v>
      </c>
      <c r="L36" s="735">
        <f t="shared" si="6"/>
        <v>20000</v>
      </c>
      <c r="M36" s="749"/>
    </row>
    <row r="37" spans="2:13" s="46" customFormat="1" ht="24" thickBot="1">
      <c r="B37" s="771"/>
      <c r="C37" s="755"/>
      <c r="D37" s="405" t="str">
        <f>'BUDGET ADDITIONNEL'!D23</f>
        <v>Activité 1.4.5. Appuyuer le lancement des 6 pepinières de the/café/Cacao à raison de 2 à Kitshanga, 2 à Bwito et 2 à Pinga</v>
      </c>
      <c r="E37" s="691" t="s">
        <v>36</v>
      </c>
      <c r="F37" s="392"/>
      <c r="G37" s="392"/>
      <c r="H37" s="392"/>
      <c r="I37" s="692"/>
      <c r="J37" s="692"/>
      <c r="K37" s="392"/>
      <c r="L37" s="733">
        <f>'BUDGET ADDITIONNEL'!J23</f>
        <v>22500</v>
      </c>
      <c r="M37" s="749" t="s">
        <v>689</v>
      </c>
    </row>
    <row r="38" spans="2:13" s="46" customFormat="1" ht="12" thickBot="1">
      <c r="B38" s="773"/>
      <c r="C38" s="756"/>
      <c r="D38" s="696" t="s">
        <v>21</v>
      </c>
      <c r="E38" s="697" t="s">
        <v>21</v>
      </c>
      <c r="F38" s="698">
        <f aca="true" t="shared" si="7" ref="F38:L38">SUM(F37)</f>
        <v>0</v>
      </c>
      <c r="G38" s="698">
        <f t="shared" si="7"/>
        <v>0</v>
      </c>
      <c r="H38" s="698">
        <f t="shared" si="7"/>
        <v>0</v>
      </c>
      <c r="I38" s="699">
        <f t="shared" si="7"/>
        <v>0</v>
      </c>
      <c r="J38" s="699">
        <f t="shared" si="7"/>
        <v>0</v>
      </c>
      <c r="K38" s="698">
        <f t="shared" si="7"/>
        <v>0</v>
      </c>
      <c r="L38" s="735">
        <f t="shared" si="7"/>
        <v>22500</v>
      </c>
      <c r="M38" s="749"/>
    </row>
    <row r="39" spans="2:13" s="46" customFormat="1" ht="24" thickBot="1">
      <c r="B39" s="771"/>
      <c r="C39" s="755"/>
      <c r="D39" s="405" t="str">
        <f>'BUDGET ADDITIONNEL'!D24</f>
        <v>Activité 1.4.6. Appuyuer Lancement des 6 pepinières de the/café/Cacao à raison de 2 à Kitshanga, 2 à Bwito et 2 à Pinga</v>
      </c>
      <c r="E39" s="691" t="s">
        <v>36</v>
      </c>
      <c r="F39" s="392"/>
      <c r="G39" s="392"/>
      <c r="H39" s="392"/>
      <c r="I39" s="692"/>
      <c r="J39" s="692"/>
      <c r="K39" s="392"/>
      <c r="L39" s="733">
        <f>'BUDGET ADDITIONNEL'!J24</f>
        <v>1000</v>
      </c>
      <c r="M39" s="749" t="s">
        <v>689</v>
      </c>
    </row>
    <row r="40" spans="2:13" s="46" customFormat="1" ht="12" thickBot="1">
      <c r="B40" s="773"/>
      <c r="C40" s="756"/>
      <c r="D40" s="696" t="s">
        <v>21</v>
      </c>
      <c r="E40" s="697" t="s">
        <v>21</v>
      </c>
      <c r="F40" s="698">
        <f aca="true" t="shared" si="8" ref="F40:L40">SUM(F39)</f>
        <v>0</v>
      </c>
      <c r="G40" s="698">
        <f t="shared" si="8"/>
        <v>0</v>
      </c>
      <c r="H40" s="698">
        <f t="shared" si="8"/>
        <v>0</v>
      </c>
      <c r="I40" s="699">
        <f t="shared" si="8"/>
        <v>0</v>
      </c>
      <c r="J40" s="699">
        <f t="shared" si="8"/>
        <v>0</v>
      </c>
      <c r="K40" s="698">
        <f t="shared" si="8"/>
        <v>0</v>
      </c>
      <c r="L40" s="735">
        <f t="shared" si="8"/>
        <v>1000</v>
      </c>
      <c r="M40" s="749"/>
    </row>
    <row r="41" spans="2:13" s="45" customFormat="1" ht="15" thickBot="1">
      <c r="B41" s="774"/>
      <c r="C41" s="757"/>
      <c r="D41" s="700" t="s">
        <v>22</v>
      </c>
      <c r="E41" s="701"/>
      <c r="F41" s="639">
        <f>F30+F28+F26+F22</f>
        <v>111636</v>
      </c>
      <c r="G41" s="639">
        <f>G30+G28+G26+G22</f>
        <v>5600</v>
      </c>
      <c r="H41" s="639">
        <f>H30+H28+H26+H22</f>
        <v>117236</v>
      </c>
      <c r="I41" s="702">
        <f>I30+I28+I26+I22</f>
        <v>116648.66</v>
      </c>
      <c r="J41" s="702">
        <f>J30+J28+J26+J22</f>
        <v>9698.29</v>
      </c>
      <c r="K41" s="639">
        <f>K40+K38+K36+K34+K32+K30+K28+K26+K22</f>
        <v>126346.95</v>
      </c>
      <c r="L41" s="736">
        <f>L40+L38+L36+L34+L32+L30+L28+L26+L22</f>
        <v>98413</v>
      </c>
      <c r="M41" s="690"/>
    </row>
    <row r="42" spans="2:13" s="45" customFormat="1" ht="15.75" thickBot="1">
      <c r="B42" s="775"/>
      <c r="C42" s="823" t="s">
        <v>120</v>
      </c>
      <c r="D42" s="823"/>
      <c r="E42" s="703"/>
      <c r="F42" s="703"/>
      <c r="G42" s="703"/>
      <c r="H42" s="686"/>
      <c r="I42" s="704"/>
      <c r="J42" s="704"/>
      <c r="K42" s="686"/>
      <c r="L42" s="689"/>
      <c r="M42" s="690"/>
    </row>
    <row r="43" spans="2:13" s="46" customFormat="1" ht="108" thickBot="1">
      <c r="B43" s="771" t="str">
        <f>'[1]Options'!C15</f>
        <v>006</v>
      </c>
      <c r="C43" s="755" t="s">
        <v>122</v>
      </c>
      <c r="D43" s="391" t="s">
        <v>117</v>
      </c>
      <c r="E43" s="691" t="s">
        <v>36</v>
      </c>
      <c r="F43" s="392">
        <v>1440</v>
      </c>
      <c r="G43" s="392">
        <v>720</v>
      </c>
      <c r="H43" s="392">
        <f>F43+G43</f>
        <v>2160</v>
      </c>
      <c r="I43" s="692">
        <v>35</v>
      </c>
      <c r="J43" s="692">
        <v>2125</v>
      </c>
      <c r="K43" s="392">
        <f aca="true" t="shared" si="9" ref="K43:K56">I43+J43</f>
        <v>2160</v>
      </c>
      <c r="L43" s="733">
        <f>'BUDGET ADDITIONNEL'!J28</f>
        <v>2175</v>
      </c>
      <c r="M43" s="749"/>
    </row>
    <row r="44" spans="2:13" s="46" customFormat="1" ht="24" thickBot="1">
      <c r="B44" s="771" t="str">
        <f>'[1]Options'!C16</f>
        <v>007</v>
      </c>
      <c r="C44" s="755"/>
      <c r="D44" s="391" t="s">
        <v>636</v>
      </c>
      <c r="E44" s="691" t="s">
        <v>36</v>
      </c>
      <c r="F44" s="392">
        <v>1500</v>
      </c>
      <c r="G44" s="392">
        <v>750</v>
      </c>
      <c r="H44" s="392">
        <f>F44+G44</f>
        <v>2250</v>
      </c>
      <c r="I44" s="692">
        <v>0.51</v>
      </c>
      <c r="J44" s="692">
        <v>2249.49</v>
      </c>
      <c r="K44" s="392">
        <f t="shared" si="9"/>
        <v>2250</v>
      </c>
      <c r="L44" s="733">
        <f>'BUDGET ADDITIONNEL'!J29</f>
        <v>13632</v>
      </c>
      <c r="M44" s="749"/>
    </row>
    <row r="45" spans="2:13" s="46" customFormat="1" ht="24" thickBot="1">
      <c r="B45" s="771" t="str">
        <f>'[1]Options'!C17</f>
        <v>008</v>
      </c>
      <c r="C45" s="755"/>
      <c r="D45" s="391" t="s">
        <v>637</v>
      </c>
      <c r="E45" s="691" t="s">
        <v>36</v>
      </c>
      <c r="F45" s="392">
        <v>1000</v>
      </c>
      <c r="G45" s="392">
        <v>500</v>
      </c>
      <c r="H45" s="392">
        <f>F45+G45</f>
        <v>1500</v>
      </c>
      <c r="I45" s="692">
        <v>0</v>
      </c>
      <c r="J45" s="692">
        <v>0</v>
      </c>
      <c r="K45" s="392">
        <f t="shared" si="9"/>
        <v>0</v>
      </c>
      <c r="L45" s="733"/>
      <c r="M45" s="749"/>
    </row>
    <row r="46" spans="2:13" s="46" customFormat="1" ht="36" thickBot="1">
      <c r="B46" s="771"/>
      <c r="C46" s="755" t="s">
        <v>638</v>
      </c>
      <c r="D46" s="391" t="s">
        <v>639</v>
      </c>
      <c r="E46" s="691" t="s">
        <v>36</v>
      </c>
      <c r="F46" s="392"/>
      <c r="G46" s="392"/>
      <c r="H46" s="392"/>
      <c r="I46" s="692"/>
      <c r="J46" s="705">
        <v>6000</v>
      </c>
      <c r="K46" s="392">
        <f t="shared" si="9"/>
        <v>6000</v>
      </c>
      <c r="L46" s="733"/>
      <c r="M46" s="749"/>
    </row>
    <row r="47" spans="2:13" s="45" customFormat="1" ht="15" thickBot="1">
      <c r="B47" s="776"/>
      <c r="C47" s="758"/>
      <c r="D47" s="393" t="s">
        <v>16</v>
      </c>
      <c r="E47" s="706" t="s">
        <v>21</v>
      </c>
      <c r="F47" s="641">
        <f>SUM(F43:F45)</f>
        <v>3940</v>
      </c>
      <c r="G47" s="641">
        <f>SUM(G43:G45)</f>
        <v>1970</v>
      </c>
      <c r="H47" s="641">
        <f>SUM(H43:H45)</f>
        <v>5910</v>
      </c>
      <c r="I47" s="707">
        <f>SUM(I43:I45)</f>
        <v>35.51</v>
      </c>
      <c r="J47" s="707">
        <f>SUM(J43:J46)</f>
        <v>10374.49</v>
      </c>
      <c r="K47" s="641">
        <f>SUM(K43:K46)</f>
        <v>10410</v>
      </c>
      <c r="L47" s="737">
        <f>SUM(L43:L46)</f>
        <v>15807</v>
      </c>
      <c r="M47" s="690"/>
    </row>
    <row r="48" spans="2:13" s="46" customFormat="1" ht="108" thickBot="1">
      <c r="B48" s="771" t="str">
        <f>'[1]Options'!C19</f>
        <v>009</v>
      </c>
      <c r="C48" s="755" t="s">
        <v>640</v>
      </c>
      <c r="D48" s="391" t="s">
        <v>641</v>
      </c>
      <c r="E48" s="691" t="s">
        <v>36</v>
      </c>
      <c r="F48" s="392">
        <v>20000</v>
      </c>
      <c r="G48" s="392">
        <v>10000</v>
      </c>
      <c r="H48" s="392">
        <f>F48+G48</f>
        <v>30000</v>
      </c>
      <c r="I48" s="692">
        <v>15209.2</v>
      </c>
      <c r="J48" s="692"/>
      <c r="K48" s="392">
        <f t="shared" si="9"/>
        <v>15209.2</v>
      </c>
      <c r="L48" s="733"/>
      <c r="M48" s="749"/>
    </row>
    <row r="49" spans="2:13" s="46" customFormat="1" ht="12" thickBot="1">
      <c r="B49" s="771"/>
      <c r="C49" s="755"/>
      <c r="D49" s="391" t="s">
        <v>642</v>
      </c>
      <c r="E49" s="691" t="s">
        <v>36</v>
      </c>
      <c r="F49" s="392"/>
      <c r="G49" s="392"/>
      <c r="H49" s="392"/>
      <c r="I49" s="692"/>
      <c r="J49" s="708">
        <v>7000</v>
      </c>
      <c r="K49" s="392">
        <f t="shared" si="9"/>
        <v>7000</v>
      </c>
      <c r="L49" s="733"/>
      <c r="M49" s="749"/>
    </row>
    <row r="50" spans="2:13" s="46" customFormat="1" ht="24" thickBot="1">
      <c r="B50" s="771" t="str">
        <f>'[1]Options'!C20</f>
        <v>010</v>
      </c>
      <c r="C50" s="755"/>
      <c r="D50" s="391" t="s">
        <v>643</v>
      </c>
      <c r="E50" s="691" t="s">
        <v>36</v>
      </c>
      <c r="F50" s="392">
        <v>16000</v>
      </c>
      <c r="G50" s="392">
        <v>8000</v>
      </c>
      <c r="H50" s="392">
        <f>F50+G50</f>
        <v>24000</v>
      </c>
      <c r="I50" s="692">
        <v>0</v>
      </c>
      <c r="J50" s="692">
        <v>0</v>
      </c>
      <c r="K50" s="392">
        <f t="shared" si="9"/>
        <v>0</v>
      </c>
      <c r="L50" s="733"/>
      <c r="M50" s="749"/>
    </row>
    <row r="51" spans="2:13" s="46" customFormat="1" ht="36" thickBot="1">
      <c r="B51" s="771"/>
      <c r="C51" s="755"/>
      <c r="D51" s="391" t="s">
        <v>644</v>
      </c>
      <c r="E51" s="691" t="s">
        <v>36</v>
      </c>
      <c r="F51" s="392"/>
      <c r="G51" s="392"/>
      <c r="H51" s="392"/>
      <c r="I51" s="692"/>
      <c r="J51" s="692">
        <v>10000</v>
      </c>
      <c r="K51" s="392">
        <f t="shared" si="9"/>
        <v>10000</v>
      </c>
      <c r="L51" s="733"/>
      <c r="M51" s="749"/>
    </row>
    <row r="52" spans="2:13" s="46" customFormat="1" ht="36" thickBot="1">
      <c r="B52" s="771"/>
      <c r="C52" s="755"/>
      <c r="D52" s="391" t="s">
        <v>645</v>
      </c>
      <c r="E52" s="691" t="s">
        <v>36</v>
      </c>
      <c r="F52" s="392"/>
      <c r="G52" s="392"/>
      <c r="H52" s="392"/>
      <c r="I52" s="692"/>
      <c r="J52" s="692">
        <v>3000</v>
      </c>
      <c r="K52" s="392">
        <f t="shared" si="9"/>
        <v>3000</v>
      </c>
      <c r="L52" s="733"/>
      <c r="M52" s="749"/>
    </row>
    <row r="53" spans="2:13" s="46" customFormat="1" ht="48" thickBot="1">
      <c r="B53" s="771"/>
      <c r="C53" s="755"/>
      <c r="D53" s="391" t="s">
        <v>646</v>
      </c>
      <c r="E53" s="691" t="s">
        <v>36</v>
      </c>
      <c r="F53" s="392"/>
      <c r="G53" s="392"/>
      <c r="H53" s="392"/>
      <c r="I53" s="692"/>
      <c r="J53" s="692">
        <v>6000</v>
      </c>
      <c r="K53" s="392">
        <f t="shared" si="9"/>
        <v>6000</v>
      </c>
      <c r="L53" s="733"/>
      <c r="M53" s="749"/>
    </row>
    <row r="54" spans="2:13" s="46" customFormat="1" ht="24" thickBot="1">
      <c r="B54" s="771" t="str">
        <f>'[1]Options'!C21</f>
        <v>011</v>
      </c>
      <c r="C54" s="755"/>
      <c r="D54" s="391" t="s">
        <v>647</v>
      </c>
      <c r="E54" s="691" t="s">
        <v>36</v>
      </c>
      <c r="F54" s="392">
        <v>12000</v>
      </c>
      <c r="G54" s="392">
        <v>6000</v>
      </c>
      <c r="H54" s="392">
        <f>F54+G54</f>
        <v>18000</v>
      </c>
      <c r="I54" s="692">
        <v>17536</v>
      </c>
      <c r="J54" s="692">
        <v>464</v>
      </c>
      <c r="K54" s="392">
        <f t="shared" si="9"/>
        <v>18000</v>
      </c>
      <c r="L54" s="733"/>
      <c r="M54" s="749"/>
    </row>
    <row r="55" spans="2:13" s="46" customFormat="1" ht="24" thickBot="1">
      <c r="B55" s="771" t="str">
        <f>'[1]Options'!C22</f>
        <v>012</v>
      </c>
      <c r="C55" s="755"/>
      <c r="D55" s="391" t="s">
        <v>648</v>
      </c>
      <c r="E55" s="691" t="s">
        <v>36</v>
      </c>
      <c r="F55" s="392">
        <v>750</v>
      </c>
      <c r="G55" s="392">
        <v>375</v>
      </c>
      <c r="H55" s="392">
        <f>F55+G55</f>
        <v>1125</v>
      </c>
      <c r="I55" s="692">
        <v>250</v>
      </c>
      <c r="J55" s="692">
        <v>875</v>
      </c>
      <c r="K55" s="392">
        <f t="shared" si="9"/>
        <v>1125</v>
      </c>
      <c r="L55" s="733">
        <f>'BUDGET ADDITIONNEL'!J31</f>
        <v>900</v>
      </c>
      <c r="M55" s="749"/>
    </row>
    <row r="56" spans="2:13" s="46" customFormat="1" ht="24" thickBot="1">
      <c r="B56" s="771" t="str">
        <f>'[1]Options'!C23</f>
        <v>013</v>
      </c>
      <c r="C56" s="755"/>
      <c r="D56" s="391" t="s">
        <v>649</v>
      </c>
      <c r="E56" s="691" t="s">
        <v>36</v>
      </c>
      <c r="F56" s="392">
        <v>30000</v>
      </c>
      <c r="G56" s="392">
        <v>0</v>
      </c>
      <c r="H56" s="392">
        <f>G56+F56</f>
        <v>30000</v>
      </c>
      <c r="I56" s="692">
        <v>35307</v>
      </c>
      <c r="J56" s="692">
        <v>0</v>
      </c>
      <c r="K56" s="392">
        <f t="shared" si="9"/>
        <v>35307</v>
      </c>
      <c r="L56" s="733"/>
      <c r="M56" s="749"/>
    </row>
    <row r="57" spans="2:13" s="46" customFormat="1" ht="24" thickBot="1">
      <c r="B57" s="771"/>
      <c r="C57" s="755"/>
      <c r="D57" s="391" t="str">
        <f>'BUDGET ADDITIONNEL'!D32</f>
        <v>Activité 2.2.2. Plaidoyer auprès des autorités locales sur les plans d’action par le CEI de Bashali</v>
      </c>
      <c r="E57" s="691" t="s">
        <v>36</v>
      </c>
      <c r="F57" s="392"/>
      <c r="G57" s="392"/>
      <c r="H57" s="392"/>
      <c r="I57" s="692"/>
      <c r="J57" s="692"/>
      <c r="K57" s="392"/>
      <c r="L57" s="733">
        <f>'BUDGET ADDITIONNEL'!J32</f>
        <v>16800</v>
      </c>
      <c r="M57" s="749" t="s">
        <v>689</v>
      </c>
    </row>
    <row r="58" spans="2:13" s="46" customFormat="1" ht="12" thickBot="1">
      <c r="B58" s="771"/>
      <c r="C58" s="755"/>
      <c r="D58" s="391" t="str">
        <f>'BUDGET ADDITIONNEL'!D33</f>
        <v>Activité 2.2.3. Organiser des espaces de dialogues entre les jeunes </v>
      </c>
      <c r="E58" s="691" t="s">
        <v>36</v>
      </c>
      <c r="F58" s="392"/>
      <c r="G58" s="392"/>
      <c r="H58" s="392"/>
      <c r="I58" s="692"/>
      <c r="J58" s="692"/>
      <c r="K58" s="392"/>
      <c r="L58" s="733">
        <f>'BUDGET ADDITIONNEL'!J33</f>
        <v>13487</v>
      </c>
      <c r="M58" s="749" t="s">
        <v>689</v>
      </c>
    </row>
    <row r="59" spans="2:13" s="46" customFormat="1" ht="72" thickBot="1">
      <c r="B59" s="771"/>
      <c r="C59" s="755"/>
      <c r="D59" s="391" t="str">
        <f>'BUDGET ADDITIONNEL'!D34</f>
        <v>Activité 2.2.4. Organiser deux ateliers de dialogues intergénérationnels entre les jeunes issus de groupes armés, les jeunes qui n’ont jamais intégrés les groupes armés, les notables locaux et certains anciens leaders de groupes armés reconvertis on commencera par des dialogues intragroupes avant d'arriver aux dialogues intergénérationnels)</v>
      </c>
      <c r="E59" s="691" t="s">
        <v>36</v>
      </c>
      <c r="F59" s="392"/>
      <c r="G59" s="392"/>
      <c r="H59" s="392"/>
      <c r="I59" s="692"/>
      <c r="J59" s="692"/>
      <c r="K59" s="392"/>
      <c r="L59" s="733">
        <f>'BUDGET ADDITIONNEL'!J34</f>
        <v>24002</v>
      </c>
      <c r="M59" s="749" t="s">
        <v>689</v>
      </c>
    </row>
    <row r="60" spans="2:13" s="46" customFormat="1" ht="48" thickBot="1">
      <c r="B60" s="771"/>
      <c r="C60" s="755"/>
      <c r="D60" s="391" t="str">
        <f>'BUDGET ADDITIONNEL'!D35</f>
        <v>2.2.5. Organiser à l' intention des structures locales de paix sessions de renforcement des capacités en analyse de contexte, analyse sensible aux conflits, conduite des actions de plaidoyer et communication - sensibilisation (avec un accent particulier sur le foncier)</v>
      </c>
      <c r="E60" s="691" t="s">
        <v>36</v>
      </c>
      <c r="F60" s="392"/>
      <c r="G60" s="392"/>
      <c r="H60" s="392"/>
      <c r="I60" s="692"/>
      <c r="J60" s="692"/>
      <c r="K60" s="392"/>
      <c r="L60" s="733">
        <f>'BUDGET ADDITIONNEL'!J35</f>
        <v>9976</v>
      </c>
      <c r="M60" s="749" t="s">
        <v>689</v>
      </c>
    </row>
    <row r="61" spans="2:13" s="46" customFormat="1" ht="36" thickBot="1">
      <c r="B61" s="771"/>
      <c r="C61" s="755"/>
      <c r="D61" s="391" t="str">
        <f>'BUDGET ADDITIONNEL'!D36</f>
        <v>Activité 2.2.6. Appuyer la Chefferie des Bashali dans la rehabilitation du Pont Ifofa de Pinga decidé par la reunion mixte du comité de securité facilité par le projet en 2019 à Pinga</v>
      </c>
      <c r="E61" s="691" t="s">
        <v>36</v>
      </c>
      <c r="F61" s="392"/>
      <c r="G61" s="392"/>
      <c r="H61" s="392"/>
      <c r="I61" s="692"/>
      <c r="J61" s="692"/>
      <c r="K61" s="392"/>
      <c r="L61" s="733">
        <f>'BUDGET ADDITIONNEL'!J36</f>
        <v>7000</v>
      </c>
      <c r="M61" s="749" t="s">
        <v>689</v>
      </c>
    </row>
    <row r="62" spans="2:13" s="46" customFormat="1" ht="24" thickBot="1">
      <c r="B62" s="771"/>
      <c r="C62" s="755"/>
      <c r="D62" s="391" t="str">
        <f>'BUDGET ADDITIONNEL'!D37</f>
        <v>Activité 2.2.7. Organiser la rencontre de finalisation du conflit entre Hunde et Nyanga sur l'assassinat du Mwami Ngulu Maneno à Mutongo</v>
      </c>
      <c r="E62" s="691" t="s">
        <v>36</v>
      </c>
      <c r="F62" s="392"/>
      <c r="G62" s="392"/>
      <c r="H62" s="392"/>
      <c r="I62" s="692"/>
      <c r="J62" s="692"/>
      <c r="K62" s="392"/>
      <c r="L62" s="733">
        <f>'BUDGET ADDITIONNEL'!J37</f>
        <v>9174</v>
      </c>
      <c r="M62" s="749" t="s">
        <v>689</v>
      </c>
    </row>
    <row r="63" spans="2:13" s="46" customFormat="1" ht="24" thickBot="1">
      <c r="B63" s="771"/>
      <c r="C63" s="755"/>
      <c r="D63" s="391" t="str">
        <f>'BUDGET ADDITIONNEL'!D38</f>
        <v>Activité 2.2.8 Appui au fonctionnement des structures communauatires de paix et du Cadre Echange et d'Information</v>
      </c>
      <c r="E63" s="691" t="s">
        <v>36</v>
      </c>
      <c r="F63" s="392"/>
      <c r="G63" s="392"/>
      <c r="H63" s="392"/>
      <c r="I63" s="692"/>
      <c r="J63" s="692"/>
      <c r="K63" s="392"/>
      <c r="L63" s="733">
        <f>'BUDGET ADDITIONNEL'!J38</f>
        <v>2448</v>
      </c>
      <c r="M63" s="749" t="s">
        <v>689</v>
      </c>
    </row>
    <row r="64" spans="2:13" s="46" customFormat="1" ht="12" thickBot="1">
      <c r="B64" s="771"/>
      <c r="C64" s="755"/>
      <c r="D64" s="391" t="str">
        <f>'BUDGET ADDITIONNEL'!D39</f>
        <v>Activité 2.2.9. Appui à la pérennisation des acquis du projet Njia</v>
      </c>
      <c r="E64" s="691" t="s">
        <v>36</v>
      </c>
      <c r="F64" s="392"/>
      <c r="G64" s="392"/>
      <c r="H64" s="392"/>
      <c r="I64" s="692"/>
      <c r="J64" s="692"/>
      <c r="K64" s="392"/>
      <c r="L64" s="733">
        <f>'BUDGET ADDITIONNEL'!J39</f>
        <v>4000</v>
      </c>
      <c r="M64" s="749" t="s">
        <v>689</v>
      </c>
    </row>
    <row r="65" spans="2:13" s="46" customFormat="1" ht="12" thickBot="1">
      <c r="B65" s="771"/>
      <c r="C65" s="755"/>
      <c r="D65" s="391" t="str">
        <f>'BUDGET ADDITIONNEL'!D40</f>
        <v>Activité 2.2.10 : Appui au GPPM, STAREC et Ministère sectoriels</v>
      </c>
      <c r="E65" s="691" t="s">
        <v>36</v>
      </c>
      <c r="F65" s="392"/>
      <c r="G65" s="392"/>
      <c r="H65" s="392"/>
      <c r="I65" s="692"/>
      <c r="J65" s="692"/>
      <c r="K65" s="392"/>
      <c r="L65" s="733">
        <f>'BUDGET ADDITIONNEL'!J40</f>
        <v>4000</v>
      </c>
      <c r="M65" s="749" t="s">
        <v>689</v>
      </c>
    </row>
    <row r="66" spans="2:13" s="46" customFormat="1" ht="24" thickBot="1">
      <c r="B66" s="771"/>
      <c r="C66" s="755"/>
      <c r="D66" s="391" t="str">
        <f>'BUDGET ADDITIONNEL'!D41</f>
        <v>Activité 2.2.11. Appui en kits solaire et informatique au centre de jeune de Bashali</v>
      </c>
      <c r="E66" s="691" t="s">
        <v>36</v>
      </c>
      <c r="F66" s="392"/>
      <c r="G66" s="392"/>
      <c r="H66" s="392"/>
      <c r="I66" s="692"/>
      <c r="J66" s="692"/>
      <c r="K66" s="392"/>
      <c r="L66" s="733">
        <f>'BUDGET ADDITIONNEL'!J41</f>
        <v>6520</v>
      </c>
      <c r="M66" s="749" t="s">
        <v>689</v>
      </c>
    </row>
    <row r="67" spans="2:13" s="45" customFormat="1" ht="15" thickBot="1">
      <c r="B67" s="776"/>
      <c r="C67" s="758"/>
      <c r="D67" s="393" t="s">
        <v>16</v>
      </c>
      <c r="E67" s="706" t="s">
        <v>21</v>
      </c>
      <c r="F67" s="641">
        <f aca="true" t="shared" si="10" ref="F67:K67">SUM(F48:F56)</f>
        <v>78750</v>
      </c>
      <c r="G67" s="641">
        <f t="shared" si="10"/>
        <v>24375</v>
      </c>
      <c r="H67" s="641">
        <f t="shared" si="10"/>
        <v>103125</v>
      </c>
      <c r="I67" s="707">
        <f t="shared" si="10"/>
        <v>68302.2</v>
      </c>
      <c r="J67" s="707">
        <f t="shared" si="10"/>
        <v>27339</v>
      </c>
      <c r="K67" s="641">
        <f t="shared" si="10"/>
        <v>95641.2</v>
      </c>
      <c r="L67" s="737">
        <f>SUM(L48:L66)</f>
        <v>98307</v>
      </c>
      <c r="M67" s="690"/>
    </row>
    <row r="68" spans="2:13" s="45" customFormat="1" ht="15" thickBot="1">
      <c r="B68" s="777"/>
      <c r="C68" s="759"/>
      <c r="D68" s="700" t="s">
        <v>23</v>
      </c>
      <c r="E68" s="709"/>
      <c r="F68" s="642">
        <f aca="true" t="shared" si="11" ref="F68:K68">F67+F47</f>
        <v>82690</v>
      </c>
      <c r="G68" s="642">
        <f t="shared" si="11"/>
        <v>26345</v>
      </c>
      <c r="H68" s="642">
        <f t="shared" si="11"/>
        <v>109035</v>
      </c>
      <c r="I68" s="710">
        <f t="shared" si="11"/>
        <v>68337.70999999999</v>
      </c>
      <c r="J68" s="710">
        <f t="shared" si="11"/>
        <v>37713.49</v>
      </c>
      <c r="K68" s="642">
        <f t="shared" si="11"/>
        <v>106051.2</v>
      </c>
      <c r="L68" s="738">
        <f>L67+L47</f>
        <v>114114</v>
      </c>
      <c r="M68" s="690"/>
    </row>
    <row r="69" spans="2:13" s="45" customFormat="1" ht="15.75" thickBot="1">
      <c r="B69" s="775"/>
      <c r="C69" s="824" t="s">
        <v>121</v>
      </c>
      <c r="D69" s="824"/>
      <c r="E69" s="527"/>
      <c r="F69" s="527"/>
      <c r="G69" s="527"/>
      <c r="H69" s="527"/>
      <c r="I69" s="711"/>
      <c r="J69" s="711"/>
      <c r="K69" s="527"/>
      <c r="L69" s="739"/>
      <c r="M69" s="690"/>
    </row>
    <row r="70" spans="2:13" s="46" customFormat="1" ht="12" thickBot="1">
      <c r="B70" s="771" t="str">
        <f>'[1]Options'!C27</f>
        <v>014</v>
      </c>
      <c r="C70" s="755"/>
      <c r="D70" s="391" t="s">
        <v>118</v>
      </c>
      <c r="E70" s="691" t="s">
        <v>36</v>
      </c>
      <c r="F70" s="392">
        <v>1440</v>
      </c>
      <c r="G70" s="392">
        <v>720</v>
      </c>
      <c r="H70" s="392">
        <f>F70+G70</f>
        <v>2160</v>
      </c>
      <c r="I70" s="692">
        <v>0</v>
      </c>
      <c r="J70" s="692">
        <v>2160</v>
      </c>
      <c r="K70" s="392">
        <f aca="true" t="shared" si="12" ref="K70:K95">I70+J70</f>
        <v>2160</v>
      </c>
      <c r="L70" s="733">
        <f>'BUDGET ADDITIONNEL'!J45</f>
        <v>3920</v>
      </c>
      <c r="M70" s="749"/>
    </row>
    <row r="71" spans="2:13" s="46" customFormat="1" ht="43.5" thickBot="1">
      <c r="B71" s="771" t="str">
        <f>'[1]Options'!C28</f>
        <v>015</v>
      </c>
      <c r="C71" s="755"/>
      <c r="D71" s="391" t="s">
        <v>650</v>
      </c>
      <c r="E71" s="691" t="s">
        <v>36</v>
      </c>
      <c r="F71" s="392">
        <v>1450</v>
      </c>
      <c r="G71" s="392">
        <v>725</v>
      </c>
      <c r="H71" s="392">
        <f>F71+G71</f>
        <v>2175</v>
      </c>
      <c r="I71" s="692">
        <v>0</v>
      </c>
      <c r="J71" s="692">
        <v>2175</v>
      </c>
      <c r="K71" s="392">
        <f t="shared" si="12"/>
        <v>2175</v>
      </c>
      <c r="L71" s="733"/>
      <c r="M71" s="749"/>
    </row>
    <row r="72" spans="2:13" s="46" customFormat="1" ht="24" thickBot="1">
      <c r="B72" s="771" t="str">
        <f>'[1]Options'!C29</f>
        <v>016</v>
      </c>
      <c r="C72" s="755"/>
      <c r="D72" s="391" t="s">
        <v>651</v>
      </c>
      <c r="E72" s="691" t="s">
        <v>36</v>
      </c>
      <c r="F72" s="392">
        <v>1500</v>
      </c>
      <c r="G72" s="392">
        <v>750</v>
      </c>
      <c r="H72" s="392">
        <f>F72+G72</f>
        <v>2250</v>
      </c>
      <c r="I72" s="692">
        <v>1310</v>
      </c>
      <c r="J72" s="692">
        <v>940</v>
      </c>
      <c r="K72" s="392">
        <f t="shared" si="12"/>
        <v>2250</v>
      </c>
      <c r="L72" s="733"/>
      <c r="M72" s="749"/>
    </row>
    <row r="73" spans="2:13" s="46" customFormat="1" ht="24" thickBot="1">
      <c r="B73" s="771" t="str">
        <f>'[1]Options'!C30</f>
        <v>017</v>
      </c>
      <c r="C73" s="755"/>
      <c r="D73" s="391" t="s">
        <v>652</v>
      </c>
      <c r="E73" s="691" t="s">
        <v>36</v>
      </c>
      <c r="F73" s="392">
        <v>1000</v>
      </c>
      <c r="G73" s="392">
        <v>500</v>
      </c>
      <c r="H73" s="392">
        <f>F73+G73</f>
        <v>1500</v>
      </c>
      <c r="I73" s="692">
        <v>1890</v>
      </c>
      <c r="J73" s="692">
        <v>0</v>
      </c>
      <c r="K73" s="392">
        <f t="shared" si="12"/>
        <v>1890</v>
      </c>
      <c r="L73" s="733"/>
      <c r="M73" s="749"/>
    </row>
    <row r="74" spans="2:13" s="49" customFormat="1" ht="15" thickBot="1">
      <c r="B74" s="778"/>
      <c r="C74" s="760"/>
      <c r="D74" s="394" t="s">
        <v>16</v>
      </c>
      <c r="E74" s="712" t="s">
        <v>21</v>
      </c>
      <c r="F74" s="713">
        <f>SUM(F70:F73)</f>
        <v>5390</v>
      </c>
      <c r="G74" s="713">
        <f aca="true" t="shared" si="13" ref="G74:L74">SUM(G70:G73)</f>
        <v>2695</v>
      </c>
      <c r="H74" s="713">
        <f t="shared" si="13"/>
        <v>8085</v>
      </c>
      <c r="I74" s="714">
        <f t="shared" si="13"/>
        <v>3200</v>
      </c>
      <c r="J74" s="714">
        <f t="shared" si="13"/>
        <v>5275</v>
      </c>
      <c r="K74" s="713">
        <f t="shared" si="13"/>
        <v>8475</v>
      </c>
      <c r="L74" s="740">
        <f t="shared" si="13"/>
        <v>3920</v>
      </c>
      <c r="M74" s="750"/>
    </row>
    <row r="75" spans="2:13" s="46" customFormat="1" ht="24" thickBot="1">
      <c r="B75" s="771" t="str">
        <f>'[1]Options'!C32</f>
        <v>018</v>
      </c>
      <c r="C75" s="755"/>
      <c r="D75" s="391" t="s">
        <v>653</v>
      </c>
      <c r="E75" s="691" t="s">
        <v>36</v>
      </c>
      <c r="F75" s="392">
        <v>16000</v>
      </c>
      <c r="G75" s="392">
        <v>8000</v>
      </c>
      <c r="H75" s="392">
        <f aca="true" t="shared" si="14" ref="H75:H95">F75+G75</f>
        <v>24000</v>
      </c>
      <c r="I75" s="692">
        <v>13535.099999999997</v>
      </c>
      <c r="J75" s="692">
        <v>10464.900000000003</v>
      </c>
      <c r="K75" s="392">
        <f t="shared" si="12"/>
        <v>24000</v>
      </c>
      <c r="L75" s="733"/>
      <c r="M75" s="749"/>
    </row>
    <row r="76" spans="2:13" s="46" customFormat="1" ht="24" thickBot="1">
      <c r="B76" s="771" t="str">
        <f>'[1]Options'!C33</f>
        <v>019</v>
      </c>
      <c r="C76" s="755"/>
      <c r="D76" s="391" t="s">
        <v>654</v>
      </c>
      <c r="E76" s="691" t="s">
        <v>36</v>
      </c>
      <c r="F76" s="392">
        <v>30000</v>
      </c>
      <c r="G76" s="392">
        <v>10000</v>
      </c>
      <c r="H76" s="392">
        <f t="shared" si="14"/>
        <v>40000</v>
      </c>
      <c r="I76" s="692">
        <v>28766</v>
      </c>
      <c r="J76" s="692">
        <v>11234</v>
      </c>
      <c r="K76" s="392">
        <f t="shared" si="12"/>
        <v>40000</v>
      </c>
      <c r="L76" s="733"/>
      <c r="M76" s="749"/>
    </row>
    <row r="77" spans="2:13" s="46" customFormat="1" ht="36" thickBot="1">
      <c r="B77" s="771" t="str">
        <f>'[1]Options'!C34</f>
        <v>020</v>
      </c>
      <c r="C77" s="755"/>
      <c r="D77" s="391" t="s">
        <v>655</v>
      </c>
      <c r="E77" s="691" t="s">
        <v>36</v>
      </c>
      <c r="F77" s="392">
        <v>40000</v>
      </c>
      <c r="G77" s="392">
        <v>0</v>
      </c>
      <c r="H77" s="392">
        <f t="shared" si="14"/>
        <v>40000</v>
      </c>
      <c r="I77" s="692">
        <v>42876.97000000001</v>
      </c>
      <c r="J77" s="692">
        <v>0</v>
      </c>
      <c r="K77" s="392">
        <f t="shared" si="12"/>
        <v>42876.97000000001</v>
      </c>
      <c r="L77" s="733"/>
      <c r="M77" s="749"/>
    </row>
    <row r="78" spans="2:13" s="46" customFormat="1" ht="36" thickBot="1">
      <c r="B78" s="771" t="str">
        <f>'[1]Options'!C35</f>
        <v>021</v>
      </c>
      <c r="C78" s="755"/>
      <c r="D78" s="391" t="s">
        <v>656</v>
      </c>
      <c r="E78" s="691" t="s">
        <v>36</v>
      </c>
      <c r="F78" s="392">
        <v>90000</v>
      </c>
      <c r="G78" s="392">
        <v>0</v>
      </c>
      <c r="H78" s="392">
        <f t="shared" si="14"/>
        <v>90000</v>
      </c>
      <c r="I78" s="692">
        <v>94955.79</v>
      </c>
      <c r="J78" s="692">
        <v>0</v>
      </c>
      <c r="K78" s="392">
        <f t="shared" si="12"/>
        <v>94955.79</v>
      </c>
      <c r="L78" s="733"/>
      <c r="M78" s="749"/>
    </row>
    <row r="79" spans="2:13" s="46" customFormat="1" ht="12" thickBot="1">
      <c r="B79" s="771" t="str">
        <f>'[1]Options'!C36</f>
        <v>022</v>
      </c>
      <c r="C79" s="755"/>
      <c r="D79" s="391" t="s">
        <v>657</v>
      </c>
      <c r="E79" s="691" t="s">
        <v>36</v>
      </c>
      <c r="F79" s="392">
        <v>30000</v>
      </c>
      <c r="G79" s="392">
        <v>0</v>
      </c>
      <c r="H79" s="392">
        <f t="shared" si="14"/>
        <v>30000</v>
      </c>
      <c r="I79" s="692">
        <v>24413.239999999998</v>
      </c>
      <c r="J79" s="692">
        <v>0</v>
      </c>
      <c r="K79" s="392">
        <f t="shared" si="12"/>
        <v>24413.239999999998</v>
      </c>
      <c r="L79" s="733"/>
      <c r="M79" s="749"/>
    </row>
    <row r="80" spans="2:13" s="46" customFormat="1" ht="24" thickBot="1">
      <c r="B80" s="771" t="str">
        <f>'[1]Options'!C37</f>
        <v>023</v>
      </c>
      <c r="C80" s="755"/>
      <c r="D80" s="391" t="s">
        <v>658</v>
      </c>
      <c r="E80" s="691" t="s">
        <v>36</v>
      </c>
      <c r="F80" s="392">
        <v>15000</v>
      </c>
      <c r="G80" s="392">
        <v>7500</v>
      </c>
      <c r="H80" s="392">
        <f t="shared" si="14"/>
        <v>22500</v>
      </c>
      <c r="I80" s="692">
        <v>15920</v>
      </c>
      <c r="J80" s="715">
        <v>6580</v>
      </c>
      <c r="K80" s="392">
        <f t="shared" si="12"/>
        <v>22500</v>
      </c>
      <c r="L80" s="733"/>
      <c r="M80" s="749"/>
    </row>
    <row r="81" spans="2:13" s="46" customFormat="1" ht="24" thickBot="1">
      <c r="B81" s="771" t="str">
        <f>'[1]Options'!C38</f>
        <v>024</v>
      </c>
      <c r="C81" s="755"/>
      <c r="D81" s="391" t="s">
        <v>659</v>
      </c>
      <c r="E81" s="691" t="s">
        <v>36</v>
      </c>
      <c r="F81" s="392">
        <v>960</v>
      </c>
      <c r="G81" s="392">
        <v>480</v>
      </c>
      <c r="H81" s="392">
        <f t="shared" si="14"/>
        <v>1440</v>
      </c>
      <c r="I81" s="692">
        <v>783.8</v>
      </c>
      <c r="J81" s="692">
        <v>656.2</v>
      </c>
      <c r="K81" s="392">
        <f t="shared" si="12"/>
        <v>1440</v>
      </c>
      <c r="L81" s="733"/>
      <c r="M81" s="749"/>
    </row>
    <row r="82" spans="2:13" s="46" customFormat="1" ht="36" thickBot="1">
      <c r="B82" s="771"/>
      <c r="C82" s="755"/>
      <c r="D82" s="391" t="str">
        <f>'BUDGET ADDITIONNEL'!D47</f>
        <v>Activité 3.2.1. Activité de redevabilité/suivi des engagements des parties issues des ateliers avec les autorités  locales et leadrs communautaires sur la sécurité </v>
      </c>
      <c r="E82" s="691" t="s">
        <v>36</v>
      </c>
      <c r="F82" s="392"/>
      <c r="G82" s="392"/>
      <c r="H82" s="392"/>
      <c r="I82" s="692"/>
      <c r="J82" s="692"/>
      <c r="K82" s="392"/>
      <c r="L82" s="733">
        <f>'BUDGET ADDITIONNEL'!J47</f>
        <v>10250</v>
      </c>
      <c r="M82" s="749" t="s">
        <v>689</v>
      </c>
    </row>
    <row r="83" spans="2:13" s="46" customFormat="1" ht="24" thickBot="1">
      <c r="B83" s="771"/>
      <c r="C83" s="755"/>
      <c r="D83" s="391" t="str">
        <f>'BUDGET ADDITIONNEL'!D48</f>
        <v>Activité 3.2.2. Appui au fonctionnement des structures communauatires de paix et du Cadre Echange et d'Information</v>
      </c>
      <c r="E83" s="691" t="s">
        <v>36</v>
      </c>
      <c r="F83" s="392"/>
      <c r="G83" s="392"/>
      <c r="H83" s="392"/>
      <c r="I83" s="692"/>
      <c r="J83" s="692"/>
      <c r="K83" s="392"/>
      <c r="L83" s="733">
        <f>'BUDGET ADDITIONNEL'!J48</f>
        <v>12840</v>
      </c>
      <c r="M83" s="749" t="s">
        <v>689</v>
      </c>
    </row>
    <row r="84" spans="2:13" s="46" customFormat="1" ht="12" thickBot="1">
      <c r="B84" s="771"/>
      <c r="C84" s="755"/>
      <c r="D84" s="391" t="str">
        <f>'BUDGET ADDITIONNEL'!D49</f>
        <v>Activité 3.2.3. Appui à la pérennisation des acquis du projet Njia</v>
      </c>
      <c r="E84" s="691" t="s">
        <v>36</v>
      </c>
      <c r="F84" s="392"/>
      <c r="G84" s="392"/>
      <c r="H84" s="392"/>
      <c r="I84" s="692"/>
      <c r="J84" s="692"/>
      <c r="K84" s="392"/>
      <c r="L84" s="733">
        <f>'BUDGET ADDITIONNEL'!J49</f>
        <v>11100</v>
      </c>
      <c r="M84" s="749" t="s">
        <v>689</v>
      </c>
    </row>
    <row r="85" spans="2:13" s="46" customFormat="1" ht="36" thickBot="1">
      <c r="B85" s="771"/>
      <c r="C85" s="755"/>
      <c r="D85" s="391" t="str">
        <f>'BUDGET ADDITIONNEL'!D50</f>
        <v>Activité 3.2.4. Ateliers des sensibilisations des responsables des FARDC, de la police et des services de sécurité sur le respect des droits des populations civiles </v>
      </c>
      <c r="E85" s="691" t="s">
        <v>36</v>
      </c>
      <c r="F85" s="392"/>
      <c r="G85" s="392"/>
      <c r="H85" s="392"/>
      <c r="I85" s="692"/>
      <c r="J85" s="692"/>
      <c r="K85" s="392"/>
      <c r="L85" s="733">
        <f>'BUDGET ADDITIONNEL'!J50</f>
        <v>16965</v>
      </c>
      <c r="M85" s="749" t="s">
        <v>689</v>
      </c>
    </row>
    <row r="86" spans="2:13" s="46" customFormat="1" ht="12" thickBot="1">
      <c r="B86" s="771"/>
      <c r="C86" s="755"/>
      <c r="D86" s="391" t="str">
        <f>'BUDGET ADDITIONNEL'!D51</f>
        <v>Activité 3.2.5. Construction du commissariat de PNC à Kikuku</v>
      </c>
      <c r="E86" s="691" t="s">
        <v>36</v>
      </c>
      <c r="F86" s="392"/>
      <c r="G86" s="392"/>
      <c r="H86" s="392"/>
      <c r="I86" s="692"/>
      <c r="J86" s="692"/>
      <c r="K86" s="392"/>
      <c r="L86" s="733">
        <f>'BUDGET ADDITIONNEL'!J51</f>
        <v>143730</v>
      </c>
      <c r="M86" s="749" t="s">
        <v>689</v>
      </c>
    </row>
    <row r="87" spans="2:13" s="46" customFormat="1" ht="12" thickBot="1">
      <c r="B87" s="771"/>
      <c r="C87" s="755"/>
      <c r="D87" s="391" t="str">
        <f>'BUDGET ADDITIONNEL'!D52</f>
        <v>3.2.6 Activité Equipement de la maison du Mwami de Bwito à Kikuku</v>
      </c>
      <c r="E87" s="691" t="s">
        <v>36</v>
      </c>
      <c r="F87" s="392"/>
      <c r="G87" s="392"/>
      <c r="H87" s="392"/>
      <c r="I87" s="692"/>
      <c r="J87" s="692"/>
      <c r="K87" s="392"/>
      <c r="L87" s="733">
        <f>'BUDGET ADDITIONNEL'!J52</f>
        <v>6550</v>
      </c>
      <c r="M87" s="749" t="s">
        <v>689</v>
      </c>
    </row>
    <row r="88" spans="2:13" s="46" customFormat="1" ht="12" thickBot="1">
      <c r="B88" s="771"/>
      <c r="C88" s="755"/>
      <c r="D88" s="391" t="str">
        <f>'BUDGET ADDITIONNEL'!D53</f>
        <v>3.2.7 Activité Appuyer le retour du Mwami à Kikuku</v>
      </c>
      <c r="E88" s="691" t="s">
        <v>36</v>
      </c>
      <c r="F88" s="392"/>
      <c r="G88" s="392"/>
      <c r="H88" s="392"/>
      <c r="I88" s="692"/>
      <c r="J88" s="692"/>
      <c r="K88" s="392"/>
      <c r="L88" s="733">
        <f>'BUDGET ADDITIONNEL'!J53</f>
        <v>3180</v>
      </c>
      <c r="M88" s="749" t="s">
        <v>689</v>
      </c>
    </row>
    <row r="89" spans="2:13" s="46" customFormat="1" ht="24" thickBot="1">
      <c r="B89" s="771"/>
      <c r="C89" s="755"/>
      <c r="D89" s="391" t="str">
        <f>'BUDGET ADDITIONNEL'!D54</f>
        <v>3.2.8- 1Atelier de planification des activités; recolte des resultats membre du consortium et Partenaires de mise en œuvre du projet Njia</v>
      </c>
      <c r="E89" s="691" t="s">
        <v>36</v>
      </c>
      <c r="F89" s="392"/>
      <c r="G89" s="392"/>
      <c r="H89" s="392"/>
      <c r="I89" s="692"/>
      <c r="J89" s="692"/>
      <c r="K89" s="392"/>
      <c r="L89" s="733">
        <f>'BUDGET ADDITIONNEL'!J54</f>
        <v>464</v>
      </c>
      <c r="M89" s="749" t="s">
        <v>689</v>
      </c>
    </row>
    <row r="90" spans="2:13" s="46" customFormat="1" ht="24" thickBot="1">
      <c r="B90" s="771"/>
      <c r="C90" s="755"/>
      <c r="D90" s="391" t="str">
        <f>'BUDGET ADDITIONNEL'!D55</f>
        <v>3.2.9 Visites de suivi des activités de projets de stabilisation sur terrain par les Ministères sectoriels de la  province &amp; ST</v>
      </c>
      <c r="E90" s="691" t="s">
        <v>36</v>
      </c>
      <c r="F90" s="392"/>
      <c r="G90" s="392"/>
      <c r="H90" s="392"/>
      <c r="I90" s="692"/>
      <c r="J90" s="692"/>
      <c r="K90" s="392"/>
      <c r="L90" s="733">
        <f>'BUDGET ADDITIONNEL'!J55</f>
        <v>3820</v>
      </c>
      <c r="M90" s="749" t="s">
        <v>689</v>
      </c>
    </row>
    <row r="91" spans="2:13" s="46" customFormat="1" ht="60" thickBot="1">
      <c r="B91" s="771"/>
      <c r="C91" s="755"/>
      <c r="D91" s="391" t="str">
        <f>'BUDGET ADDITIONNEL'!D56</f>
        <v>3.2.10 Plaidoyer auprès des autorités Provinciales, nationales (Ministères sectoriels et STAREC) sur l'état d'avancement du projet Njia et Engagement politique (Voyage de validation de site de construction, plaidoyer à Kinshasa au ministère de l'intérieur et autres ministères sectoriels)</v>
      </c>
      <c r="E91" s="691" t="s">
        <v>36</v>
      </c>
      <c r="F91" s="392"/>
      <c r="G91" s="392"/>
      <c r="H91" s="392"/>
      <c r="I91" s="692"/>
      <c r="J91" s="692"/>
      <c r="K91" s="392"/>
      <c r="L91" s="733">
        <f>'BUDGET ADDITIONNEL'!J56</f>
        <v>12438</v>
      </c>
      <c r="M91" s="749" t="s">
        <v>689</v>
      </c>
    </row>
    <row r="92" spans="2:13" s="46" customFormat="1" ht="24" thickBot="1">
      <c r="B92" s="771"/>
      <c r="C92" s="755"/>
      <c r="D92" s="391" t="str">
        <f>'BUDGET ADDITIONNEL'!D57</f>
        <v>3.2.11 évaluation des deux plans d’actions issus des deux tables rondes tenues dans le Bashali et Rutshuru </v>
      </c>
      <c r="E92" s="691" t="s">
        <v>36</v>
      </c>
      <c r="F92" s="392"/>
      <c r="G92" s="392"/>
      <c r="H92" s="392"/>
      <c r="I92" s="692"/>
      <c r="J92" s="692"/>
      <c r="K92" s="392"/>
      <c r="L92" s="733">
        <f>'BUDGET ADDITIONNEL'!J57</f>
        <v>4100</v>
      </c>
      <c r="M92" s="749" t="s">
        <v>689</v>
      </c>
    </row>
    <row r="93" spans="2:13" s="46" customFormat="1" ht="12" thickBot="1">
      <c r="B93" s="771" t="str">
        <f>'[1]Options'!C39</f>
        <v>025</v>
      </c>
      <c r="C93" s="755"/>
      <c r="D93" s="391" t="s">
        <v>532</v>
      </c>
      <c r="E93" s="691" t="s">
        <v>33</v>
      </c>
      <c r="F93" s="392">
        <v>17193.360407599997</v>
      </c>
      <c r="G93" s="392">
        <v>8854.580609913999</v>
      </c>
      <c r="H93" s="392">
        <f t="shared" si="14"/>
        <v>26047.941017513996</v>
      </c>
      <c r="I93" s="692">
        <v>11956.579999999998</v>
      </c>
      <c r="J93" s="692">
        <f>+(1945.0338508*6)*50%</f>
        <v>5835.1015523999995</v>
      </c>
      <c r="K93" s="392">
        <f t="shared" si="12"/>
        <v>17791.681552399998</v>
      </c>
      <c r="L93" s="733">
        <f>'BUDGET ADDITIONNEL'!J58</f>
        <v>7496.253350949999</v>
      </c>
      <c r="M93" s="749"/>
    </row>
    <row r="94" spans="2:13" s="46" customFormat="1" ht="12" thickBot="1">
      <c r="B94" s="771" t="str">
        <f>'[1]Options'!C40</f>
        <v>026</v>
      </c>
      <c r="C94" s="755"/>
      <c r="D94" s="391" t="s">
        <v>533</v>
      </c>
      <c r="E94" s="691" t="s">
        <v>33</v>
      </c>
      <c r="F94" s="392">
        <v>21580</v>
      </c>
      <c r="G94" s="392">
        <v>11113.699999999999</v>
      </c>
      <c r="H94" s="392">
        <f t="shared" si="14"/>
        <v>32693.699999999997</v>
      </c>
      <c r="I94" s="692">
        <v>21345.399999999994</v>
      </c>
      <c r="J94" s="692">
        <f>+(3735.9259352*6)/2</f>
        <v>11207.777805599999</v>
      </c>
      <c r="K94" s="392">
        <f t="shared" si="12"/>
        <v>32553.177805599993</v>
      </c>
      <c r="L94" s="733">
        <f>'BUDGET ADDITIONNEL'!J59</f>
        <v>16275.679052533333</v>
      </c>
      <c r="M94" s="749"/>
    </row>
    <row r="95" spans="2:13" s="46" customFormat="1" ht="12" thickBot="1">
      <c r="B95" s="771" t="str">
        <f>'[1]Options'!C41</f>
        <v>027</v>
      </c>
      <c r="C95" s="755"/>
      <c r="D95" s="391" t="s">
        <v>534</v>
      </c>
      <c r="E95" s="691" t="s">
        <v>33</v>
      </c>
      <c r="F95" s="392">
        <v>13650</v>
      </c>
      <c r="G95" s="392">
        <v>7029.75</v>
      </c>
      <c r="H95" s="392">
        <f t="shared" si="14"/>
        <v>20679.75</v>
      </c>
      <c r="I95" s="692">
        <v>12469.539999999999</v>
      </c>
      <c r="J95" s="692">
        <f>+(1945.0338508*6)*70%</f>
        <v>8169.142173359999</v>
      </c>
      <c r="K95" s="392">
        <f t="shared" si="12"/>
        <v>20638.682173359997</v>
      </c>
      <c r="L95" s="733">
        <f>'BUDGET ADDITIONNEL'!J60</f>
        <v>8695.5953084</v>
      </c>
      <c r="M95" s="749"/>
    </row>
    <row r="96" spans="2:13" ht="15" thickBot="1">
      <c r="B96" s="777"/>
      <c r="C96" s="761"/>
      <c r="D96" s="393" t="s">
        <v>16</v>
      </c>
      <c r="E96" s="706" t="s">
        <v>21</v>
      </c>
      <c r="F96" s="643">
        <f aca="true" t="shared" si="15" ref="F96:K96">SUM(F75:F95)</f>
        <v>274383.3604076</v>
      </c>
      <c r="G96" s="643">
        <f t="shared" si="15"/>
        <v>52978.030609914</v>
      </c>
      <c r="H96" s="643">
        <f t="shared" si="15"/>
        <v>327361.391017514</v>
      </c>
      <c r="I96" s="716">
        <f t="shared" si="15"/>
        <v>267022.4199999999</v>
      </c>
      <c r="J96" s="716">
        <f t="shared" si="15"/>
        <v>54147.12153136</v>
      </c>
      <c r="K96" s="643">
        <f t="shared" si="15"/>
        <v>321169.54153136</v>
      </c>
      <c r="L96" s="741">
        <f>SUM(L75:L95)</f>
        <v>257904.5277118833</v>
      </c>
      <c r="M96" s="751"/>
    </row>
    <row r="97" spans="2:13" ht="15" thickBot="1">
      <c r="B97" s="777"/>
      <c r="C97" s="762"/>
      <c r="D97" s="717" t="s">
        <v>24</v>
      </c>
      <c r="E97" s="718"/>
      <c r="F97" s="644">
        <f aca="true" t="shared" si="16" ref="F97:L97">F96+F74</f>
        <v>279773.3604076</v>
      </c>
      <c r="G97" s="644">
        <f t="shared" si="16"/>
        <v>55673.030609914</v>
      </c>
      <c r="H97" s="644">
        <f t="shared" si="16"/>
        <v>335446.391017514</v>
      </c>
      <c r="I97" s="710">
        <f t="shared" si="16"/>
        <v>270222.4199999999</v>
      </c>
      <c r="J97" s="710">
        <f t="shared" si="16"/>
        <v>59422.12153136</v>
      </c>
      <c r="K97" s="644">
        <f t="shared" si="16"/>
        <v>329644.54153136</v>
      </c>
      <c r="L97" s="742">
        <f t="shared" si="16"/>
        <v>261824.5277118833</v>
      </c>
      <c r="M97" s="751"/>
    </row>
    <row r="98" spans="2:13" s="46" customFormat="1" ht="12" thickBot="1">
      <c r="B98" s="771"/>
      <c r="C98" s="755"/>
      <c r="D98" s="391" t="s">
        <v>116</v>
      </c>
      <c r="E98" s="691"/>
      <c r="F98" s="392"/>
      <c r="G98" s="392"/>
      <c r="H98" s="392"/>
      <c r="I98" s="692"/>
      <c r="J98" s="692"/>
      <c r="K98" s="392"/>
      <c r="L98" s="733"/>
      <c r="M98" s="749"/>
    </row>
    <row r="99" spans="2:13" s="46" customFormat="1" ht="12" thickBot="1">
      <c r="B99" s="771" t="str">
        <f>'[1]Options'!C45</f>
        <v>028</v>
      </c>
      <c r="C99" s="755" t="s">
        <v>110</v>
      </c>
      <c r="D99" s="391" t="s">
        <v>26</v>
      </c>
      <c r="E99" s="691" t="s">
        <v>44</v>
      </c>
      <c r="F99" s="392">
        <v>0</v>
      </c>
      <c r="G99" s="392">
        <v>20000</v>
      </c>
      <c r="H99" s="392">
        <f>F99+G99</f>
        <v>20000</v>
      </c>
      <c r="I99" s="692">
        <v>0</v>
      </c>
      <c r="J99" s="692">
        <v>20000</v>
      </c>
      <c r="K99" s="392">
        <f>I99+J99</f>
        <v>20000</v>
      </c>
      <c r="L99" s="733">
        <f>'BUDGET ADDITIONNEL'!J64</f>
        <v>0</v>
      </c>
      <c r="M99" s="749"/>
    </row>
    <row r="100" spans="2:13" s="46" customFormat="1" ht="24" thickBot="1">
      <c r="B100" s="771" t="str">
        <f>'[1]Options'!C46</f>
        <v>029</v>
      </c>
      <c r="C100" s="755" t="s">
        <v>25</v>
      </c>
      <c r="D100" s="391" t="s">
        <v>27</v>
      </c>
      <c r="E100" s="691" t="s">
        <v>47</v>
      </c>
      <c r="F100" s="392">
        <v>7200</v>
      </c>
      <c r="G100" s="392">
        <v>3600</v>
      </c>
      <c r="H100" s="392">
        <f>F100+G100</f>
        <v>10800</v>
      </c>
      <c r="I100" s="692">
        <v>7042.86</v>
      </c>
      <c r="J100" s="692">
        <v>3757.1400000000003</v>
      </c>
      <c r="K100" s="392">
        <f>I100+J100</f>
        <v>10800</v>
      </c>
      <c r="L100" s="733">
        <f>'BUDGET ADDITIONNEL'!J65</f>
        <v>2400</v>
      </c>
      <c r="M100" s="749"/>
    </row>
    <row r="101" spans="2:13" s="46" customFormat="1" ht="24" thickBot="1">
      <c r="B101" s="771" t="str">
        <f>'[1]Options'!C47</f>
        <v>030</v>
      </c>
      <c r="C101" s="755" t="s">
        <v>660</v>
      </c>
      <c r="D101" s="391" t="s">
        <v>661</v>
      </c>
      <c r="E101" s="691" t="s">
        <v>36</v>
      </c>
      <c r="F101" s="392">
        <v>2000</v>
      </c>
      <c r="G101" s="392">
        <v>1000</v>
      </c>
      <c r="H101" s="392">
        <f>F101+G101</f>
        <v>3000</v>
      </c>
      <c r="I101" s="692">
        <v>401</v>
      </c>
      <c r="J101" s="692">
        <v>599</v>
      </c>
      <c r="K101" s="392">
        <f>I101+J101</f>
        <v>1000</v>
      </c>
      <c r="L101" s="733"/>
      <c r="M101" s="749"/>
    </row>
    <row r="102" spans="2:13" s="46" customFormat="1" ht="12" thickBot="1">
      <c r="B102" s="771" t="str">
        <f>'[1]Options'!C48</f>
        <v>031</v>
      </c>
      <c r="C102" s="755" t="s">
        <v>126</v>
      </c>
      <c r="D102" s="391" t="s">
        <v>124</v>
      </c>
      <c r="E102" s="691" t="s">
        <v>36</v>
      </c>
      <c r="F102" s="392">
        <v>3000</v>
      </c>
      <c r="G102" s="392">
        <v>2380</v>
      </c>
      <c r="H102" s="392">
        <f>F102+G102</f>
        <v>5380</v>
      </c>
      <c r="I102" s="692">
        <v>0</v>
      </c>
      <c r="J102" s="692">
        <v>2587</v>
      </c>
      <c r="K102" s="392">
        <f>I102+J102</f>
        <v>2587</v>
      </c>
      <c r="L102" s="733">
        <f>'BUDGET ADDITIONNEL'!J66</f>
        <v>2000</v>
      </c>
      <c r="M102" s="749"/>
    </row>
    <row r="103" spans="2:13" s="46" customFormat="1" ht="12" thickBot="1">
      <c r="B103" s="771" t="str">
        <f>'[1]Options'!C49</f>
        <v>032</v>
      </c>
      <c r="C103" s="755" t="s">
        <v>127</v>
      </c>
      <c r="D103" s="391" t="s">
        <v>125</v>
      </c>
      <c r="E103" s="691" t="s">
        <v>36</v>
      </c>
      <c r="F103" s="392">
        <v>2000</v>
      </c>
      <c r="G103" s="392">
        <v>0</v>
      </c>
      <c r="H103" s="392">
        <f>F103+G103</f>
        <v>2000</v>
      </c>
      <c r="I103" s="692">
        <v>1310</v>
      </c>
      <c r="J103" s="692">
        <v>690</v>
      </c>
      <c r="K103" s="392">
        <f>I103+J103</f>
        <v>2000</v>
      </c>
      <c r="L103" s="733">
        <f>'BUDGET ADDITIONNEL'!J67</f>
        <v>1631</v>
      </c>
      <c r="M103" s="749"/>
    </row>
    <row r="104" spans="2:13" ht="15" thickBot="1">
      <c r="B104" s="777"/>
      <c r="C104" s="761"/>
      <c r="D104" s="393" t="s">
        <v>28</v>
      </c>
      <c r="E104" s="706" t="s">
        <v>21</v>
      </c>
      <c r="F104" s="643">
        <f aca="true" t="shared" si="17" ref="F104:L104">SUM(F99:F103)</f>
        <v>14200</v>
      </c>
      <c r="G104" s="643">
        <f t="shared" si="17"/>
        <v>26980</v>
      </c>
      <c r="H104" s="643">
        <f t="shared" si="17"/>
        <v>41180</v>
      </c>
      <c r="I104" s="716">
        <f t="shared" si="17"/>
        <v>8753.86</v>
      </c>
      <c r="J104" s="716">
        <f t="shared" si="17"/>
        <v>27633.14</v>
      </c>
      <c r="K104" s="643">
        <f t="shared" si="17"/>
        <v>36387</v>
      </c>
      <c r="L104" s="741">
        <f t="shared" si="17"/>
        <v>6031</v>
      </c>
      <c r="M104" s="751"/>
    </row>
    <row r="105" spans="2:13" ht="15" thickBot="1">
      <c r="B105" s="779"/>
      <c r="C105" s="763"/>
      <c r="D105" s="719" t="s">
        <v>29</v>
      </c>
      <c r="E105" s="720"/>
      <c r="F105" s="647">
        <f aca="true" t="shared" si="18" ref="F105:L105">F104+F97+F68+F41</f>
        <v>488299.3604076</v>
      </c>
      <c r="G105" s="647">
        <f t="shared" si="18"/>
        <v>114598.030609914</v>
      </c>
      <c r="H105" s="647">
        <f t="shared" si="18"/>
        <v>602897.391017514</v>
      </c>
      <c r="I105" s="721">
        <f t="shared" si="18"/>
        <v>463962.6499999999</v>
      </c>
      <c r="J105" s="721">
        <f t="shared" si="18"/>
        <v>134467.04153136</v>
      </c>
      <c r="K105" s="647">
        <f t="shared" si="18"/>
        <v>598429.69153136</v>
      </c>
      <c r="L105" s="743">
        <f t="shared" si="18"/>
        <v>480382.5277118833</v>
      </c>
      <c r="M105" s="751"/>
    </row>
    <row r="106" spans="2:13" ht="15" thickBot="1">
      <c r="B106" s="780"/>
      <c r="C106" s="764" t="s">
        <v>30</v>
      </c>
      <c r="D106" s="722" t="s">
        <v>31</v>
      </c>
      <c r="E106" s="723"/>
      <c r="F106" s="611"/>
      <c r="G106" s="611"/>
      <c r="H106" s="611"/>
      <c r="I106" s="611"/>
      <c r="J106" s="611"/>
      <c r="K106" s="611"/>
      <c r="L106" s="744"/>
      <c r="M106" s="751"/>
    </row>
    <row r="107" spans="2:13" s="46" customFormat="1" ht="12" thickBot="1">
      <c r="B107" s="771" t="str">
        <f>'[1]Options'!C53</f>
        <v>033</v>
      </c>
      <c r="C107" s="755" t="s">
        <v>111</v>
      </c>
      <c r="D107" s="391" t="s">
        <v>532</v>
      </c>
      <c r="E107" s="691" t="s">
        <v>33</v>
      </c>
      <c r="F107" s="392">
        <v>17193.360407599997</v>
      </c>
      <c r="G107" s="392">
        <v>8854.580609913999</v>
      </c>
      <c r="H107" s="392">
        <f aca="true" t="shared" si="19" ref="H107:H125">F107+G107</f>
        <v>26047.941017513996</v>
      </c>
      <c r="I107" s="692">
        <v>10957.82</v>
      </c>
      <c r="J107" s="692">
        <f>+(1945.0338508*6)*50%</f>
        <v>5835.1015523999995</v>
      </c>
      <c r="K107" s="392">
        <f aca="true" t="shared" si="20" ref="K107:K125">I107+J107</f>
        <v>16792.9215524</v>
      </c>
      <c r="L107" s="733">
        <f>'BUDGET ADDITIONNEL'!J73</f>
        <v>7496.253350949999</v>
      </c>
      <c r="M107" s="749"/>
    </row>
    <row r="108" spans="2:13" s="46" customFormat="1" ht="12" thickBot="1">
      <c r="B108" s="771" t="str">
        <f>'[1]Options'!C54</f>
        <v>034</v>
      </c>
      <c r="C108" s="755" t="s">
        <v>32</v>
      </c>
      <c r="D108" s="391" t="s">
        <v>533</v>
      </c>
      <c r="E108" s="691" t="s">
        <v>33</v>
      </c>
      <c r="F108" s="392">
        <v>21580</v>
      </c>
      <c r="G108" s="392">
        <v>11113.699999999999</v>
      </c>
      <c r="H108" s="392">
        <f t="shared" si="19"/>
        <v>32693.699999999997</v>
      </c>
      <c r="I108" s="692">
        <v>18652.36</v>
      </c>
      <c r="J108" s="692">
        <f>+(3735.9259352*6)/2</f>
        <v>11207.777805599999</v>
      </c>
      <c r="K108" s="392">
        <f t="shared" si="20"/>
        <v>29860.1378056</v>
      </c>
      <c r="L108" s="733">
        <f>'BUDGET ADDITIONNEL'!J74</f>
        <v>16275.679052533333</v>
      </c>
      <c r="M108" s="749"/>
    </row>
    <row r="109" spans="2:13" s="46" customFormat="1" ht="12" thickBot="1">
      <c r="B109" s="771" t="str">
        <f>'[1]Options'!C55</f>
        <v>035</v>
      </c>
      <c r="C109" s="755" t="s">
        <v>535</v>
      </c>
      <c r="D109" s="391" t="s">
        <v>536</v>
      </c>
      <c r="E109" s="691" t="s">
        <v>33</v>
      </c>
      <c r="F109" s="392">
        <v>8684</v>
      </c>
      <c r="G109" s="392">
        <v>4472.260000000001</v>
      </c>
      <c r="H109" s="392">
        <f t="shared" si="19"/>
        <v>13156.260000000002</v>
      </c>
      <c r="I109" s="692">
        <v>7686.489999999999</v>
      </c>
      <c r="J109" s="692">
        <f>+(1945.0338508*6)*20%</f>
        <v>2334.04062096</v>
      </c>
      <c r="K109" s="392">
        <f t="shared" si="20"/>
        <v>10020.530620959998</v>
      </c>
      <c r="L109" s="733">
        <f>'BUDGET ADDITIONNEL'!J75</f>
        <v>3799.2499999999995</v>
      </c>
      <c r="M109" s="749"/>
    </row>
    <row r="110" spans="2:13" s="46" customFormat="1" ht="12" thickBot="1">
      <c r="B110" s="771" t="str">
        <f>'[1]Options'!C56</f>
        <v>036</v>
      </c>
      <c r="C110" s="755" t="s">
        <v>586</v>
      </c>
      <c r="D110" s="391" t="s">
        <v>662</v>
      </c>
      <c r="E110" s="691" t="s">
        <v>33</v>
      </c>
      <c r="F110" s="392">
        <v>2079.35</v>
      </c>
      <c r="G110" s="392">
        <v>1070.86525</v>
      </c>
      <c r="H110" s="392">
        <f t="shared" si="19"/>
        <v>3150.21525</v>
      </c>
      <c r="I110" s="692">
        <v>2194.370000000001</v>
      </c>
      <c r="J110" s="692">
        <v>914.3208333333337</v>
      </c>
      <c r="K110" s="392">
        <f t="shared" si="20"/>
        <v>3108.6908333333345</v>
      </c>
      <c r="L110" s="733">
        <f>'BUDGET ADDITIONNEL'!J76</f>
        <v>3583.125</v>
      </c>
      <c r="M110" s="749"/>
    </row>
    <row r="111" spans="2:13" s="46" customFormat="1" ht="12" thickBot="1">
      <c r="B111" s="771" t="str">
        <f>'[1]Options'!C57</f>
        <v>037</v>
      </c>
      <c r="C111" s="755" t="s">
        <v>537</v>
      </c>
      <c r="D111" s="391" t="s">
        <v>663</v>
      </c>
      <c r="E111" s="691" t="s">
        <v>33</v>
      </c>
      <c r="F111" s="392">
        <v>5855.200000000001</v>
      </c>
      <c r="G111" s="392">
        <v>3015.428</v>
      </c>
      <c r="H111" s="392">
        <f t="shared" si="19"/>
        <v>8870.628</v>
      </c>
      <c r="I111" s="692">
        <v>6688.379999999997</v>
      </c>
      <c r="J111" s="692">
        <v>2786.824999999999</v>
      </c>
      <c r="K111" s="392">
        <f t="shared" si="20"/>
        <v>9475.204999999996</v>
      </c>
      <c r="L111" s="733"/>
      <c r="M111" s="749"/>
    </row>
    <row r="112" spans="2:13" s="46" customFormat="1" ht="12" thickBot="1">
      <c r="B112" s="771" t="str">
        <f>'[1]Options'!C58</f>
        <v>038</v>
      </c>
      <c r="C112" s="755" t="s">
        <v>538</v>
      </c>
      <c r="D112" s="391" t="s">
        <v>539</v>
      </c>
      <c r="E112" s="691" t="s">
        <v>33</v>
      </c>
      <c r="F112" s="392">
        <v>3759.6</v>
      </c>
      <c r="G112" s="392">
        <v>1936.194</v>
      </c>
      <c r="H112" s="392">
        <f t="shared" si="19"/>
        <v>5695.794</v>
      </c>
      <c r="I112" s="692">
        <v>4642.67</v>
      </c>
      <c r="J112" s="692">
        <v>1934.4458333333332</v>
      </c>
      <c r="K112" s="392">
        <f t="shared" si="20"/>
        <v>6577.115833333333</v>
      </c>
      <c r="L112" s="733">
        <f>'BUDGET ADDITIONNEL'!J77</f>
        <v>1879.8</v>
      </c>
      <c r="M112" s="749"/>
    </row>
    <row r="113" spans="2:13" s="46" customFormat="1" ht="12" thickBot="1">
      <c r="B113" s="771" t="str">
        <f>'[1]Options'!C59</f>
        <v>039</v>
      </c>
      <c r="C113" s="755" t="s">
        <v>540</v>
      </c>
      <c r="D113" s="391" t="s">
        <v>541</v>
      </c>
      <c r="E113" s="691" t="s">
        <v>33</v>
      </c>
      <c r="F113" s="392">
        <v>2724.15</v>
      </c>
      <c r="G113" s="392">
        <v>1402.9372500000002</v>
      </c>
      <c r="H113" s="392">
        <f t="shared" si="19"/>
        <v>4127.0872500000005</v>
      </c>
      <c r="I113" s="692">
        <v>3250.1699999999987</v>
      </c>
      <c r="J113" s="692">
        <v>1354.2374999999995</v>
      </c>
      <c r="K113" s="392">
        <f t="shared" si="20"/>
        <v>4604.407499999998</v>
      </c>
      <c r="L113" s="733">
        <f>'BUDGET ADDITIONNEL'!J78</f>
        <v>1863.3418518000003</v>
      </c>
      <c r="M113" s="749"/>
    </row>
    <row r="114" spans="2:13" s="46" customFormat="1" ht="12" thickBot="1">
      <c r="B114" s="771" t="str">
        <f>'[1]Options'!C60</f>
        <v>040</v>
      </c>
      <c r="C114" s="755" t="s">
        <v>542</v>
      </c>
      <c r="D114" s="391" t="s">
        <v>543</v>
      </c>
      <c r="E114" s="691" t="s">
        <v>33</v>
      </c>
      <c r="F114" s="392">
        <v>9661.6</v>
      </c>
      <c r="G114" s="392">
        <v>4975.724</v>
      </c>
      <c r="H114" s="392">
        <f t="shared" si="19"/>
        <v>14637.324</v>
      </c>
      <c r="I114" s="692">
        <v>13548.019999999997</v>
      </c>
      <c r="J114" s="692">
        <v>5645.008333333331</v>
      </c>
      <c r="K114" s="392">
        <f t="shared" si="20"/>
        <v>19193.02833333333</v>
      </c>
      <c r="L114" s="733">
        <f>'BUDGET ADDITIONNEL'!J79</f>
        <v>5635.933333333333</v>
      </c>
      <c r="M114" s="749"/>
    </row>
    <row r="115" spans="2:13" s="46" customFormat="1" ht="12" thickBot="1">
      <c r="B115" s="771" t="str">
        <f>'[1]Options'!C61</f>
        <v>041</v>
      </c>
      <c r="C115" s="755" t="s">
        <v>544</v>
      </c>
      <c r="D115" s="391" t="s">
        <v>545</v>
      </c>
      <c r="E115" s="691" t="s">
        <v>33</v>
      </c>
      <c r="F115" s="392">
        <v>2083.25</v>
      </c>
      <c r="G115" s="392">
        <v>1072.87375</v>
      </c>
      <c r="H115" s="392">
        <f t="shared" si="19"/>
        <v>3156.1237499999997</v>
      </c>
      <c r="I115" s="692">
        <v>2421.1599999999994</v>
      </c>
      <c r="J115" s="692">
        <v>1008.8166666666665</v>
      </c>
      <c r="K115" s="392">
        <f t="shared" si="20"/>
        <v>3429.976666666666</v>
      </c>
      <c r="L115" s="733">
        <f>'BUDGET ADDITIONNEL'!J80</f>
        <v>1041.625</v>
      </c>
      <c r="M115" s="749"/>
    </row>
    <row r="116" spans="2:13" s="46" customFormat="1" ht="12" thickBot="1">
      <c r="B116" s="771" t="str">
        <f>'[1]Options'!C62</f>
        <v>042</v>
      </c>
      <c r="C116" s="755" t="s">
        <v>546</v>
      </c>
      <c r="D116" s="391" t="s">
        <v>547</v>
      </c>
      <c r="E116" s="691" t="s">
        <v>33</v>
      </c>
      <c r="F116" s="392">
        <v>2250.2999999999997</v>
      </c>
      <c r="G116" s="392">
        <v>1158.9045</v>
      </c>
      <c r="H116" s="392">
        <f t="shared" si="19"/>
        <v>3409.2045</v>
      </c>
      <c r="I116" s="692">
        <v>2720.73</v>
      </c>
      <c r="J116" s="692">
        <v>1133.6375</v>
      </c>
      <c r="K116" s="392">
        <f t="shared" si="20"/>
        <v>3854.3675000000003</v>
      </c>
      <c r="L116" s="733">
        <f>'BUDGET ADDITIONNEL'!J81</f>
        <v>1125.1499999999999</v>
      </c>
      <c r="M116" s="749"/>
    </row>
    <row r="117" spans="2:13" s="46" customFormat="1" ht="12" thickBot="1">
      <c r="B117" s="771" t="str">
        <f>'[1]Options'!C63</f>
        <v>043</v>
      </c>
      <c r="C117" s="755" t="s">
        <v>548</v>
      </c>
      <c r="D117" s="391" t="s">
        <v>549</v>
      </c>
      <c r="E117" s="691" t="s">
        <v>33</v>
      </c>
      <c r="F117" s="392">
        <v>8874</v>
      </c>
      <c r="G117" s="392">
        <v>4437</v>
      </c>
      <c r="H117" s="392">
        <f t="shared" si="19"/>
        <v>13311</v>
      </c>
      <c r="I117" s="692">
        <v>6196.18</v>
      </c>
      <c r="J117" s="715">
        <v>7114.82</v>
      </c>
      <c r="K117" s="392">
        <f t="shared" si="20"/>
        <v>13311</v>
      </c>
      <c r="L117" s="733">
        <f>'BUDGET ADDITIONNEL'!J82</f>
        <v>3430.0000000000005</v>
      </c>
      <c r="M117" s="749"/>
    </row>
    <row r="118" spans="2:13" s="46" customFormat="1" ht="12" thickBot="1">
      <c r="B118" s="771" t="str">
        <f>'[1]Options'!C64</f>
        <v>044</v>
      </c>
      <c r="C118" s="755" t="s">
        <v>550</v>
      </c>
      <c r="D118" s="391" t="s">
        <v>551</v>
      </c>
      <c r="E118" s="691" t="s">
        <v>33</v>
      </c>
      <c r="F118" s="392">
        <v>7803</v>
      </c>
      <c r="G118" s="392">
        <v>3901.5</v>
      </c>
      <c r="H118" s="392">
        <f t="shared" si="19"/>
        <v>11704.5</v>
      </c>
      <c r="I118" s="692">
        <v>8562.15</v>
      </c>
      <c r="J118" s="692">
        <v>3142.3500000000004</v>
      </c>
      <c r="K118" s="392">
        <f t="shared" si="20"/>
        <v>11704.5</v>
      </c>
      <c r="L118" s="733">
        <f>'BUDGET ADDITIONNEL'!J83</f>
        <v>2989.0000000000005</v>
      </c>
      <c r="M118" s="749"/>
    </row>
    <row r="119" spans="2:13" s="46" customFormat="1" ht="12" thickBot="1">
      <c r="B119" s="771" t="str">
        <f>'[1]Options'!C65</f>
        <v>045</v>
      </c>
      <c r="C119" s="755" t="s">
        <v>552</v>
      </c>
      <c r="D119" s="391" t="s">
        <v>553</v>
      </c>
      <c r="E119" s="691" t="s">
        <v>33</v>
      </c>
      <c r="F119" s="392">
        <v>7803</v>
      </c>
      <c r="G119" s="392">
        <v>3901.5</v>
      </c>
      <c r="H119" s="392">
        <f t="shared" si="19"/>
        <v>11704.5</v>
      </c>
      <c r="I119" s="692">
        <v>7816.630000000002</v>
      </c>
      <c r="J119" s="692">
        <v>3887.869999999998</v>
      </c>
      <c r="K119" s="392">
        <f t="shared" si="20"/>
        <v>11704.5</v>
      </c>
      <c r="L119" s="733">
        <f>'BUDGET ADDITIONNEL'!J84</f>
        <v>2695.0000000000005</v>
      </c>
      <c r="M119" s="749"/>
    </row>
    <row r="120" spans="2:13" s="46" customFormat="1" ht="12" thickBot="1">
      <c r="B120" s="771" t="str">
        <f>'[1]Options'!C66</f>
        <v>046</v>
      </c>
      <c r="C120" s="755" t="s">
        <v>554</v>
      </c>
      <c r="D120" s="391" t="s">
        <v>555</v>
      </c>
      <c r="E120" s="691" t="s">
        <v>33</v>
      </c>
      <c r="F120" s="392">
        <v>6548.1</v>
      </c>
      <c r="G120" s="392">
        <v>3372.2715000000007</v>
      </c>
      <c r="H120" s="392">
        <f t="shared" si="19"/>
        <v>9920.371500000001</v>
      </c>
      <c r="I120" s="692">
        <v>7258.469999999999</v>
      </c>
      <c r="J120" s="692">
        <v>2661.9015000000018</v>
      </c>
      <c r="K120" s="392">
        <f t="shared" si="20"/>
        <v>9920.371500000001</v>
      </c>
      <c r="L120" s="733">
        <f>'BUDGET ADDITIONNEL'!J85</f>
        <v>3819.7250000000004</v>
      </c>
      <c r="M120" s="749"/>
    </row>
    <row r="121" spans="2:13" s="46" customFormat="1" ht="12" thickBot="1">
      <c r="B121" s="771" t="str">
        <f>'[1]Options'!C67</f>
        <v>047</v>
      </c>
      <c r="C121" s="755" t="s">
        <v>112</v>
      </c>
      <c r="D121" s="391" t="s">
        <v>68</v>
      </c>
      <c r="E121" s="691" t="s">
        <v>33</v>
      </c>
      <c r="F121" s="392">
        <v>3600</v>
      </c>
      <c r="G121" s="392">
        <v>1800</v>
      </c>
      <c r="H121" s="392">
        <f t="shared" si="19"/>
        <v>5400</v>
      </c>
      <c r="I121" s="692">
        <v>5292.479999999999</v>
      </c>
      <c r="J121" s="692">
        <v>2205.1999999999994</v>
      </c>
      <c r="K121" s="392">
        <f t="shared" si="20"/>
        <v>7497.6799999999985</v>
      </c>
      <c r="L121" s="733">
        <f>'BUDGET ADDITIONNEL'!J86</f>
        <v>2100</v>
      </c>
      <c r="M121" s="749"/>
    </row>
    <row r="122" spans="2:13" s="46" customFormat="1" ht="12" thickBot="1">
      <c r="B122" s="771" t="str">
        <f>'[1]Options'!C68</f>
        <v>048</v>
      </c>
      <c r="C122" s="755" t="s">
        <v>113</v>
      </c>
      <c r="D122" s="391" t="s">
        <v>70</v>
      </c>
      <c r="E122" s="691" t="s">
        <v>33</v>
      </c>
      <c r="F122" s="392">
        <v>1080</v>
      </c>
      <c r="G122" s="392">
        <v>540</v>
      </c>
      <c r="H122" s="392">
        <f t="shared" si="19"/>
        <v>1620</v>
      </c>
      <c r="I122" s="692">
        <v>700.29</v>
      </c>
      <c r="J122" s="692">
        <v>919.71</v>
      </c>
      <c r="K122" s="392">
        <f t="shared" si="20"/>
        <v>1620</v>
      </c>
      <c r="L122" s="733">
        <f>'BUDGET ADDITIONNEL'!J87</f>
        <v>1500</v>
      </c>
      <c r="M122" s="749"/>
    </row>
    <row r="123" spans="2:13" s="46" customFormat="1" ht="12" thickBot="1">
      <c r="B123" s="771" t="str">
        <f>'[1]Options'!C69</f>
        <v>049</v>
      </c>
      <c r="C123" s="755" t="s">
        <v>664</v>
      </c>
      <c r="D123" s="391" t="s">
        <v>665</v>
      </c>
      <c r="E123" s="691" t="s">
        <v>33</v>
      </c>
      <c r="F123" s="392">
        <v>300</v>
      </c>
      <c r="G123" s="392">
        <v>0</v>
      </c>
      <c r="H123" s="392">
        <f t="shared" si="19"/>
        <v>300</v>
      </c>
      <c r="I123" s="692">
        <v>77.59</v>
      </c>
      <c r="J123" s="692">
        <v>222.41</v>
      </c>
      <c r="K123" s="392">
        <f t="shared" si="20"/>
        <v>300</v>
      </c>
      <c r="L123" s="733"/>
      <c r="M123" s="749"/>
    </row>
    <row r="124" spans="2:13" s="46" customFormat="1" ht="12" thickBot="1">
      <c r="B124" s="771" t="str">
        <f>'[1]Options'!C70</f>
        <v>050</v>
      </c>
      <c r="C124" s="755" t="s">
        <v>666</v>
      </c>
      <c r="D124" s="391" t="s">
        <v>73</v>
      </c>
      <c r="E124" s="691" t="s">
        <v>33</v>
      </c>
      <c r="F124" s="392">
        <v>4500</v>
      </c>
      <c r="G124" s="392">
        <v>1350</v>
      </c>
      <c r="H124" s="392">
        <f t="shared" si="19"/>
        <v>5850</v>
      </c>
      <c r="I124" s="692">
        <v>4359.2300000000005</v>
      </c>
      <c r="J124" s="715">
        <v>1490.7699999999995</v>
      </c>
      <c r="K124" s="392">
        <f t="shared" si="20"/>
        <v>5850</v>
      </c>
      <c r="L124" s="733">
        <f>'BUDGET ADDITIONNEL'!J88</f>
        <v>2058</v>
      </c>
      <c r="M124" s="749"/>
    </row>
    <row r="125" spans="2:13" s="46" customFormat="1" ht="24" thickBot="1">
      <c r="B125" s="771" t="str">
        <f>'[1]Options'!C71</f>
        <v>051</v>
      </c>
      <c r="C125" s="755" t="s">
        <v>667</v>
      </c>
      <c r="D125" s="391" t="s">
        <v>75</v>
      </c>
      <c r="E125" s="691" t="s">
        <v>33</v>
      </c>
      <c r="F125" s="392">
        <v>630</v>
      </c>
      <c r="G125" s="392">
        <v>315</v>
      </c>
      <c r="H125" s="392">
        <f t="shared" si="19"/>
        <v>945</v>
      </c>
      <c r="I125" s="692">
        <v>723.71</v>
      </c>
      <c r="J125" s="692">
        <v>221.28999999999996</v>
      </c>
      <c r="K125" s="392">
        <f t="shared" si="20"/>
        <v>945</v>
      </c>
      <c r="L125" s="733">
        <f>'BUDGET ADDITIONNEL'!J89</f>
        <v>343.00000000000006</v>
      </c>
      <c r="M125" s="749"/>
    </row>
    <row r="126" spans="2:13" ht="15" thickBot="1">
      <c r="B126" s="777"/>
      <c r="C126" s="761" t="s">
        <v>34</v>
      </c>
      <c r="D126" s="393" t="s">
        <v>34</v>
      </c>
      <c r="E126" s="706"/>
      <c r="F126" s="643">
        <f aca="true" t="shared" si="21" ref="F126:L126">SUM(F107:F125)</f>
        <v>117008.91040760001</v>
      </c>
      <c r="G126" s="643">
        <f t="shared" si="21"/>
        <v>58690.738859913996</v>
      </c>
      <c r="H126" s="643">
        <f t="shared" si="21"/>
        <v>175699.64926751397</v>
      </c>
      <c r="I126" s="716">
        <f t="shared" si="21"/>
        <v>113748.9</v>
      </c>
      <c r="J126" s="716">
        <f t="shared" si="21"/>
        <v>56020.53314562665</v>
      </c>
      <c r="K126" s="643">
        <f t="shared" si="21"/>
        <v>169769.43314562665</v>
      </c>
      <c r="L126" s="741">
        <f t="shared" si="21"/>
        <v>61634.882588616674</v>
      </c>
      <c r="M126" s="751"/>
    </row>
    <row r="127" spans="2:13" ht="15" thickBot="1">
      <c r="B127" s="780"/>
      <c r="C127" s="764" t="s">
        <v>35</v>
      </c>
      <c r="D127" s="722" t="s">
        <v>36</v>
      </c>
      <c r="E127" s="723"/>
      <c r="F127" s="618"/>
      <c r="G127" s="724"/>
      <c r="H127" s="724"/>
      <c r="I127" s="724"/>
      <c r="J127" s="724"/>
      <c r="K127" s="724"/>
      <c r="L127" s="745"/>
      <c r="M127" s="751"/>
    </row>
    <row r="128" spans="2:13" s="46" customFormat="1" ht="36" thickBot="1">
      <c r="B128" s="771"/>
      <c r="C128" s="755" t="s">
        <v>37</v>
      </c>
      <c r="D128" s="391" t="s">
        <v>37</v>
      </c>
      <c r="E128" s="691"/>
      <c r="F128" s="392"/>
      <c r="G128" s="392"/>
      <c r="H128" s="392"/>
      <c r="I128" s="692"/>
      <c r="J128" s="692"/>
      <c r="K128" s="392"/>
      <c r="L128" s="733"/>
      <c r="M128" s="749"/>
    </row>
    <row r="129" spans="2:13" ht="15" thickBot="1">
      <c r="B129" s="780"/>
      <c r="C129" s="764" t="s">
        <v>38</v>
      </c>
      <c r="D129" s="722" t="s">
        <v>39</v>
      </c>
      <c r="E129" s="723"/>
      <c r="F129" s="618"/>
      <c r="G129" s="724"/>
      <c r="H129" s="724"/>
      <c r="I129" s="724"/>
      <c r="J129" s="724"/>
      <c r="K129" s="724"/>
      <c r="L129" s="745"/>
      <c r="M129" s="751"/>
    </row>
    <row r="130" spans="2:13" s="46" customFormat="1" ht="12" thickBot="1">
      <c r="B130" s="771" t="str">
        <f>'[1]Options'!C76</f>
        <v>052</v>
      </c>
      <c r="C130" s="755" t="s">
        <v>40</v>
      </c>
      <c r="D130" s="391" t="s">
        <v>41</v>
      </c>
      <c r="E130" s="691" t="s">
        <v>39</v>
      </c>
      <c r="F130" s="392"/>
      <c r="G130" s="392"/>
      <c r="H130" s="392">
        <f>F130+G130</f>
        <v>0</v>
      </c>
      <c r="I130" s="692">
        <v>95</v>
      </c>
      <c r="J130" s="692">
        <v>1200</v>
      </c>
      <c r="K130" s="392">
        <f>I130+J130</f>
        <v>1295</v>
      </c>
      <c r="L130" s="733">
        <f>'BUDGET ADDITIONNEL'!J96</f>
        <v>0</v>
      </c>
      <c r="M130" s="749"/>
    </row>
    <row r="131" spans="2:13" ht="15" thickBot="1">
      <c r="B131" s="777"/>
      <c r="C131" s="761" t="s">
        <v>42</v>
      </c>
      <c r="D131" s="393" t="s">
        <v>42</v>
      </c>
      <c r="E131" s="706"/>
      <c r="F131" s="643"/>
      <c r="G131" s="643"/>
      <c r="H131" s="643"/>
      <c r="I131" s="643">
        <f>SUM(I130)</f>
        <v>95</v>
      </c>
      <c r="J131" s="643">
        <f>SUM(J130)</f>
        <v>1200</v>
      </c>
      <c r="K131" s="643">
        <f>SUM(K130)</f>
        <v>1295</v>
      </c>
      <c r="L131" s="741">
        <f>SUM(L130)</f>
        <v>0</v>
      </c>
      <c r="M131" s="751"/>
    </row>
    <row r="132" spans="2:13" ht="15" thickBot="1">
      <c r="B132" s="780"/>
      <c r="C132" s="764" t="s">
        <v>43</v>
      </c>
      <c r="D132" s="722" t="s">
        <v>44</v>
      </c>
      <c r="E132" s="723"/>
      <c r="F132" s="618"/>
      <c r="G132" s="724"/>
      <c r="H132" s="724"/>
      <c r="I132" s="724"/>
      <c r="J132" s="724"/>
      <c r="K132" s="724"/>
      <c r="L132" s="745"/>
      <c r="M132" s="751"/>
    </row>
    <row r="133" spans="2:13" s="46" customFormat="1" ht="24" thickBot="1">
      <c r="B133" s="771"/>
      <c r="C133" s="755" t="s">
        <v>45</v>
      </c>
      <c r="D133" s="391" t="s">
        <v>45</v>
      </c>
      <c r="E133" s="691"/>
      <c r="F133" s="392"/>
      <c r="G133" s="392"/>
      <c r="H133" s="392"/>
      <c r="I133" s="692"/>
      <c r="J133" s="692"/>
      <c r="K133" s="392"/>
      <c r="L133" s="733"/>
      <c r="M133" s="749"/>
    </row>
    <row r="134" spans="2:13" ht="15" thickBot="1">
      <c r="B134" s="780"/>
      <c r="C134" s="764" t="s">
        <v>46</v>
      </c>
      <c r="D134" s="722" t="s">
        <v>47</v>
      </c>
      <c r="E134" s="723"/>
      <c r="F134" s="618"/>
      <c r="G134" s="724"/>
      <c r="H134" s="724"/>
      <c r="I134" s="724"/>
      <c r="J134" s="724"/>
      <c r="K134" s="724"/>
      <c r="L134" s="745"/>
      <c r="M134" s="751"/>
    </row>
    <row r="135" spans="2:13" s="46" customFormat="1" ht="24" thickBot="1">
      <c r="B135" s="771" t="str">
        <f>'[1]Options'!C81</f>
        <v>053</v>
      </c>
      <c r="C135" s="755" t="s">
        <v>48</v>
      </c>
      <c r="D135" s="391" t="s">
        <v>49</v>
      </c>
      <c r="E135" s="691" t="s">
        <v>47</v>
      </c>
      <c r="F135" s="392">
        <v>4800</v>
      </c>
      <c r="G135" s="392">
        <v>5400</v>
      </c>
      <c r="H135" s="392">
        <f>F135+G135</f>
        <v>10200</v>
      </c>
      <c r="I135" s="692">
        <v>2573.75</v>
      </c>
      <c r="J135" s="692">
        <v>5583</v>
      </c>
      <c r="K135" s="392">
        <f>I135+J135</f>
        <v>8156.75</v>
      </c>
      <c r="L135" s="733">
        <f>'BUDGET ADDITIONNEL'!J102</f>
        <v>1200</v>
      </c>
      <c r="M135" s="749"/>
    </row>
    <row r="136" spans="2:13" s="46" customFormat="1" ht="12" thickBot="1">
      <c r="B136" s="771" t="str">
        <f>'[1]Options'!C82</f>
        <v>054</v>
      </c>
      <c r="C136" s="755" t="s">
        <v>50</v>
      </c>
      <c r="D136" s="391" t="s">
        <v>51</v>
      </c>
      <c r="E136" s="691" t="s">
        <v>47</v>
      </c>
      <c r="F136" s="392"/>
      <c r="G136" s="392"/>
      <c r="H136" s="392"/>
      <c r="I136" s="692">
        <v>0</v>
      </c>
      <c r="J136" s="692"/>
      <c r="K136" s="392">
        <f>I136+J136</f>
        <v>0</v>
      </c>
      <c r="L136" s="733">
        <f>'BUDGET ADDITIONNEL'!J103</f>
        <v>0</v>
      </c>
      <c r="M136" s="749"/>
    </row>
    <row r="137" spans="2:13" ht="15" thickBot="1">
      <c r="B137" s="777"/>
      <c r="C137" s="761" t="s">
        <v>52</v>
      </c>
      <c r="D137" s="393" t="s">
        <v>52</v>
      </c>
      <c r="E137" s="706"/>
      <c r="F137" s="643">
        <f aca="true" t="shared" si="22" ref="F137:L137">SUM(F135:F136)</f>
        <v>4800</v>
      </c>
      <c r="G137" s="643">
        <f t="shared" si="22"/>
        <v>5400</v>
      </c>
      <c r="H137" s="643">
        <f t="shared" si="22"/>
        <v>10200</v>
      </c>
      <c r="I137" s="716">
        <f t="shared" si="22"/>
        <v>2573.75</v>
      </c>
      <c r="J137" s="716">
        <f t="shared" si="22"/>
        <v>5583</v>
      </c>
      <c r="K137" s="643">
        <f t="shared" si="22"/>
        <v>8156.75</v>
      </c>
      <c r="L137" s="741">
        <f t="shared" si="22"/>
        <v>1200</v>
      </c>
      <c r="M137" s="751"/>
    </row>
    <row r="138" spans="2:13" ht="15" thickBot="1">
      <c r="B138" s="780"/>
      <c r="C138" s="764" t="s">
        <v>53</v>
      </c>
      <c r="D138" s="722" t="s">
        <v>54</v>
      </c>
      <c r="E138" s="723"/>
      <c r="F138" s="618"/>
      <c r="G138" s="724"/>
      <c r="H138" s="724"/>
      <c r="I138" s="724"/>
      <c r="J138" s="724"/>
      <c r="K138" s="724"/>
      <c r="L138" s="745"/>
      <c r="M138" s="751"/>
    </row>
    <row r="139" spans="2:13" s="46" customFormat="1" ht="12" thickBot="1">
      <c r="B139" s="771" t="str">
        <f>'[1]Options'!C85</f>
        <v>055</v>
      </c>
      <c r="C139" s="755" t="s">
        <v>114</v>
      </c>
      <c r="D139" s="391" t="s">
        <v>55</v>
      </c>
      <c r="E139" s="691" t="s">
        <v>54</v>
      </c>
      <c r="F139" s="392">
        <v>60000</v>
      </c>
      <c r="G139" s="392">
        <v>30000</v>
      </c>
      <c r="H139" s="392">
        <f>F139+G139</f>
        <v>90000</v>
      </c>
      <c r="I139" s="692">
        <v>59497.28999999999</v>
      </c>
      <c r="J139" s="692">
        <v>31702.71</v>
      </c>
      <c r="K139" s="392">
        <f>I139+J139</f>
        <v>91200</v>
      </c>
      <c r="L139" s="733">
        <f>'BUDGET ADDITIONNEL'!J109</f>
        <v>96866.39199999999</v>
      </c>
      <c r="M139" s="749"/>
    </row>
    <row r="140" spans="2:13" ht="15" thickBot="1">
      <c r="B140" s="777"/>
      <c r="C140" s="761" t="s">
        <v>56</v>
      </c>
      <c r="D140" s="393" t="s">
        <v>56</v>
      </c>
      <c r="E140" s="706"/>
      <c r="F140" s="643">
        <f aca="true" t="shared" si="23" ref="F140:L140">SUM(F139)</f>
        <v>60000</v>
      </c>
      <c r="G140" s="643">
        <f t="shared" si="23"/>
        <v>30000</v>
      </c>
      <c r="H140" s="643">
        <f t="shared" si="23"/>
        <v>90000</v>
      </c>
      <c r="I140" s="716">
        <f t="shared" si="23"/>
        <v>59497.28999999999</v>
      </c>
      <c r="J140" s="716">
        <f t="shared" si="23"/>
        <v>31702.71</v>
      </c>
      <c r="K140" s="643">
        <f t="shared" si="23"/>
        <v>91200</v>
      </c>
      <c r="L140" s="741">
        <f t="shared" si="23"/>
        <v>96866.39199999999</v>
      </c>
      <c r="M140" s="751"/>
    </row>
    <row r="141" spans="2:13" ht="15" thickBot="1">
      <c r="B141" s="780"/>
      <c r="C141" s="764" t="s">
        <v>57</v>
      </c>
      <c r="D141" s="722" t="s">
        <v>58</v>
      </c>
      <c r="E141" s="723"/>
      <c r="F141" s="618"/>
      <c r="G141" s="724"/>
      <c r="H141" s="724"/>
      <c r="I141" s="724"/>
      <c r="J141" s="724"/>
      <c r="K141" s="724"/>
      <c r="L141" s="745"/>
      <c r="M141" s="751"/>
    </row>
    <row r="142" spans="2:13" s="46" customFormat="1" ht="12" thickBot="1">
      <c r="B142" s="771" t="str">
        <f>'[1]Options'!C88</f>
        <v>056</v>
      </c>
      <c r="C142" s="755" t="s">
        <v>59</v>
      </c>
      <c r="D142" s="391" t="s">
        <v>60</v>
      </c>
      <c r="E142" s="691" t="s">
        <v>58</v>
      </c>
      <c r="F142" s="392">
        <v>7200</v>
      </c>
      <c r="G142" s="392">
        <v>2400</v>
      </c>
      <c r="H142" s="392">
        <f aca="true" t="shared" si="24" ref="H142:H152">F142+G142</f>
        <v>9600</v>
      </c>
      <c r="I142" s="692">
        <v>9270.409999999983</v>
      </c>
      <c r="J142" s="692">
        <v>3565.542307692301</v>
      </c>
      <c r="K142" s="392">
        <f aca="true" t="shared" si="25" ref="K142:K152">I142+J142</f>
        <v>12835.952307692285</v>
      </c>
      <c r="L142" s="733">
        <f>'BUDGET ADDITIONNEL'!J111</f>
        <v>3500</v>
      </c>
      <c r="M142" s="749"/>
    </row>
    <row r="143" spans="2:13" s="46" customFormat="1" ht="12" thickBot="1">
      <c r="B143" s="771" t="str">
        <f>'[1]Options'!C89</f>
        <v>057</v>
      </c>
      <c r="C143" s="755" t="s">
        <v>61</v>
      </c>
      <c r="D143" s="391" t="s">
        <v>62</v>
      </c>
      <c r="E143" s="691" t="s">
        <v>58</v>
      </c>
      <c r="F143" s="392">
        <v>3600</v>
      </c>
      <c r="G143" s="392">
        <v>1800</v>
      </c>
      <c r="H143" s="392">
        <f t="shared" si="24"/>
        <v>5400</v>
      </c>
      <c r="I143" s="692">
        <v>2253.4399999999996</v>
      </c>
      <c r="J143" s="692">
        <v>3146.5600000000004</v>
      </c>
      <c r="K143" s="392">
        <f t="shared" si="25"/>
        <v>5400</v>
      </c>
      <c r="L143" s="733">
        <f>'BUDGET ADDITIONNEL'!J112</f>
        <v>1400</v>
      </c>
      <c r="M143" s="749"/>
    </row>
    <row r="144" spans="2:13" s="46" customFormat="1" ht="12" thickBot="1">
      <c r="B144" s="771" t="str">
        <f>'[1]Options'!C90</f>
        <v>058</v>
      </c>
      <c r="C144" s="755" t="s">
        <v>63</v>
      </c>
      <c r="D144" s="391" t="s">
        <v>64</v>
      </c>
      <c r="E144" s="691" t="s">
        <v>58</v>
      </c>
      <c r="F144" s="392">
        <v>1680</v>
      </c>
      <c r="G144" s="392">
        <v>5040</v>
      </c>
      <c r="H144" s="392">
        <f t="shared" si="24"/>
        <v>6720</v>
      </c>
      <c r="I144" s="692">
        <v>3902.1</v>
      </c>
      <c r="J144" s="692">
        <v>2817.9</v>
      </c>
      <c r="K144" s="392">
        <f t="shared" si="25"/>
        <v>6720</v>
      </c>
      <c r="L144" s="733">
        <f>'BUDGET ADDITIONNEL'!J113</f>
        <v>1050</v>
      </c>
      <c r="M144" s="749"/>
    </row>
    <row r="145" spans="2:13" s="46" customFormat="1" ht="12" thickBot="1">
      <c r="B145" s="771" t="str">
        <f>'[1]Options'!C91</f>
        <v>059</v>
      </c>
      <c r="C145" s="755" t="s">
        <v>65</v>
      </c>
      <c r="D145" s="391" t="s">
        <v>66</v>
      </c>
      <c r="E145" s="691" t="s">
        <v>58</v>
      </c>
      <c r="F145" s="392">
        <v>1200</v>
      </c>
      <c r="G145" s="392">
        <v>3600</v>
      </c>
      <c r="H145" s="392">
        <f t="shared" si="24"/>
        <v>4800</v>
      </c>
      <c r="I145" s="692">
        <v>1982.0199999999998</v>
      </c>
      <c r="J145" s="692">
        <v>2817.9800000000005</v>
      </c>
      <c r="K145" s="392">
        <f t="shared" si="25"/>
        <v>4800</v>
      </c>
      <c r="L145" s="733">
        <f>'BUDGET ADDITIONNEL'!J114</f>
        <v>700</v>
      </c>
      <c r="M145" s="749"/>
    </row>
    <row r="146" spans="2:13" s="46" customFormat="1" ht="12" thickBot="1">
      <c r="B146" s="771" t="str">
        <f>'[1]Options'!C92</f>
        <v>060</v>
      </c>
      <c r="C146" s="755" t="s">
        <v>67</v>
      </c>
      <c r="D146" s="391" t="s">
        <v>77</v>
      </c>
      <c r="E146" s="691" t="s">
        <v>58</v>
      </c>
      <c r="F146" s="392">
        <v>1042</v>
      </c>
      <c r="G146" s="392">
        <v>500</v>
      </c>
      <c r="H146" s="392">
        <f t="shared" si="24"/>
        <v>1542</v>
      </c>
      <c r="I146" s="692">
        <v>346.49</v>
      </c>
      <c r="J146" s="692">
        <v>1195.51</v>
      </c>
      <c r="K146" s="392">
        <f t="shared" si="25"/>
        <v>1542</v>
      </c>
      <c r="L146" s="733">
        <f>'BUDGET ADDITIONNEL'!J115</f>
        <v>0</v>
      </c>
      <c r="M146" s="749"/>
    </row>
    <row r="147" spans="2:13" s="46" customFormat="1" ht="12" thickBot="1">
      <c r="B147" s="771" t="str">
        <f>'[1]Options'!C93</f>
        <v>061</v>
      </c>
      <c r="C147" s="755" t="s">
        <v>69</v>
      </c>
      <c r="D147" s="391" t="s">
        <v>79</v>
      </c>
      <c r="E147" s="691" t="s">
        <v>58</v>
      </c>
      <c r="F147" s="392">
        <v>1080</v>
      </c>
      <c r="G147" s="392">
        <v>540</v>
      </c>
      <c r="H147" s="392">
        <f t="shared" si="24"/>
        <v>1620</v>
      </c>
      <c r="I147" s="692">
        <v>1208.7</v>
      </c>
      <c r="J147" s="692">
        <v>411.29999999999995</v>
      </c>
      <c r="K147" s="392">
        <f t="shared" si="25"/>
        <v>1620</v>
      </c>
      <c r="L147" s="733">
        <f>'BUDGET ADDITIONNEL'!J116</f>
        <v>316.728</v>
      </c>
      <c r="M147" s="749"/>
    </row>
    <row r="148" spans="2:13" s="46" customFormat="1" ht="12" thickBot="1">
      <c r="B148" s="771" t="str">
        <f>'[1]Options'!C94</f>
        <v>062</v>
      </c>
      <c r="C148" s="755" t="s">
        <v>71</v>
      </c>
      <c r="D148" s="391" t="s">
        <v>109</v>
      </c>
      <c r="E148" s="691" t="s">
        <v>58</v>
      </c>
      <c r="F148" s="392">
        <v>10500</v>
      </c>
      <c r="G148" s="392">
        <v>5250</v>
      </c>
      <c r="H148" s="392">
        <f t="shared" si="24"/>
        <v>15750</v>
      </c>
      <c r="I148" s="692">
        <v>14016.85</v>
      </c>
      <c r="J148" s="692">
        <f>2500*30%</f>
        <v>750</v>
      </c>
      <c r="K148" s="392">
        <f t="shared" si="25"/>
        <v>14766.85</v>
      </c>
      <c r="L148" s="733">
        <f>'BUDGET ADDITIONNEL'!J117</f>
        <v>3150</v>
      </c>
      <c r="M148" s="749"/>
    </row>
    <row r="149" spans="2:13" s="46" customFormat="1" ht="12" thickBot="1">
      <c r="B149" s="771" t="str">
        <f>'[1]Options'!C95</f>
        <v>063</v>
      </c>
      <c r="C149" s="755" t="s">
        <v>72</v>
      </c>
      <c r="D149" s="391" t="s">
        <v>81</v>
      </c>
      <c r="E149" s="691" t="s">
        <v>58</v>
      </c>
      <c r="F149" s="392">
        <v>540</v>
      </c>
      <c r="G149" s="392">
        <v>270</v>
      </c>
      <c r="H149" s="392">
        <f t="shared" si="24"/>
        <v>810</v>
      </c>
      <c r="I149" s="692">
        <v>1204.4600000000003</v>
      </c>
      <c r="J149" s="692">
        <f>100*5</f>
        <v>500</v>
      </c>
      <c r="K149" s="392">
        <f t="shared" si="25"/>
        <v>1704.4600000000003</v>
      </c>
      <c r="L149" s="733">
        <f>'BUDGET ADDITIONNEL'!J118</f>
        <v>450</v>
      </c>
      <c r="M149" s="749"/>
    </row>
    <row r="150" spans="2:13" s="46" customFormat="1" ht="12" thickBot="1">
      <c r="B150" s="771" t="str">
        <f>'[1]Options'!C96</f>
        <v>064</v>
      </c>
      <c r="C150" s="755" t="s">
        <v>74</v>
      </c>
      <c r="D150" s="391" t="s">
        <v>82</v>
      </c>
      <c r="E150" s="691" t="s">
        <v>58</v>
      </c>
      <c r="F150" s="392">
        <v>1800</v>
      </c>
      <c r="G150" s="392">
        <v>900</v>
      </c>
      <c r="H150" s="392">
        <f t="shared" si="24"/>
        <v>2700</v>
      </c>
      <c r="I150" s="692">
        <v>4163.24</v>
      </c>
      <c r="J150" s="692">
        <f>350*5</f>
        <v>1750</v>
      </c>
      <c r="K150" s="392">
        <f t="shared" si="25"/>
        <v>5913.24</v>
      </c>
      <c r="L150" s="733">
        <f>'BUDGET ADDITIONNEL'!J119</f>
        <v>1575</v>
      </c>
      <c r="M150" s="749"/>
    </row>
    <row r="151" spans="2:13" s="46" customFormat="1" ht="12" thickBot="1">
      <c r="B151" s="771" t="str">
        <f>'[1]Options'!C97</f>
        <v>065</v>
      </c>
      <c r="C151" s="755" t="s">
        <v>76</v>
      </c>
      <c r="D151" s="391" t="s">
        <v>115</v>
      </c>
      <c r="E151" s="691" t="s">
        <v>58</v>
      </c>
      <c r="F151" s="392">
        <v>3060</v>
      </c>
      <c r="G151" s="392">
        <v>1530</v>
      </c>
      <c r="H151" s="392">
        <f t="shared" si="24"/>
        <v>4590</v>
      </c>
      <c r="I151" s="692">
        <v>6368.61</v>
      </c>
      <c r="J151" s="692">
        <f>(1750*5)*20%</f>
        <v>1750</v>
      </c>
      <c r="K151" s="392">
        <f t="shared" si="25"/>
        <v>8118.61</v>
      </c>
      <c r="L151" s="733">
        <f>'BUDGET ADDITIONNEL'!J120</f>
        <v>1530</v>
      </c>
      <c r="M151" s="749"/>
    </row>
    <row r="152" spans="2:13" s="46" customFormat="1" ht="12" thickBot="1">
      <c r="B152" s="771" t="str">
        <f>'[1]Options'!C98</f>
        <v>066</v>
      </c>
      <c r="C152" s="755" t="s">
        <v>78</v>
      </c>
      <c r="D152" s="391" t="s">
        <v>83</v>
      </c>
      <c r="E152" s="691" t="s">
        <v>58</v>
      </c>
      <c r="F152" s="392">
        <v>1500</v>
      </c>
      <c r="G152" s="392">
        <v>750</v>
      </c>
      <c r="H152" s="392">
        <f t="shared" si="24"/>
        <v>2250</v>
      </c>
      <c r="I152" s="692">
        <v>1807.0800000000002</v>
      </c>
      <c r="J152" s="692">
        <f>500*5*20%</f>
        <v>500</v>
      </c>
      <c r="K152" s="392">
        <f t="shared" si="25"/>
        <v>2307.08</v>
      </c>
      <c r="L152" s="733">
        <f>'BUDGET ADDITIONNEL'!J121</f>
        <v>450</v>
      </c>
      <c r="M152" s="749"/>
    </row>
    <row r="153" spans="2:13" ht="15" thickBot="1">
      <c r="B153" s="777"/>
      <c r="C153" s="761" t="s">
        <v>84</v>
      </c>
      <c r="D153" s="393" t="s">
        <v>84</v>
      </c>
      <c r="E153" s="706"/>
      <c r="F153" s="643">
        <f aca="true" t="shared" si="26" ref="F153:L153">SUM(F142:F152)</f>
        <v>33202</v>
      </c>
      <c r="G153" s="643">
        <f t="shared" si="26"/>
        <v>22580</v>
      </c>
      <c r="H153" s="643">
        <f t="shared" si="26"/>
        <v>55782</v>
      </c>
      <c r="I153" s="716">
        <f t="shared" si="26"/>
        <v>46523.39999999999</v>
      </c>
      <c r="J153" s="716">
        <f t="shared" si="26"/>
        <v>19204.792307692303</v>
      </c>
      <c r="K153" s="643">
        <f t="shared" si="26"/>
        <v>65728.19230769228</v>
      </c>
      <c r="L153" s="741">
        <f t="shared" si="26"/>
        <v>14121.728</v>
      </c>
      <c r="M153" s="751"/>
    </row>
    <row r="154" spans="2:13" ht="15" thickBot="1">
      <c r="B154" s="780"/>
      <c r="C154" s="765" t="s">
        <v>85</v>
      </c>
      <c r="D154" s="725" t="s">
        <v>85</v>
      </c>
      <c r="E154" s="726"/>
      <c r="F154" s="651">
        <f aca="true" t="shared" si="27" ref="F154:L154">F153+F140+F137+F131+F126</f>
        <v>215010.9104076</v>
      </c>
      <c r="G154" s="651">
        <f t="shared" si="27"/>
        <v>116670.738859914</v>
      </c>
      <c r="H154" s="651">
        <f t="shared" si="27"/>
        <v>331681.649267514</v>
      </c>
      <c r="I154" s="651">
        <f t="shared" si="27"/>
        <v>222438.33999999997</v>
      </c>
      <c r="J154" s="651">
        <f t="shared" si="27"/>
        <v>113711.03545331895</v>
      </c>
      <c r="K154" s="651">
        <f t="shared" si="27"/>
        <v>336149.37545331893</v>
      </c>
      <c r="L154" s="746">
        <f t="shared" si="27"/>
        <v>173823.00258861668</v>
      </c>
      <c r="M154" s="751"/>
    </row>
    <row r="155" spans="2:13" s="46" customFormat="1" ht="12" thickBot="1">
      <c r="B155" s="771" t="str">
        <f>'[1]Options'!C101</f>
        <v>300</v>
      </c>
      <c r="C155" s="755" t="s">
        <v>80</v>
      </c>
      <c r="D155" s="391" t="s">
        <v>86</v>
      </c>
      <c r="E155" s="691"/>
      <c r="F155" s="392"/>
      <c r="G155" s="392"/>
      <c r="H155" s="392"/>
      <c r="I155" s="692"/>
      <c r="J155" s="692"/>
      <c r="K155" s="392"/>
      <c r="L155" s="733"/>
      <c r="M155" s="749"/>
    </row>
    <row r="156" spans="2:13" ht="15" thickBot="1">
      <c r="B156" s="780"/>
      <c r="C156" s="766"/>
      <c r="D156" s="727" t="s">
        <v>87</v>
      </c>
      <c r="E156" s="728"/>
      <c r="F156" s="652">
        <f aca="true" t="shared" si="28" ref="F156:L156">F154+F105</f>
        <v>703310.2708151999</v>
      </c>
      <c r="G156" s="652">
        <f t="shared" si="28"/>
        <v>231268.769469828</v>
      </c>
      <c r="H156" s="652">
        <f t="shared" si="28"/>
        <v>934579.040285028</v>
      </c>
      <c r="I156" s="652">
        <f t="shared" si="28"/>
        <v>686400.9899999999</v>
      </c>
      <c r="J156" s="652">
        <f t="shared" si="28"/>
        <v>248178.07698467898</v>
      </c>
      <c r="K156" s="652">
        <f t="shared" si="28"/>
        <v>934579.066984679</v>
      </c>
      <c r="L156" s="747">
        <f t="shared" si="28"/>
        <v>654205.5303005</v>
      </c>
      <c r="M156" s="751"/>
    </row>
    <row r="157" spans="2:13" s="46" customFormat="1" ht="24" thickBot="1">
      <c r="B157" s="771" t="str">
        <f>'[1]Options'!C103</f>
        <v>067</v>
      </c>
      <c r="C157" s="755" t="s">
        <v>88</v>
      </c>
      <c r="D157" s="391" t="s">
        <v>88</v>
      </c>
      <c r="E157" s="691" t="s">
        <v>101</v>
      </c>
      <c r="F157" s="392">
        <f>F156*0.07</f>
        <v>49231.718957064004</v>
      </c>
      <c r="G157" s="392">
        <f>G156*0.07</f>
        <v>16188.81386288796</v>
      </c>
      <c r="H157" s="392">
        <f>H156*0.07</f>
        <v>65420.53281995197</v>
      </c>
      <c r="I157" s="692">
        <v>46293.43000000001</v>
      </c>
      <c r="J157" s="692">
        <v>19127.102819951964</v>
      </c>
      <c r="K157" s="392">
        <f>I157+J157</f>
        <v>65420.53281995197</v>
      </c>
      <c r="L157" s="733">
        <f>L156*7%</f>
        <v>45794.387121035004</v>
      </c>
      <c r="M157" s="749"/>
    </row>
    <row r="158" spans="2:13" ht="15.75" thickBot="1">
      <c r="B158" s="767"/>
      <c r="C158" s="729" t="s">
        <v>89</v>
      </c>
      <c r="D158" s="729" t="s">
        <v>89</v>
      </c>
      <c r="E158" s="729"/>
      <c r="F158" s="730">
        <f>F156+F157</f>
        <v>752541.9897722639</v>
      </c>
      <c r="G158" s="730">
        <f aca="true" t="shared" si="29" ref="G158:L158">G156+G157</f>
        <v>247457.58333271596</v>
      </c>
      <c r="H158" s="730">
        <f t="shared" si="29"/>
        <v>999999.57310498</v>
      </c>
      <c r="I158" s="731">
        <f t="shared" si="29"/>
        <v>732694.4199999999</v>
      </c>
      <c r="J158" s="731">
        <f>J156+J157</f>
        <v>267305.1798046309</v>
      </c>
      <c r="K158" s="730">
        <f t="shared" si="29"/>
        <v>999999.599804631</v>
      </c>
      <c r="L158" s="748">
        <f t="shared" si="29"/>
        <v>699999.917421535</v>
      </c>
      <c r="M158" s="751"/>
    </row>
    <row r="159" ht="14.25">
      <c r="B159" s="10"/>
    </row>
    <row r="160" ht="14.25">
      <c r="B160" s="10"/>
    </row>
    <row r="161" ht="14.25">
      <c r="B161" s="10"/>
    </row>
    <row r="162" ht="14.25">
      <c r="B162" s="10"/>
    </row>
    <row r="163" ht="14.25">
      <c r="B163" s="10"/>
    </row>
    <row r="164" ht="14.25">
      <c r="B164" s="10"/>
    </row>
    <row r="165" ht="14.25">
      <c r="B165" s="10"/>
    </row>
    <row r="166" ht="14.25">
      <c r="B166" s="10"/>
    </row>
    <row r="167" ht="14.25">
      <c r="B167" s="10"/>
    </row>
    <row r="168" ht="14.25">
      <c r="B168" s="10"/>
    </row>
    <row r="169" ht="14.25">
      <c r="B169" s="10"/>
    </row>
    <row r="170" ht="14.25">
      <c r="B170" s="10"/>
    </row>
  </sheetData>
  <sheetProtection/>
  <mergeCells count="4">
    <mergeCell ref="D19:F19"/>
    <mergeCell ref="C20:C21"/>
    <mergeCell ref="C42:D42"/>
    <mergeCell ref="C69:D69"/>
  </mergeCells>
  <dataValidations count="13">
    <dataValidation allowBlank="1" showInputMessage="1" showErrorMessage="1" promptTitle="Project Period" prompt="Don't change this cell.... it is done automatically for you when you change the Project Period at the top of the sheet." sqref="K18:L18"/>
    <dataValidation allowBlank="1" showInputMessage="1" showErrorMessage="1" promptTitle="Project Code Funder" prompt="Usually allocated by the funder as part of the grant contract.&#10;During the application process this row can usually be grouped and collapsed.&#10;Please do NOT delete the row!" sqref="D5"/>
    <dataValidation allowBlank="1" showInputMessage="1" showErrorMessage="1" promptTitle="Fund Code International Alert" prompt="Please fill in the allocated Fund Code after the project has been funded.&#10;During the application process this row can be grouped and collapsed.&#10;Please do NOT delete the row!" sqref="D6"/>
    <dataValidation allowBlank="1" showInputMessage="1" showErrorMessage="1" promptTitle="International Alert Programme" prompt="Please fill in the name of the International Alert Programme that carries out the project.&#10;Please do NOT delete the row!" sqref="D7"/>
    <dataValidation allowBlank="1" showInputMessage="1" showErrorMessage="1" promptTitle="Programme Manager" prompt="Name of the International Alert Programme manager that implements this project.&#10;Please do NOT delete this row!" sqref="D8"/>
    <dataValidation allowBlank="1" showInputMessage="1" showErrorMessage="1" promptTitle="Project Title" prompt="Name of the International Alert Project that is proposed to the donor with this budget.&#10;Please do NOT delete this row!" sqref="D10"/>
    <dataValidation type="decimal" allowBlank="1" showInputMessage="1" showErrorMessage="1" promptTitle="General Overheads Contribution" prompt="Please fill in the General contribution to overheads as a percentage of the total budget -before overheads-&#10;Do NOT delete this row!" sqref="D13">
      <formula1>0.05</formula1>
      <formula2>0.4</formula2>
    </dataValidation>
    <dataValidation allowBlank="1" showInputMessage="1" showErrorMessage="1" promptTitle="Base Currency" prompt="Please do not change Base Currency&#10;Do NOT delete this row!" sqref="D2:D3"/>
    <dataValidation allowBlank="1" showInputMessage="1" showErrorMessage="1" promptTitle="Exchange Rate, Source and Policy" prompt="IA uses reliable sources, such as oanda.com and xe.com to base its exchange rates on.&#10;IA also takes into account factors such as the volatility of the currency exchange rate (against the GBP) over past periods with a duration comparable to the proposed." sqref="C4"/>
    <dataValidation allowBlank="1" showInputMessage="1" showErrorMessage="1" promptTitle="Currency Rate (from table)" prompt="Please do not change the rate here!&#10;&#10;Please fill in the countervalue of GBP 1 with an accuracy of up to 5 digits in the table to the extreme right (Starting at column IO)&#10;&#10;Please do not delete this row or any row below row 30!" sqref="D4"/>
    <dataValidation allowBlank="1" showInputMessage="1" showErrorMessage="1" promptTitle="Budget Holder" prompt="Name of the International Alert Budget Holder that holds the budget for this project.&#10;Please do NOT delete this row!" sqref="D9"/>
    <dataValidation allowBlank="1" showInputMessage="1" showErrorMessage="1" promptTitle="Name Donor" prompt="Please fill in the name of the donor/funder.&#10;Do NOT delete this row or any other rows above row 30!" sqref="D1"/>
    <dataValidation operator="greaterThan" allowBlank="1" showInputMessage="1" showErrorMessage="1" promptTitle="Project Period" prompt="Please enter the project's implementation period into this cell.&#10;Please use the format MMM-YY-MMM-YY&#10;Do NOT delete this row!" sqref="D11"/>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F21"/>
  <sheetViews>
    <sheetView zoomScalePageLayoutView="0" workbookViewId="0" topLeftCell="A1">
      <selection activeCell="B10" sqref="B10"/>
    </sheetView>
  </sheetViews>
  <sheetFormatPr defaultColWidth="10.8515625" defaultRowHeight="15"/>
  <cols>
    <col min="1" max="1" width="3.421875" style="415" customWidth="1"/>
    <col min="2" max="2" width="52.57421875" style="415" customWidth="1"/>
    <col min="3" max="3" width="13.7109375" style="415" customWidth="1"/>
    <col min="4" max="4" width="14.28125" style="415" customWidth="1"/>
    <col min="5" max="5" width="12.7109375" style="415" customWidth="1"/>
    <col min="6" max="6" width="12.140625" style="415" customWidth="1"/>
    <col min="7" max="16384" width="10.8515625" style="415" customWidth="1"/>
  </cols>
  <sheetData>
    <row r="1" spans="2:6" s="414" customFormat="1" ht="15">
      <c r="B1" s="434"/>
      <c r="C1" s="435" t="s">
        <v>90</v>
      </c>
      <c r="D1" s="434"/>
      <c r="E1" s="434"/>
      <c r="F1" s="434"/>
    </row>
    <row r="2" spans="2:6" s="414" customFormat="1" ht="14.25">
      <c r="B2" s="436" t="s">
        <v>690</v>
      </c>
      <c r="C2" s="434" t="s">
        <v>709</v>
      </c>
      <c r="D2" s="434"/>
      <c r="E2" s="434"/>
      <c r="F2" s="434"/>
    </row>
    <row r="3" spans="2:6" s="414" customFormat="1" ht="14.25">
      <c r="B3" s="436" t="s">
        <v>691</v>
      </c>
      <c r="C3" s="434" t="s">
        <v>1</v>
      </c>
      <c r="D3" s="434"/>
      <c r="E3" s="434"/>
      <c r="F3" s="434"/>
    </row>
    <row r="4" spans="2:6" s="414" customFormat="1" ht="14.25">
      <c r="B4" s="436" t="s">
        <v>692</v>
      </c>
      <c r="C4" s="434" t="s">
        <v>710</v>
      </c>
      <c r="D4" s="434"/>
      <c r="E4" s="434"/>
      <c r="F4" s="434"/>
    </row>
    <row r="5" spans="2:6" s="414" customFormat="1" ht="14.25">
      <c r="B5" s="436" t="s">
        <v>94</v>
      </c>
      <c r="C5" s="783">
        <f>E19</f>
        <v>1699999.917226166</v>
      </c>
      <c r="D5" s="434"/>
      <c r="E5" s="434"/>
      <c r="F5" s="434"/>
    </row>
    <row r="6" spans="2:6" s="414" customFormat="1" ht="14.25">
      <c r="B6" s="436" t="s">
        <v>693</v>
      </c>
      <c r="C6" s="784">
        <f>E20</f>
        <v>135999.9933780933</v>
      </c>
      <c r="D6" s="434"/>
      <c r="E6" s="434"/>
      <c r="F6" s="434"/>
    </row>
    <row r="7" spans="2:6" s="414" customFormat="1" ht="14.25">
      <c r="B7" s="436" t="s">
        <v>694</v>
      </c>
      <c r="C7" s="784">
        <f>C5+C6</f>
        <v>1835999.9106042592</v>
      </c>
      <c r="D7" s="434"/>
      <c r="E7" s="434"/>
      <c r="F7" s="434"/>
    </row>
    <row r="8" ht="13.5" thickBot="1"/>
    <row r="9" spans="2:6" ht="39" thickBot="1">
      <c r="B9" s="416" t="s">
        <v>668</v>
      </c>
      <c r="C9" s="417" t="s">
        <v>669</v>
      </c>
      <c r="D9" s="417" t="s">
        <v>670</v>
      </c>
      <c r="E9" s="417" t="s">
        <v>671</v>
      </c>
      <c r="F9" s="418" t="s">
        <v>672</v>
      </c>
    </row>
    <row r="10" spans="2:6" ht="13.5" thickBot="1">
      <c r="B10" s="419" t="s">
        <v>673</v>
      </c>
      <c r="C10" s="420">
        <f>'CAT SUM'!C8</f>
        <v>240752.97467698663</v>
      </c>
      <c r="D10" s="421">
        <f>'CAT SUM'!D8</f>
        <v>94102.4103005</v>
      </c>
      <c r="E10" s="421">
        <f>C10+D10</f>
        <v>334855.3849774866</v>
      </c>
      <c r="F10" s="422">
        <f>E10/$E$19</f>
        <v>0.19697376545985906</v>
      </c>
    </row>
    <row r="11" spans="2:6" ht="13.5" thickBot="1">
      <c r="B11" s="419" t="s">
        <v>674</v>
      </c>
      <c r="C11" s="420">
        <f>'CAT SUM'!C9</f>
        <v>496646.15</v>
      </c>
      <c r="D11" s="423">
        <f>'CAT SUM'!D9</f>
        <v>445515</v>
      </c>
      <c r="E11" s="423">
        <f aca="true" t="shared" si="0" ref="E11:E21">C11+D11</f>
        <v>942161.15</v>
      </c>
      <c r="F11" s="424">
        <f aca="true" t="shared" si="1" ref="F11:F19">E11/$E$19</f>
        <v>0.5542124681613476</v>
      </c>
    </row>
    <row r="12" spans="2:6" ht="26.25" thickBot="1">
      <c r="B12" s="419" t="s">
        <v>675</v>
      </c>
      <c r="C12" s="420">
        <f>'CAT SUM'!C10</f>
        <v>1295</v>
      </c>
      <c r="D12" s="423">
        <f>'CAT SUM'!D10</f>
        <v>0</v>
      </c>
      <c r="E12" s="423">
        <f t="shared" si="0"/>
        <v>1295</v>
      </c>
      <c r="F12" s="424">
        <f t="shared" si="1"/>
        <v>0.000761764742973052</v>
      </c>
    </row>
    <row r="13" spans="2:6" ht="13.5" thickBot="1">
      <c r="B13" s="419" t="s">
        <v>676</v>
      </c>
      <c r="C13" s="420">
        <f>'CAT SUM'!C11</f>
        <v>20000</v>
      </c>
      <c r="D13" s="423">
        <f>'CAT SUM'!D11</f>
        <v>0</v>
      </c>
      <c r="E13" s="423">
        <f t="shared" si="0"/>
        <v>20000</v>
      </c>
      <c r="F13" s="424">
        <f t="shared" si="1"/>
        <v>0.01176470645518227</v>
      </c>
    </row>
    <row r="14" spans="2:6" ht="13.5" thickBot="1">
      <c r="B14" s="419" t="s">
        <v>677</v>
      </c>
      <c r="C14" s="420">
        <f>'CAT SUM'!C12</f>
        <v>18956.75</v>
      </c>
      <c r="D14" s="423">
        <f>'CAT SUM'!D12</f>
        <v>3600</v>
      </c>
      <c r="E14" s="423">
        <f t="shared" si="0"/>
        <v>22556.75</v>
      </c>
      <c r="F14" s="424">
        <f t="shared" si="1"/>
        <v>0.013268677116646633</v>
      </c>
    </row>
    <row r="15" spans="2:6" ht="13.5" thickBot="1">
      <c r="B15" s="419" t="s">
        <v>678</v>
      </c>
      <c r="C15" s="420">
        <f>'CAT SUM'!C13</f>
        <v>91200</v>
      </c>
      <c r="D15" s="423">
        <f>'CAT SUM'!D13</f>
        <v>96866.39199999999</v>
      </c>
      <c r="E15" s="423">
        <f t="shared" si="0"/>
        <v>188066.392</v>
      </c>
      <c r="F15" s="424">
        <f t="shared" si="1"/>
        <v>0.11062729479826196</v>
      </c>
    </row>
    <row r="16" spans="2:6" ht="13.5" thickBot="1">
      <c r="B16" s="419" t="s">
        <v>679</v>
      </c>
      <c r="C16" s="420">
        <f>'CAT SUM'!C14</f>
        <v>65728.59230769228</v>
      </c>
      <c r="D16" s="423">
        <f>'CAT SUM'!D14</f>
        <v>14121.728</v>
      </c>
      <c r="E16" s="423">
        <f t="shared" si="0"/>
        <v>79850.32030769228</v>
      </c>
      <c r="F16" s="424">
        <f t="shared" si="1"/>
        <v>0.04697077893861396</v>
      </c>
    </row>
    <row r="17" spans="2:6" ht="13.5" thickBot="1">
      <c r="B17" s="425" t="s">
        <v>680</v>
      </c>
      <c r="C17" s="420">
        <f>SUM(C10:C16)</f>
        <v>934579.4669846789</v>
      </c>
      <c r="D17" s="423">
        <f>SUM(D10:D16)</f>
        <v>654205.5303005</v>
      </c>
      <c r="E17" s="423">
        <f t="shared" si="0"/>
        <v>1588784.9972851789</v>
      </c>
      <c r="F17" s="424">
        <f t="shared" si="1"/>
        <v>0.9345794556728845</v>
      </c>
    </row>
    <row r="18" spans="2:6" ht="13.5" thickBot="1">
      <c r="B18" s="419" t="s">
        <v>681</v>
      </c>
      <c r="C18" s="420">
        <f>'CAT SUM'!C16</f>
        <v>65420.53281995197</v>
      </c>
      <c r="D18" s="423">
        <f>'CAT SUM'!D16</f>
        <v>45794.387121035004</v>
      </c>
      <c r="E18" s="423">
        <f t="shared" si="0"/>
        <v>111214.91994098698</v>
      </c>
      <c r="F18" s="424">
        <f t="shared" si="1"/>
        <v>0.06542054432711544</v>
      </c>
    </row>
    <row r="19" spans="2:6" ht="12.75">
      <c r="B19" s="426" t="s">
        <v>682</v>
      </c>
      <c r="C19" s="427">
        <f>C17+C18</f>
        <v>999999.9998046309</v>
      </c>
      <c r="D19" s="428">
        <f>D17+D18</f>
        <v>699999.917421535</v>
      </c>
      <c r="E19" s="428">
        <f t="shared" si="0"/>
        <v>1699999.917226166</v>
      </c>
      <c r="F19" s="429">
        <f t="shared" si="1"/>
        <v>1</v>
      </c>
    </row>
    <row r="20" spans="2:6" ht="12.75">
      <c r="B20" s="426" t="s">
        <v>683</v>
      </c>
      <c r="C20" s="427">
        <f>C19*8%</f>
        <v>79999.99998437047</v>
      </c>
      <c r="D20" s="428">
        <f>D19*8%</f>
        <v>55999.993393722805</v>
      </c>
      <c r="E20" s="428">
        <f t="shared" si="0"/>
        <v>135999.9933780933</v>
      </c>
      <c r="F20" s="430"/>
    </row>
    <row r="21" spans="2:6" ht="13.5" thickBot="1">
      <c r="B21" s="425" t="s">
        <v>684</v>
      </c>
      <c r="C21" s="431">
        <f>C19+C20</f>
        <v>1079999.9997890014</v>
      </c>
      <c r="D21" s="432">
        <f>D19+D20</f>
        <v>755999.9108152578</v>
      </c>
      <c r="E21" s="432">
        <f t="shared" si="0"/>
        <v>1835999.9106042592</v>
      </c>
      <c r="F21" s="43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P46"/>
  <sheetViews>
    <sheetView zoomScalePageLayoutView="0" workbookViewId="0" topLeftCell="A3">
      <selection activeCell="C10" sqref="C10:C21"/>
    </sheetView>
  </sheetViews>
  <sheetFormatPr defaultColWidth="10.8515625" defaultRowHeight="15"/>
  <cols>
    <col min="1" max="1" width="8.7109375" style="414" customWidth="1"/>
    <col min="2" max="2" width="40.7109375" style="414" customWidth="1"/>
    <col min="3" max="3" width="17.7109375" style="414" customWidth="1"/>
    <col min="4" max="4" width="16.421875" style="414" customWidth="1"/>
    <col min="5" max="5" width="14.28125" style="414" customWidth="1"/>
    <col min="6" max="6" width="12.57421875" style="414" customWidth="1"/>
    <col min="7" max="16384" width="10.8515625" style="414" customWidth="1"/>
  </cols>
  <sheetData>
    <row r="1" spans="2:6" ht="15">
      <c r="B1" s="434"/>
      <c r="C1" s="435" t="s">
        <v>90</v>
      </c>
      <c r="D1" s="434"/>
      <c r="E1" s="434"/>
      <c r="F1" s="434"/>
    </row>
    <row r="2" spans="2:6" ht="14.25">
      <c r="B2" s="436" t="s">
        <v>690</v>
      </c>
      <c r="C2" s="434" t="s">
        <v>709</v>
      </c>
      <c r="D2" s="434"/>
      <c r="E2" s="434"/>
      <c r="F2" s="434"/>
    </row>
    <row r="3" spans="2:6" ht="14.25">
      <c r="B3" s="436" t="s">
        <v>691</v>
      </c>
      <c r="C3" s="434" t="s">
        <v>1</v>
      </c>
      <c r="D3" s="434"/>
      <c r="E3" s="434"/>
      <c r="F3" s="434"/>
    </row>
    <row r="4" spans="2:6" ht="14.25">
      <c r="B4" s="436" t="s">
        <v>692</v>
      </c>
      <c r="C4" s="434" t="s">
        <v>710</v>
      </c>
      <c r="D4" s="434"/>
      <c r="E4" s="434"/>
      <c r="F4" s="434"/>
    </row>
    <row r="5" spans="2:6" ht="14.25">
      <c r="B5" s="436" t="s">
        <v>94</v>
      </c>
      <c r="C5" s="437">
        <v>1700000</v>
      </c>
      <c r="D5" s="434"/>
      <c r="E5" s="434"/>
      <c r="F5" s="434"/>
    </row>
    <row r="6" spans="2:6" ht="14.25">
      <c r="B6" s="436" t="s">
        <v>693</v>
      </c>
      <c r="C6" s="438">
        <f>C5*8%</f>
        <v>136000</v>
      </c>
      <c r="D6" s="434"/>
      <c r="E6" s="434"/>
      <c r="F6" s="434"/>
    </row>
    <row r="7" spans="2:6" ht="14.25">
      <c r="B7" s="436" t="s">
        <v>694</v>
      </c>
      <c r="C7" s="438">
        <f>C5+C6</f>
        <v>1836000</v>
      </c>
      <c r="D7" s="434"/>
      <c r="E7" s="434"/>
      <c r="F7" s="434"/>
    </row>
    <row r="9" spans="2:6" ht="14.25">
      <c r="B9" s="439" t="s">
        <v>95</v>
      </c>
      <c r="C9" s="439" t="s">
        <v>96</v>
      </c>
      <c r="D9" s="439" t="s">
        <v>97</v>
      </c>
      <c r="E9" s="439" t="s">
        <v>98</v>
      </c>
      <c r="F9" s="440" t="s">
        <v>99</v>
      </c>
    </row>
    <row r="10" spans="2:6" ht="14.25">
      <c r="B10" s="441" t="s">
        <v>33</v>
      </c>
      <c r="C10" s="795">
        <v>146604.06</v>
      </c>
      <c r="D10" s="790">
        <f>PRODOC!E10-'UNDP SUMARY'!C10</f>
        <v>188251.32497748663</v>
      </c>
      <c r="E10" s="785">
        <f>D10+C10</f>
        <v>334855.3849774866</v>
      </c>
      <c r="F10" s="660">
        <f>E10/$E$19</f>
        <v>0.19697376545985906</v>
      </c>
    </row>
    <row r="11" spans="2:6" ht="14.25">
      <c r="B11" s="442" t="s">
        <v>36</v>
      </c>
      <c r="C11" s="795">
        <v>404845.51999999996</v>
      </c>
      <c r="D11" s="790">
        <f>PRODOC!E11-'UNDP SUMARY'!C11</f>
        <v>537315.6300000001</v>
      </c>
      <c r="E11" s="785">
        <f aca="true" t="shared" si="0" ref="E11:E16">D11+C11</f>
        <v>942161.1500000001</v>
      </c>
      <c r="F11" s="660">
        <f aca="true" t="shared" si="1" ref="F11:F19">E11/$E$19</f>
        <v>0.5542124681613476</v>
      </c>
    </row>
    <row r="12" spans="2:6" ht="14.25">
      <c r="B12" s="442" t="s">
        <v>131</v>
      </c>
      <c r="C12" s="795">
        <v>95</v>
      </c>
      <c r="D12" s="790">
        <f>PRODOC!E12-'UNDP SUMARY'!C12</f>
        <v>1200</v>
      </c>
      <c r="E12" s="785">
        <f t="shared" si="0"/>
        <v>1295</v>
      </c>
      <c r="F12" s="660">
        <f t="shared" si="1"/>
        <v>0.000761764742973052</v>
      </c>
    </row>
    <row r="13" spans="2:6" ht="14.25">
      <c r="B13" s="442" t="s">
        <v>44</v>
      </c>
      <c r="C13" s="795">
        <v>0</v>
      </c>
      <c r="D13" s="790">
        <f>PRODOC!E13-'UNDP SUMARY'!C13</f>
        <v>20000</v>
      </c>
      <c r="E13" s="785">
        <f t="shared" si="0"/>
        <v>20000</v>
      </c>
      <c r="F13" s="660">
        <f t="shared" si="1"/>
        <v>0.01176470645518227</v>
      </c>
    </row>
    <row r="14" spans="2:6" ht="14.25">
      <c r="B14" s="443" t="s">
        <v>47</v>
      </c>
      <c r="C14" s="795">
        <v>7948.459999999999</v>
      </c>
      <c r="D14" s="790">
        <f>PRODOC!E14-'UNDP SUMARY'!C14</f>
        <v>14608.29</v>
      </c>
      <c r="E14" s="785">
        <f t="shared" si="0"/>
        <v>22556.75</v>
      </c>
      <c r="F14" s="660">
        <f t="shared" si="1"/>
        <v>0.013268677116646633</v>
      </c>
    </row>
    <row r="15" spans="2:6" ht="14.25">
      <c r="B15" s="443" t="s">
        <v>54</v>
      </c>
      <c r="C15" s="795">
        <v>61649.75</v>
      </c>
      <c r="D15" s="790">
        <f>PRODOC!E15-'UNDP SUMARY'!C15</f>
        <v>126416.64199999999</v>
      </c>
      <c r="E15" s="785">
        <f t="shared" si="0"/>
        <v>188066.392</v>
      </c>
      <c r="F15" s="660">
        <f t="shared" si="1"/>
        <v>0.11062729479826196</v>
      </c>
    </row>
    <row r="16" spans="2:6" ht="26.25">
      <c r="B16" s="443" t="s">
        <v>58</v>
      </c>
      <c r="C16" s="795">
        <v>44279.86000000001</v>
      </c>
      <c r="D16" s="790">
        <f>PRODOC!E16-'UNDP SUMARY'!C16</f>
        <v>35570.46030769227</v>
      </c>
      <c r="E16" s="785">
        <f t="shared" si="0"/>
        <v>79850.32030769228</v>
      </c>
      <c r="F16" s="660">
        <f t="shared" si="1"/>
        <v>0.04697077893861396</v>
      </c>
    </row>
    <row r="17" spans="2:8" ht="14.25">
      <c r="B17" s="444" t="s">
        <v>100</v>
      </c>
      <c r="C17" s="795">
        <f>SUM(C10:C16)</f>
        <v>665422.6499999999</v>
      </c>
      <c r="D17" s="791">
        <f>SUM(D10:D16)</f>
        <v>923362.3472851791</v>
      </c>
      <c r="E17" s="786">
        <f>SUM(E10:E16)</f>
        <v>1588784.997285179</v>
      </c>
      <c r="F17" s="660">
        <f t="shared" si="1"/>
        <v>0.9345794556728846</v>
      </c>
      <c r="G17" s="434"/>
      <c r="H17" s="434"/>
    </row>
    <row r="18" spans="2:8" ht="14.25">
      <c r="B18" s="445" t="s">
        <v>695</v>
      </c>
      <c r="C18" s="796">
        <v>46276.49</v>
      </c>
      <c r="D18" s="790">
        <f>PRODOC!E18-'UNDP SUMARY'!C18</f>
        <v>64938.42994098698</v>
      </c>
      <c r="E18" s="785">
        <f>C18+D18</f>
        <v>111214.91994098698</v>
      </c>
      <c r="F18" s="660">
        <f t="shared" si="1"/>
        <v>0.06542054432711544</v>
      </c>
      <c r="G18" s="434"/>
      <c r="H18" s="434"/>
    </row>
    <row r="19" spans="2:8" ht="14.25">
      <c r="B19" s="446" t="s">
        <v>696</v>
      </c>
      <c r="C19" s="797">
        <f>C17+C18</f>
        <v>711699.1399999999</v>
      </c>
      <c r="D19" s="792">
        <f>D17+D18</f>
        <v>988300.7772261661</v>
      </c>
      <c r="E19" s="787">
        <f>E17+E18</f>
        <v>1699999.917226166</v>
      </c>
      <c r="F19" s="660">
        <f t="shared" si="1"/>
        <v>1</v>
      </c>
      <c r="G19" s="434"/>
      <c r="H19" s="434"/>
    </row>
    <row r="20" spans="2:8" ht="14.25">
      <c r="B20" s="447" t="s">
        <v>697</v>
      </c>
      <c r="C20" s="798">
        <f>C19*8%</f>
        <v>56935.93119999999</v>
      </c>
      <c r="D20" s="793">
        <f>D19*8%</f>
        <v>79064.06217809329</v>
      </c>
      <c r="E20" s="788">
        <f>E19*8%</f>
        <v>135999.9933780933</v>
      </c>
      <c r="F20" s="661"/>
      <c r="G20" s="434"/>
      <c r="H20" s="434"/>
    </row>
    <row r="21" spans="2:8" ht="14.25">
      <c r="B21" s="448" t="s">
        <v>102</v>
      </c>
      <c r="C21" s="799">
        <f>C20+C19</f>
        <v>768635.0711999999</v>
      </c>
      <c r="D21" s="794">
        <f>D20+D19</f>
        <v>1067364.8394042593</v>
      </c>
      <c r="E21" s="789">
        <f>E20+E19</f>
        <v>1835999.9106042592</v>
      </c>
      <c r="F21" s="662"/>
      <c r="G21" s="434"/>
      <c r="H21" s="434"/>
    </row>
    <row r="23" spans="2:8" ht="14.25">
      <c r="B23" s="434" t="s">
        <v>698</v>
      </c>
      <c r="C23" s="434"/>
      <c r="D23" s="434"/>
      <c r="E23" s="434"/>
      <c r="F23" s="434"/>
      <c r="G23" s="434"/>
      <c r="H23" s="434"/>
    </row>
    <row r="24" spans="2:8" ht="14.25">
      <c r="B24" s="825"/>
      <c r="C24" s="825"/>
      <c r="D24" s="825"/>
      <c r="E24" s="825"/>
      <c r="F24" s="434"/>
      <c r="G24" s="434"/>
      <c r="H24" s="434"/>
    </row>
    <row r="27" spans="2:8" ht="14.25">
      <c r="B27" s="449" t="s">
        <v>699</v>
      </c>
      <c r="C27" s="450" t="s">
        <v>130</v>
      </c>
      <c r="D27" s="450" t="s">
        <v>130</v>
      </c>
      <c r="E27" s="450" t="s">
        <v>130</v>
      </c>
      <c r="F27" s="450" t="s">
        <v>130</v>
      </c>
      <c r="G27" s="450" t="s">
        <v>130</v>
      </c>
      <c r="H27" s="450" t="s">
        <v>142</v>
      </c>
    </row>
    <row r="28" spans="2:8" ht="14.25">
      <c r="B28" s="451" t="s">
        <v>700</v>
      </c>
      <c r="C28" s="452">
        <f>E17</f>
        <v>1588784.997285179</v>
      </c>
      <c r="D28" s="452">
        <v>0</v>
      </c>
      <c r="E28" s="452">
        <v>0</v>
      </c>
      <c r="F28" s="452">
        <v>0</v>
      </c>
      <c r="G28" s="452">
        <v>0</v>
      </c>
      <c r="H28" s="453">
        <v>0</v>
      </c>
    </row>
    <row r="29" spans="2:8" ht="14.25">
      <c r="B29" s="454" t="s">
        <v>701</v>
      </c>
      <c r="C29" s="455">
        <f>E18</f>
        <v>111214.91994098698</v>
      </c>
      <c r="D29" s="455">
        <v>0</v>
      </c>
      <c r="E29" s="455">
        <v>0</v>
      </c>
      <c r="F29" s="455">
        <v>0</v>
      </c>
      <c r="G29" s="455">
        <v>0</v>
      </c>
      <c r="H29" s="455">
        <v>0</v>
      </c>
    </row>
    <row r="30" spans="2:8" ht="14.25">
      <c r="B30" s="456" t="s">
        <v>702</v>
      </c>
      <c r="C30" s="457">
        <f>E19</f>
        <v>1699999.917226166</v>
      </c>
      <c r="D30" s="457">
        <v>0</v>
      </c>
      <c r="E30" s="457">
        <v>0</v>
      </c>
      <c r="F30" s="457">
        <v>0</v>
      </c>
      <c r="G30" s="457">
        <v>0</v>
      </c>
      <c r="H30" s="458">
        <v>0</v>
      </c>
    </row>
    <row r="31" spans="2:8" ht="14.25">
      <c r="B31" s="459" t="s">
        <v>703</v>
      </c>
      <c r="C31" s="460">
        <f>E19*7%</f>
        <v>118999.99420583164</v>
      </c>
      <c r="D31" s="460">
        <v>0</v>
      </c>
      <c r="E31" s="460">
        <v>0</v>
      </c>
      <c r="F31" s="460">
        <v>0</v>
      </c>
      <c r="G31" s="460">
        <v>0</v>
      </c>
      <c r="H31" s="460">
        <v>0</v>
      </c>
    </row>
    <row r="32" spans="2:8" ht="14.25">
      <c r="B32" s="459" t="s">
        <v>704</v>
      </c>
      <c r="C32" s="460">
        <f>C30*1%</f>
        <v>16999.99917226166</v>
      </c>
      <c r="D32" s="460">
        <v>0</v>
      </c>
      <c r="E32" s="460">
        <v>0</v>
      </c>
      <c r="F32" s="460">
        <v>0</v>
      </c>
      <c r="G32" s="460">
        <v>0</v>
      </c>
      <c r="H32" s="460">
        <v>0</v>
      </c>
    </row>
    <row r="33" spans="2:16" ht="14.25">
      <c r="B33" s="459" t="s">
        <v>98</v>
      </c>
      <c r="C33" s="460">
        <f>C32+C31+C30</f>
        <v>1835999.9106042592</v>
      </c>
      <c r="D33" s="460">
        <v>0</v>
      </c>
      <c r="E33" s="460">
        <v>0</v>
      </c>
      <c r="F33" s="460">
        <v>0</v>
      </c>
      <c r="G33" s="460">
        <v>0</v>
      </c>
      <c r="H33" s="461">
        <v>0</v>
      </c>
      <c r="I33" s="434"/>
      <c r="J33" s="434"/>
      <c r="K33" s="434"/>
      <c r="L33" s="434"/>
      <c r="M33" s="434"/>
      <c r="N33" s="434"/>
      <c r="O33" s="434"/>
      <c r="P33" s="434"/>
    </row>
    <row r="36" spans="2:16" ht="14.25">
      <c r="B36" s="449" t="s">
        <v>705</v>
      </c>
      <c r="C36" s="449" t="s">
        <v>130</v>
      </c>
      <c r="D36" s="449" t="s">
        <v>130</v>
      </c>
      <c r="E36" s="462" t="s">
        <v>130</v>
      </c>
      <c r="F36" s="434"/>
      <c r="G36" s="434"/>
      <c r="H36" s="434"/>
      <c r="I36" s="434"/>
      <c r="J36" s="434"/>
      <c r="K36" s="434"/>
      <c r="L36" s="434"/>
      <c r="M36" s="434"/>
      <c r="N36" s="434"/>
      <c r="O36" s="434"/>
      <c r="P36" s="434"/>
    </row>
    <row r="37" spans="2:16" ht="14.25">
      <c r="B37" s="451" t="s">
        <v>706</v>
      </c>
      <c r="C37" s="463">
        <f>C28</f>
        <v>1588784.997285179</v>
      </c>
      <c r="D37" s="463"/>
      <c r="E37" s="463">
        <v>0</v>
      </c>
      <c r="F37" s="434"/>
      <c r="G37" s="434"/>
      <c r="H37" s="434"/>
      <c r="I37" s="434"/>
      <c r="J37" s="434"/>
      <c r="K37" s="434"/>
      <c r="L37" s="434"/>
      <c r="M37" s="434"/>
      <c r="N37" s="434"/>
      <c r="O37" s="434"/>
      <c r="P37" s="434"/>
    </row>
    <row r="38" spans="2:16" ht="14.25">
      <c r="B38" s="454" t="s">
        <v>707</v>
      </c>
      <c r="C38" s="464">
        <f>C29</f>
        <v>111214.91994098698</v>
      </c>
      <c r="D38" s="464"/>
      <c r="E38" s="464">
        <v>0</v>
      </c>
      <c r="F38" s="434"/>
      <c r="G38" s="434"/>
      <c r="H38" s="434"/>
      <c r="I38" s="434"/>
      <c r="J38" s="434"/>
      <c r="K38" s="434"/>
      <c r="L38" s="434"/>
      <c r="M38" s="434"/>
      <c r="N38" s="434"/>
      <c r="O38" s="434"/>
      <c r="P38" s="434"/>
    </row>
    <row r="39" spans="2:16" ht="14.25">
      <c r="B39" s="456" t="s">
        <v>708</v>
      </c>
      <c r="C39" s="465">
        <f>C37+C38</f>
        <v>1699999.917226166</v>
      </c>
      <c r="D39" s="465">
        <v>0</v>
      </c>
      <c r="E39" s="465">
        <v>0</v>
      </c>
      <c r="F39" s="434"/>
      <c r="G39" s="434"/>
      <c r="H39" s="434"/>
      <c r="I39" s="434"/>
      <c r="J39" s="434"/>
      <c r="K39" s="434"/>
      <c r="L39" s="434"/>
      <c r="M39" s="434"/>
      <c r="N39" s="434"/>
      <c r="O39" s="434"/>
      <c r="P39" s="434"/>
    </row>
    <row r="42" spans="2:16" ht="14.25">
      <c r="B42" s="466" t="s">
        <v>129</v>
      </c>
      <c r="C42" s="467" t="s">
        <v>130</v>
      </c>
      <c r="D42" s="467" t="s">
        <v>630</v>
      </c>
      <c r="E42" s="467" t="s">
        <v>130</v>
      </c>
      <c r="F42" s="467" t="s">
        <v>630</v>
      </c>
      <c r="G42" s="467" t="s">
        <v>130</v>
      </c>
      <c r="H42" s="467" t="s">
        <v>630</v>
      </c>
      <c r="I42" s="467" t="s">
        <v>130</v>
      </c>
      <c r="J42" s="467" t="s">
        <v>630</v>
      </c>
      <c r="K42" s="467" t="s">
        <v>130</v>
      </c>
      <c r="L42" s="467" t="s">
        <v>630</v>
      </c>
      <c r="M42" s="467" t="s">
        <v>130</v>
      </c>
      <c r="N42" s="467" t="s">
        <v>630</v>
      </c>
      <c r="O42" s="467" t="s">
        <v>130</v>
      </c>
      <c r="P42" s="468" t="s">
        <v>630</v>
      </c>
    </row>
    <row r="43" spans="2:16" ht="27">
      <c r="B43" s="443" t="s">
        <v>711</v>
      </c>
      <c r="C43" s="469">
        <f>E11+E13+E15</f>
        <v>1150227.5420000001</v>
      </c>
      <c r="D43" s="470">
        <f>C43/C46</f>
        <v>0.6766044694147919</v>
      </c>
      <c r="E43" s="469"/>
      <c r="F43" s="470"/>
      <c r="G43" s="469"/>
      <c r="H43" s="470"/>
      <c r="I43" s="469"/>
      <c r="J43" s="470"/>
      <c r="K43" s="469"/>
      <c r="L43" s="470"/>
      <c r="M43" s="469"/>
      <c r="N43" s="471"/>
      <c r="O43" s="469"/>
      <c r="P43" s="470"/>
    </row>
    <row r="44" spans="2:16" ht="43.5">
      <c r="B44" s="443" t="s">
        <v>712</v>
      </c>
      <c r="C44" s="472">
        <f>E10+E12+E14+E16</f>
        <v>438557.4552851789</v>
      </c>
      <c r="D44" s="470">
        <f>C44/C46</f>
        <v>0.2579749862580927</v>
      </c>
      <c r="E44" s="469"/>
      <c r="F44" s="470"/>
      <c r="G44" s="469"/>
      <c r="H44" s="470"/>
      <c r="I44" s="469"/>
      <c r="J44" s="470"/>
      <c r="K44" s="469"/>
      <c r="L44" s="470"/>
      <c r="M44" s="469"/>
      <c r="N44" s="471"/>
      <c r="O44" s="469"/>
      <c r="P44" s="470"/>
    </row>
    <row r="45" spans="2:16" ht="14.25">
      <c r="B45" s="443" t="s">
        <v>716</v>
      </c>
      <c r="C45" s="472">
        <f>E18</f>
        <v>111214.91994098698</v>
      </c>
      <c r="D45" s="470">
        <f>C45/C46</f>
        <v>0.06542054432711544</v>
      </c>
      <c r="E45" s="469"/>
      <c r="F45" s="470"/>
      <c r="G45" s="469"/>
      <c r="H45" s="470"/>
      <c r="I45" s="469"/>
      <c r="J45" s="470"/>
      <c r="K45" s="469"/>
      <c r="L45" s="470"/>
      <c r="M45" s="469"/>
      <c r="N45" s="470"/>
      <c r="O45" s="469"/>
      <c r="P45" s="470"/>
    </row>
    <row r="46" spans="2:16" ht="14.25">
      <c r="B46" s="473" t="s">
        <v>98</v>
      </c>
      <c r="C46" s="474">
        <f>C45+C44+C43</f>
        <v>1699999.917226166</v>
      </c>
      <c r="D46" s="475">
        <f>SUM(D43:D45)</f>
        <v>1</v>
      </c>
      <c r="E46" s="474"/>
      <c r="F46" s="476"/>
      <c r="G46" s="477"/>
      <c r="H46" s="476"/>
      <c r="I46" s="478"/>
      <c r="J46" s="476"/>
      <c r="K46" s="478"/>
      <c r="L46" s="479"/>
      <c r="M46" s="474"/>
      <c r="N46" s="476"/>
      <c r="O46" s="478"/>
      <c r="P46" s="475"/>
    </row>
  </sheetData>
  <sheetProtection/>
  <mergeCells count="1">
    <mergeCell ref="B24:E2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Q113"/>
  <sheetViews>
    <sheetView zoomScalePageLayoutView="0" workbookViewId="0" topLeftCell="A94">
      <selection activeCell="B91" sqref="B91"/>
    </sheetView>
  </sheetViews>
  <sheetFormatPr defaultColWidth="11.421875" defaultRowHeight="15"/>
  <cols>
    <col min="1" max="1" width="11.421875" style="0" customWidth="1"/>
    <col min="2" max="2" width="47.00390625" style="0" customWidth="1"/>
    <col min="3" max="3" width="21.421875" style="0" customWidth="1"/>
    <col min="4" max="4" width="18.421875" style="0" customWidth="1"/>
    <col min="5" max="5" width="13.57421875" style="0" bestFit="1" customWidth="1"/>
    <col min="6" max="6" width="10.8515625" style="0" bestFit="1" customWidth="1"/>
    <col min="7" max="7" width="18.140625" style="109" bestFit="1" customWidth="1"/>
    <col min="8" max="8" width="1.8515625" style="152" customWidth="1"/>
    <col min="9" max="9" width="16.421875" style="109" hidden="1" customWidth="1"/>
    <col min="10" max="14" width="10.57421875" style="109" hidden="1" customWidth="1"/>
  </cols>
  <sheetData>
    <row r="2" ht="14.25">
      <c r="B2" s="203" t="s">
        <v>438</v>
      </c>
    </row>
    <row r="3" ht="14.25">
      <c r="B3" t="s">
        <v>134</v>
      </c>
    </row>
    <row r="4" ht="15" thickBot="1">
      <c r="B4" s="204" t="s">
        <v>135</v>
      </c>
    </row>
    <row r="5" spans="1:14" ht="14.25">
      <c r="A5" s="112" t="s">
        <v>11</v>
      </c>
      <c r="B5" s="112" t="s">
        <v>136</v>
      </c>
      <c r="C5" s="112" t="s">
        <v>137</v>
      </c>
      <c r="D5" s="112" t="s">
        <v>4</v>
      </c>
      <c r="E5" s="112" t="s">
        <v>138</v>
      </c>
      <c r="F5" s="112" t="s">
        <v>139</v>
      </c>
      <c r="G5" s="114" t="s">
        <v>21</v>
      </c>
      <c r="H5" s="115"/>
      <c r="I5" s="826" t="s">
        <v>140</v>
      </c>
      <c r="J5" s="827"/>
      <c r="K5" s="827"/>
      <c r="L5" s="827"/>
      <c r="M5" s="827"/>
      <c r="N5" s="828"/>
    </row>
    <row r="6" spans="1:14" ht="14.25">
      <c r="A6" s="112"/>
      <c r="B6" s="112"/>
      <c r="C6" s="112"/>
      <c r="D6" s="112"/>
      <c r="E6" s="112"/>
      <c r="F6" s="112"/>
      <c r="G6" s="114"/>
      <c r="H6" s="116"/>
      <c r="I6" s="117"/>
      <c r="J6" s="118"/>
      <c r="K6" s="118"/>
      <c r="L6" s="118"/>
      <c r="M6" s="118"/>
      <c r="N6" s="119"/>
    </row>
    <row r="7" spans="1:14" ht="14.25">
      <c r="A7" s="120"/>
      <c r="B7" s="120" t="s">
        <v>141</v>
      </c>
      <c r="C7" s="120"/>
      <c r="D7" s="120"/>
      <c r="E7" s="120"/>
      <c r="F7" s="120"/>
      <c r="G7" s="122"/>
      <c r="H7" s="123"/>
      <c r="I7" s="124">
        <v>44013</v>
      </c>
      <c r="J7" s="125">
        <v>44044</v>
      </c>
      <c r="K7" s="125">
        <v>44075</v>
      </c>
      <c r="L7" s="125">
        <v>44105</v>
      </c>
      <c r="M7" s="125">
        <v>44136</v>
      </c>
      <c r="N7" s="125">
        <v>44166</v>
      </c>
    </row>
    <row r="8" spans="1:16" ht="14.25">
      <c r="A8" s="126"/>
      <c r="B8" s="829" t="s">
        <v>123</v>
      </c>
      <c r="C8" s="829"/>
      <c r="D8" s="829"/>
      <c r="E8" s="829"/>
      <c r="F8" s="829"/>
      <c r="G8" s="829"/>
      <c r="H8" s="829"/>
      <c r="I8" s="829"/>
      <c r="J8" s="829"/>
      <c r="K8" s="829"/>
      <c r="L8" s="829"/>
      <c r="M8" s="829"/>
      <c r="N8" s="829"/>
      <c r="O8" s="829"/>
      <c r="P8" s="829"/>
    </row>
    <row r="9" spans="1:17" ht="33" customHeight="1">
      <c r="A9" s="143"/>
      <c r="B9" s="830" t="s">
        <v>120</v>
      </c>
      <c r="C9" s="831"/>
      <c r="D9" s="831"/>
      <c r="E9" s="831"/>
      <c r="F9" s="831"/>
      <c r="G9" s="831"/>
      <c r="H9" s="831"/>
      <c r="I9" s="831"/>
      <c r="J9" s="831"/>
      <c r="K9" s="831"/>
      <c r="L9" s="831"/>
      <c r="M9" s="831"/>
      <c r="N9" s="831"/>
      <c r="O9" s="831"/>
      <c r="P9" s="831"/>
      <c r="Q9" s="831"/>
    </row>
    <row r="10" spans="1:14" ht="61.5">
      <c r="A10" s="143"/>
      <c r="B10" s="243" t="s">
        <v>122</v>
      </c>
      <c r="C10" s="244"/>
      <c r="D10" s="244"/>
      <c r="E10" s="244"/>
      <c r="F10" s="244"/>
      <c r="G10" s="245"/>
      <c r="H10" s="246"/>
      <c r="I10" s="247"/>
      <c r="J10" s="248"/>
      <c r="K10" s="248">
        <f>G10</f>
        <v>0</v>
      </c>
      <c r="L10" s="248"/>
      <c r="M10" s="248"/>
      <c r="N10" s="248"/>
    </row>
    <row r="11" spans="1:14" ht="51.75" customHeight="1">
      <c r="A11" s="143"/>
      <c r="B11" s="249" t="s">
        <v>439</v>
      </c>
      <c r="C11" s="244"/>
      <c r="D11" s="244"/>
      <c r="E11" s="244"/>
      <c r="F11" s="244"/>
      <c r="G11" s="245"/>
      <c r="H11" s="246"/>
      <c r="I11" s="247"/>
      <c r="J11" s="248"/>
      <c r="K11" s="248"/>
      <c r="L11" s="248"/>
      <c r="M11" s="248"/>
      <c r="N11" s="248"/>
    </row>
    <row r="12" spans="1:14" ht="21" customHeight="1">
      <c r="A12" s="143"/>
      <c r="B12" s="250"/>
      <c r="C12" s="251" t="s">
        <v>440</v>
      </c>
      <c r="D12" s="244">
        <v>4</v>
      </c>
      <c r="E12" s="244">
        <v>30</v>
      </c>
      <c r="F12" s="244">
        <v>3</v>
      </c>
      <c r="G12" s="245">
        <f>D12*E12*F12</f>
        <v>360</v>
      </c>
      <c r="H12" s="246"/>
      <c r="I12" s="247"/>
      <c r="J12" s="248"/>
      <c r="K12" s="248"/>
      <c r="L12" s="248"/>
      <c r="M12" s="248"/>
      <c r="N12" s="248"/>
    </row>
    <row r="13" spans="1:14" ht="15">
      <c r="A13" s="143"/>
      <c r="B13" s="250"/>
      <c r="C13" s="251" t="s">
        <v>441</v>
      </c>
      <c r="D13" s="244">
        <v>4</v>
      </c>
      <c r="E13" s="244">
        <v>20</v>
      </c>
      <c r="F13" s="244">
        <v>3</v>
      </c>
      <c r="G13" s="245">
        <f>D13*E13*F13</f>
        <v>240</v>
      </c>
      <c r="H13" s="246"/>
      <c r="I13" s="247"/>
      <c r="J13" s="248"/>
      <c r="K13" s="248"/>
      <c r="L13" s="248"/>
      <c r="M13" s="248"/>
      <c r="N13" s="248"/>
    </row>
    <row r="14" spans="1:14" ht="30.75">
      <c r="A14" s="143"/>
      <c r="B14" s="250"/>
      <c r="C14" s="251" t="s">
        <v>442</v>
      </c>
      <c r="D14" s="244">
        <v>1</v>
      </c>
      <c r="E14" s="244">
        <v>150</v>
      </c>
      <c r="F14" s="244">
        <v>3</v>
      </c>
      <c r="G14" s="245">
        <f>D14*E14*F14</f>
        <v>450</v>
      </c>
      <c r="H14" s="246"/>
      <c r="I14" s="247"/>
      <c r="J14" s="248"/>
      <c r="K14" s="248"/>
      <c r="L14" s="248"/>
      <c r="M14" s="248"/>
      <c r="N14" s="248"/>
    </row>
    <row r="15" spans="1:14" ht="46.5">
      <c r="A15" s="143"/>
      <c r="B15" s="250"/>
      <c r="C15" s="251" t="s">
        <v>443</v>
      </c>
      <c r="D15" s="244">
        <v>60</v>
      </c>
      <c r="E15" s="244">
        <v>20</v>
      </c>
      <c r="F15" s="244">
        <v>2</v>
      </c>
      <c r="G15" s="245">
        <f>D15*E15*F15</f>
        <v>2400</v>
      </c>
      <c r="H15" s="246"/>
      <c r="I15" s="247"/>
      <c r="J15" s="248"/>
      <c r="K15" s="248"/>
      <c r="L15" s="248"/>
      <c r="M15" s="248"/>
      <c r="N15" s="248"/>
    </row>
    <row r="16" spans="1:14" ht="15">
      <c r="A16" s="143"/>
      <c r="B16" s="250"/>
      <c r="C16" s="244" t="s">
        <v>444</v>
      </c>
      <c r="D16" s="244">
        <v>6</v>
      </c>
      <c r="E16" s="244">
        <v>50</v>
      </c>
      <c r="F16" s="244">
        <v>3</v>
      </c>
      <c r="G16" s="245">
        <f>D16*E16*F16</f>
        <v>900</v>
      </c>
      <c r="H16" s="246"/>
      <c r="I16" s="247"/>
      <c r="J16" s="248"/>
      <c r="K16" s="248"/>
      <c r="L16" s="248"/>
      <c r="M16" s="248"/>
      <c r="N16" s="248"/>
    </row>
    <row r="17" spans="1:14" ht="15">
      <c r="A17" s="252"/>
      <c r="B17" s="253" t="s">
        <v>406</v>
      </c>
      <c r="C17" s="254"/>
      <c r="D17" s="254"/>
      <c r="E17" s="254"/>
      <c r="F17" s="254"/>
      <c r="G17" s="255">
        <f>SUM(G12:G16)</f>
        <v>4350</v>
      </c>
      <c r="H17" s="246"/>
      <c r="I17" s="247"/>
      <c r="J17" s="248"/>
      <c r="K17" s="248"/>
      <c r="L17" s="248"/>
      <c r="M17" s="248"/>
      <c r="N17" s="248"/>
    </row>
    <row r="18" spans="1:14" ht="61.5">
      <c r="A18" s="143"/>
      <c r="B18" s="243" t="s">
        <v>445</v>
      </c>
      <c r="C18" s="244"/>
      <c r="D18" s="244"/>
      <c r="E18" s="244"/>
      <c r="F18" s="244"/>
      <c r="G18" s="245"/>
      <c r="H18" s="246"/>
      <c r="I18" s="247"/>
      <c r="J18" s="248"/>
      <c r="K18" s="248"/>
      <c r="L18" s="248"/>
      <c r="M18" s="248"/>
      <c r="N18" s="248"/>
    </row>
    <row r="19" spans="1:14" ht="30.75">
      <c r="A19" s="143"/>
      <c r="B19" s="249" t="s">
        <v>448</v>
      </c>
      <c r="C19" s="244"/>
      <c r="D19" s="244"/>
      <c r="E19" s="244"/>
      <c r="F19" s="244"/>
      <c r="G19" s="245"/>
      <c r="H19" s="246"/>
      <c r="I19" s="247"/>
      <c r="J19" s="248"/>
      <c r="K19" s="248"/>
      <c r="L19" s="248"/>
      <c r="M19" s="248"/>
      <c r="N19" s="248"/>
    </row>
    <row r="20" spans="1:14" ht="30.75">
      <c r="A20" s="143"/>
      <c r="B20" s="257"/>
      <c r="C20" s="251" t="s">
        <v>449</v>
      </c>
      <c r="D20" s="244">
        <v>8</v>
      </c>
      <c r="E20" s="244">
        <v>200</v>
      </c>
      <c r="F20" s="244">
        <v>1</v>
      </c>
      <c r="G20" s="245">
        <f>D20*E20*F20</f>
        <v>1600</v>
      </c>
      <c r="H20" s="246"/>
      <c r="I20" s="247"/>
      <c r="J20" s="248"/>
      <c r="K20" s="248"/>
      <c r="L20" s="248"/>
      <c r="M20" s="248"/>
      <c r="N20" s="248"/>
    </row>
    <row r="21" spans="1:14" ht="30.75">
      <c r="A21" s="143"/>
      <c r="B21" s="257"/>
      <c r="C21" s="251" t="s">
        <v>450</v>
      </c>
      <c r="D21" s="244">
        <v>6</v>
      </c>
      <c r="E21" s="244">
        <v>100</v>
      </c>
      <c r="F21" s="244">
        <v>1</v>
      </c>
      <c r="G21" s="245">
        <f aca="true" t="shared" si="0" ref="G21:G31">D21*E21*F21</f>
        <v>600</v>
      </c>
      <c r="H21" s="246"/>
      <c r="I21" s="247"/>
      <c r="J21" s="248"/>
      <c r="K21" s="248"/>
      <c r="L21" s="248"/>
      <c r="M21" s="248"/>
      <c r="N21" s="248"/>
    </row>
    <row r="22" spans="1:14" ht="30.75">
      <c r="A22" s="143"/>
      <c r="B22" s="257"/>
      <c r="C22" s="251" t="s">
        <v>451</v>
      </c>
      <c r="D22" s="244">
        <v>1</v>
      </c>
      <c r="E22" s="244">
        <v>250</v>
      </c>
      <c r="F22" s="244">
        <v>1</v>
      </c>
      <c r="G22" s="245">
        <f t="shared" si="0"/>
        <v>250</v>
      </c>
      <c r="H22" s="246"/>
      <c r="I22" s="247"/>
      <c r="J22" s="248"/>
      <c r="K22" s="248"/>
      <c r="L22" s="248"/>
      <c r="M22" s="248"/>
      <c r="N22" s="248"/>
    </row>
    <row r="23" spans="1:14" ht="46.5">
      <c r="A23" s="143"/>
      <c r="B23" s="257"/>
      <c r="C23" s="251" t="s">
        <v>452</v>
      </c>
      <c r="D23" s="244">
        <v>50</v>
      </c>
      <c r="E23" s="244">
        <v>3</v>
      </c>
      <c r="F23" s="244">
        <v>1</v>
      </c>
      <c r="G23" s="245">
        <f t="shared" si="0"/>
        <v>150</v>
      </c>
      <c r="H23" s="246"/>
      <c r="I23" s="247"/>
      <c r="J23" s="248"/>
      <c r="K23" s="248"/>
      <c r="L23" s="248"/>
      <c r="M23" s="248"/>
      <c r="N23" s="248"/>
    </row>
    <row r="24" spans="1:14" ht="15">
      <c r="A24" s="143"/>
      <c r="B24" s="257"/>
      <c r="C24" s="251" t="s">
        <v>453</v>
      </c>
      <c r="D24" s="244">
        <v>1</v>
      </c>
      <c r="E24" s="244">
        <v>100</v>
      </c>
      <c r="F24" s="244">
        <v>1</v>
      </c>
      <c r="G24" s="245">
        <f t="shared" si="0"/>
        <v>100</v>
      </c>
      <c r="H24" s="246"/>
      <c r="I24" s="247"/>
      <c r="J24" s="248"/>
      <c r="K24" s="248"/>
      <c r="L24" s="248"/>
      <c r="M24" s="248"/>
      <c r="N24" s="248"/>
    </row>
    <row r="25" spans="1:14" ht="15">
      <c r="A25" s="143"/>
      <c r="B25" s="257"/>
      <c r="C25" s="251" t="s">
        <v>454</v>
      </c>
      <c r="D25" s="244">
        <v>1</v>
      </c>
      <c r="E25" s="244">
        <v>30</v>
      </c>
      <c r="F25" s="244">
        <v>1</v>
      </c>
      <c r="G25" s="245">
        <f t="shared" si="0"/>
        <v>30</v>
      </c>
      <c r="H25" s="246"/>
      <c r="I25" s="247"/>
      <c r="J25" s="248"/>
      <c r="K25" s="248"/>
      <c r="L25" s="248"/>
      <c r="M25" s="248"/>
      <c r="N25" s="248"/>
    </row>
    <row r="26" spans="1:14" ht="30.75">
      <c r="A26" s="143"/>
      <c r="B26" s="257"/>
      <c r="C26" s="251" t="s">
        <v>455</v>
      </c>
      <c r="D26" s="244">
        <v>1</v>
      </c>
      <c r="E26" s="244">
        <v>150</v>
      </c>
      <c r="F26" s="244">
        <v>1</v>
      </c>
      <c r="G26" s="245">
        <f t="shared" si="0"/>
        <v>150</v>
      </c>
      <c r="H26" s="246"/>
      <c r="I26" s="247"/>
      <c r="J26" s="248"/>
      <c r="K26" s="248"/>
      <c r="L26" s="248"/>
      <c r="M26" s="248"/>
      <c r="N26" s="248"/>
    </row>
    <row r="27" spans="1:14" ht="15">
      <c r="A27" s="143"/>
      <c r="B27" s="250"/>
      <c r="C27" s="251" t="s">
        <v>456</v>
      </c>
      <c r="D27" s="244">
        <v>6</v>
      </c>
      <c r="E27" s="244">
        <v>40</v>
      </c>
      <c r="F27" s="244">
        <v>1</v>
      </c>
      <c r="G27" s="245">
        <f t="shared" si="0"/>
        <v>240</v>
      </c>
      <c r="H27" s="246"/>
      <c r="I27" s="247"/>
      <c r="J27" s="248"/>
      <c r="K27" s="248"/>
      <c r="L27" s="248"/>
      <c r="M27" s="248"/>
      <c r="N27" s="248"/>
    </row>
    <row r="28" spans="1:14" ht="15">
      <c r="A28" s="143"/>
      <c r="B28" s="250"/>
      <c r="C28" s="251" t="s">
        <v>457</v>
      </c>
      <c r="D28" s="244">
        <v>1</v>
      </c>
      <c r="E28" s="244">
        <v>100</v>
      </c>
      <c r="F28" s="244">
        <v>1</v>
      </c>
      <c r="G28" s="245">
        <f t="shared" si="0"/>
        <v>100</v>
      </c>
      <c r="H28" s="246"/>
      <c r="I28" s="247"/>
      <c r="J28" s="248"/>
      <c r="K28" s="248"/>
      <c r="L28" s="248"/>
      <c r="M28" s="248"/>
      <c r="N28" s="248"/>
    </row>
    <row r="29" spans="1:14" ht="15">
      <c r="A29" s="143"/>
      <c r="B29" s="250"/>
      <c r="C29" s="244" t="s">
        <v>458</v>
      </c>
      <c r="D29" s="244">
        <v>1</v>
      </c>
      <c r="E29" s="244">
        <v>400</v>
      </c>
      <c r="F29" s="244">
        <v>1</v>
      </c>
      <c r="G29" s="245">
        <f t="shared" si="0"/>
        <v>400</v>
      </c>
      <c r="H29" s="246"/>
      <c r="I29" s="247"/>
      <c r="J29" s="248"/>
      <c r="K29" s="248"/>
      <c r="L29" s="248"/>
      <c r="M29" s="248"/>
      <c r="N29" s="248"/>
    </row>
    <row r="30" spans="1:14" ht="15">
      <c r="A30" s="143"/>
      <c r="B30" s="250"/>
      <c r="C30" s="244" t="s">
        <v>459</v>
      </c>
      <c r="D30" s="244">
        <v>2</v>
      </c>
      <c r="E30" s="244">
        <v>500</v>
      </c>
      <c r="F30" s="244">
        <v>2</v>
      </c>
      <c r="G30" s="245">
        <f t="shared" si="0"/>
        <v>2000</v>
      </c>
      <c r="H30" s="246"/>
      <c r="I30" s="247"/>
      <c r="J30" s="248"/>
      <c r="K30" s="248"/>
      <c r="L30" s="248"/>
      <c r="M30" s="248"/>
      <c r="N30" s="248"/>
    </row>
    <row r="31" spans="1:14" ht="30.75">
      <c r="A31" s="143"/>
      <c r="B31" s="250"/>
      <c r="C31" s="251" t="s">
        <v>460</v>
      </c>
      <c r="D31" s="244">
        <v>1</v>
      </c>
      <c r="E31" s="244">
        <v>450</v>
      </c>
      <c r="F31" s="244">
        <v>2</v>
      </c>
      <c r="G31" s="245">
        <f t="shared" si="0"/>
        <v>900</v>
      </c>
      <c r="H31" s="246"/>
      <c r="I31" s="247"/>
      <c r="J31" s="248"/>
      <c r="K31" s="248"/>
      <c r="L31" s="248"/>
      <c r="M31" s="248"/>
      <c r="N31" s="248"/>
    </row>
    <row r="32" spans="1:14" ht="15">
      <c r="A32" s="252"/>
      <c r="B32" s="253" t="s">
        <v>461</v>
      </c>
      <c r="C32" s="254"/>
      <c r="D32" s="254"/>
      <c r="E32" s="254"/>
      <c r="F32" s="254"/>
      <c r="G32" s="255">
        <f>SUM(G20:G31)</f>
        <v>6520</v>
      </c>
      <c r="H32" s="246"/>
      <c r="I32" s="247"/>
      <c r="J32" s="248"/>
      <c r="K32" s="248"/>
      <c r="L32" s="248"/>
      <c r="M32" s="248"/>
      <c r="N32" s="248"/>
    </row>
    <row r="33" spans="1:14" ht="21">
      <c r="A33" s="171"/>
      <c r="B33" s="171" t="s">
        <v>462</v>
      </c>
      <c r="C33" s="171"/>
      <c r="D33" s="171"/>
      <c r="E33" s="171"/>
      <c r="F33" s="171"/>
      <c r="G33" s="258">
        <f>G32+G17</f>
        <v>10870</v>
      </c>
      <c r="H33" s="259"/>
      <c r="I33" s="247"/>
      <c r="J33" s="248"/>
      <c r="K33" s="248"/>
      <c r="L33" s="248"/>
      <c r="M33" s="248"/>
      <c r="N33" s="248"/>
    </row>
    <row r="34" spans="1:14" ht="15">
      <c r="A34" s="143"/>
      <c r="B34" s="832" t="s">
        <v>121</v>
      </c>
      <c r="C34" s="833"/>
      <c r="D34" s="833"/>
      <c r="E34" s="833"/>
      <c r="F34" s="833"/>
      <c r="G34" s="833"/>
      <c r="H34" s="833"/>
      <c r="I34" s="833"/>
      <c r="J34" s="833"/>
      <c r="K34" s="833"/>
      <c r="L34" s="833"/>
      <c r="M34" s="833"/>
      <c r="N34" s="833"/>
    </row>
    <row r="35" spans="1:14" s="265" customFormat="1" ht="61.5">
      <c r="A35" s="229"/>
      <c r="B35" s="260" t="s">
        <v>463</v>
      </c>
      <c r="C35" s="261"/>
      <c r="D35" s="261"/>
      <c r="E35" s="261"/>
      <c r="F35" s="261"/>
      <c r="G35" s="262"/>
      <c r="H35" s="263"/>
      <c r="I35" s="264"/>
      <c r="J35" s="261"/>
      <c r="K35" s="261"/>
      <c r="L35" s="261"/>
      <c r="M35" s="261"/>
      <c r="N35" s="261"/>
    </row>
    <row r="36" spans="1:14" s="265" customFormat="1" ht="30.75">
      <c r="A36" s="229"/>
      <c r="B36" s="249" t="s">
        <v>464</v>
      </c>
      <c r="C36" s="261"/>
      <c r="D36" s="261"/>
      <c r="E36" s="261"/>
      <c r="F36" s="261"/>
      <c r="G36" s="262"/>
      <c r="H36" s="263"/>
      <c r="I36" s="264"/>
      <c r="J36" s="261"/>
      <c r="K36" s="261"/>
      <c r="L36" s="261"/>
      <c r="M36" s="261"/>
      <c r="N36" s="261"/>
    </row>
    <row r="37" spans="1:14" s="265" customFormat="1" ht="15">
      <c r="A37" s="229"/>
      <c r="B37" s="256"/>
      <c r="C37" s="266" t="s">
        <v>465</v>
      </c>
      <c r="D37" s="266">
        <v>1</v>
      </c>
      <c r="E37" s="266">
        <v>6036</v>
      </c>
      <c r="F37" s="266">
        <v>1</v>
      </c>
      <c r="G37" s="267">
        <f>D37*E37*F37</f>
        <v>6036</v>
      </c>
      <c r="H37" s="263"/>
      <c r="I37" s="264"/>
      <c r="J37" s="261"/>
      <c r="K37" s="261"/>
      <c r="L37" s="261"/>
      <c r="M37" s="261"/>
      <c r="N37" s="261"/>
    </row>
    <row r="38" spans="1:14" s="265" customFormat="1" ht="15">
      <c r="A38" s="229"/>
      <c r="B38" s="256"/>
      <c r="C38" s="266" t="s">
        <v>466</v>
      </c>
      <c r="D38" s="266">
        <v>1</v>
      </c>
      <c r="E38" s="266">
        <v>22065</v>
      </c>
      <c r="F38" s="266">
        <v>1</v>
      </c>
      <c r="G38" s="267">
        <f aca="true" t="shared" si="1" ref="G38:G51">D38*E38*F38</f>
        <v>22065</v>
      </c>
      <c r="H38" s="263"/>
      <c r="I38" s="264"/>
      <c r="J38" s="261"/>
      <c r="K38" s="261"/>
      <c r="L38" s="261"/>
      <c r="M38" s="261"/>
      <c r="N38" s="261"/>
    </row>
    <row r="39" spans="1:14" s="265" customFormat="1" ht="15">
      <c r="A39" s="229"/>
      <c r="B39" s="256"/>
      <c r="C39" s="266" t="s">
        <v>467</v>
      </c>
      <c r="D39" s="266">
        <v>1</v>
      </c>
      <c r="E39" s="266">
        <v>38736</v>
      </c>
      <c r="F39" s="266">
        <v>1</v>
      </c>
      <c r="G39" s="267">
        <f t="shared" si="1"/>
        <v>38736</v>
      </c>
      <c r="H39" s="263"/>
      <c r="I39" s="264"/>
      <c r="J39" s="261"/>
      <c r="K39" s="261"/>
      <c r="L39" s="261"/>
      <c r="M39" s="261"/>
      <c r="N39" s="261"/>
    </row>
    <row r="40" spans="1:14" s="265" customFormat="1" ht="15">
      <c r="A40" s="229"/>
      <c r="B40" s="256"/>
      <c r="C40" s="266" t="s">
        <v>468</v>
      </c>
      <c r="D40" s="266">
        <v>1</v>
      </c>
      <c r="E40" s="266">
        <v>10650</v>
      </c>
      <c r="F40" s="266">
        <v>1</v>
      </c>
      <c r="G40" s="267">
        <f t="shared" si="1"/>
        <v>10650</v>
      </c>
      <c r="H40" s="263"/>
      <c r="I40" s="264"/>
      <c r="J40" s="261"/>
      <c r="K40" s="261"/>
      <c r="L40" s="261"/>
      <c r="M40" s="261"/>
      <c r="N40" s="261"/>
    </row>
    <row r="41" spans="1:14" s="265" customFormat="1" ht="15">
      <c r="A41" s="229"/>
      <c r="B41" s="256"/>
      <c r="C41" s="244" t="s">
        <v>469</v>
      </c>
      <c r="D41" s="266">
        <v>1</v>
      </c>
      <c r="E41" s="266">
        <v>27492</v>
      </c>
      <c r="F41" s="266">
        <v>1</v>
      </c>
      <c r="G41" s="267">
        <f t="shared" si="1"/>
        <v>27492</v>
      </c>
      <c r="H41" s="263"/>
      <c r="I41" s="264"/>
      <c r="J41" s="261"/>
      <c r="K41" s="261"/>
      <c r="L41" s="261"/>
      <c r="M41" s="261"/>
      <c r="N41" s="261"/>
    </row>
    <row r="42" spans="1:14" s="265" customFormat="1" ht="15">
      <c r="A42" s="229"/>
      <c r="B42" s="256"/>
      <c r="C42" s="244" t="s">
        <v>470</v>
      </c>
      <c r="D42" s="266">
        <v>1</v>
      </c>
      <c r="E42" s="266">
        <v>8625</v>
      </c>
      <c r="F42" s="266">
        <v>1</v>
      </c>
      <c r="G42" s="267">
        <f t="shared" si="1"/>
        <v>8625</v>
      </c>
      <c r="H42" s="263"/>
      <c r="I42" s="264"/>
      <c r="J42" s="261"/>
      <c r="K42" s="261"/>
      <c r="L42" s="261"/>
      <c r="M42" s="261"/>
      <c r="N42" s="261"/>
    </row>
    <row r="43" spans="1:14" s="265" customFormat="1" ht="15">
      <c r="A43" s="229"/>
      <c r="B43" s="256"/>
      <c r="C43" s="244" t="s">
        <v>471</v>
      </c>
      <c r="D43" s="266">
        <v>1</v>
      </c>
      <c r="E43" s="266">
        <v>9680</v>
      </c>
      <c r="F43" s="266">
        <v>1</v>
      </c>
      <c r="G43" s="267">
        <f t="shared" si="1"/>
        <v>9680</v>
      </c>
      <c r="H43" s="263"/>
      <c r="I43" s="264"/>
      <c r="J43" s="261"/>
      <c r="K43" s="261"/>
      <c r="L43" s="261"/>
      <c r="M43" s="261"/>
      <c r="N43" s="261"/>
    </row>
    <row r="44" spans="1:14" s="265" customFormat="1" ht="15">
      <c r="A44" s="229"/>
      <c r="B44" s="256"/>
      <c r="C44" s="244" t="s">
        <v>472</v>
      </c>
      <c r="D44" s="266">
        <v>1</v>
      </c>
      <c r="E44" s="266">
        <v>4551</v>
      </c>
      <c r="F44" s="266">
        <v>1</v>
      </c>
      <c r="G44" s="267">
        <f t="shared" si="1"/>
        <v>4551</v>
      </c>
      <c r="H44" s="263"/>
      <c r="I44" s="264"/>
      <c r="J44" s="261"/>
      <c r="K44" s="261"/>
      <c r="L44" s="261"/>
      <c r="M44" s="261"/>
      <c r="N44" s="261"/>
    </row>
    <row r="45" spans="1:14" s="265" customFormat="1" ht="15">
      <c r="A45" s="229"/>
      <c r="B45" s="256"/>
      <c r="C45" s="266" t="s">
        <v>473</v>
      </c>
      <c r="D45" s="266">
        <v>1</v>
      </c>
      <c r="E45" s="266">
        <v>11845</v>
      </c>
      <c r="F45" s="266">
        <v>1</v>
      </c>
      <c r="G45" s="267">
        <f t="shared" si="1"/>
        <v>11845</v>
      </c>
      <c r="H45" s="263"/>
      <c r="I45" s="264"/>
      <c r="J45" s="261"/>
      <c r="K45" s="261"/>
      <c r="L45" s="261"/>
      <c r="M45" s="261"/>
      <c r="N45" s="261"/>
    </row>
    <row r="46" spans="1:14" s="265" customFormat="1" ht="15">
      <c r="A46" s="229"/>
      <c r="B46" s="256"/>
      <c r="C46" s="266" t="s">
        <v>572</v>
      </c>
      <c r="D46" s="266">
        <v>1</v>
      </c>
      <c r="E46" s="266">
        <v>4050</v>
      </c>
      <c r="F46" s="266">
        <v>1</v>
      </c>
      <c r="G46" s="267">
        <f t="shared" si="1"/>
        <v>4050</v>
      </c>
      <c r="H46" s="263"/>
      <c r="I46" s="264"/>
      <c r="J46" s="261"/>
      <c r="K46" s="261"/>
      <c r="L46" s="261"/>
      <c r="M46" s="261"/>
      <c r="N46" s="261"/>
    </row>
    <row r="47" spans="1:14" s="265" customFormat="1" ht="15">
      <c r="A47" s="229"/>
      <c r="B47" s="256"/>
      <c r="C47" s="266" t="s">
        <v>474</v>
      </c>
      <c r="D47" s="266">
        <v>10</v>
      </c>
      <c r="E47" s="266">
        <v>0</v>
      </c>
      <c r="F47" s="266">
        <v>1</v>
      </c>
      <c r="G47" s="267">
        <f t="shared" si="1"/>
        <v>0</v>
      </c>
      <c r="H47" s="263"/>
      <c r="I47" s="264"/>
      <c r="J47" s="261"/>
      <c r="K47" s="261"/>
      <c r="L47" s="261"/>
      <c r="M47" s="261"/>
      <c r="N47" s="261"/>
    </row>
    <row r="48" spans="1:14" s="265" customFormat="1" ht="15">
      <c r="A48" s="229"/>
      <c r="B48" s="256"/>
      <c r="C48" s="266" t="s">
        <v>475</v>
      </c>
      <c r="D48" s="266">
        <v>50</v>
      </c>
      <c r="E48" s="266">
        <v>0</v>
      </c>
      <c r="F48" s="266">
        <v>1</v>
      </c>
      <c r="G48" s="267">
        <f t="shared" si="1"/>
        <v>0</v>
      </c>
      <c r="H48" s="263"/>
      <c r="I48" s="264"/>
      <c r="J48" s="261"/>
      <c r="K48" s="261"/>
      <c r="L48" s="261"/>
      <c r="M48" s="261"/>
      <c r="N48" s="261"/>
    </row>
    <row r="49" spans="1:14" s="265" customFormat="1" ht="15">
      <c r="A49" s="229"/>
      <c r="B49" s="256"/>
      <c r="C49" s="266" t="s">
        <v>476</v>
      </c>
      <c r="D49" s="266">
        <v>20</v>
      </c>
      <c r="E49" s="266">
        <v>0</v>
      </c>
      <c r="F49" s="266">
        <v>1</v>
      </c>
      <c r="G49" s="267">
        <f t="shared" si="1"/>
        <v>0</v>
      </c>
      <c r="H49" s="263"/>
      <c r="I49" s="264"/>
      <c r="J49" s="261"/>
      <c r="K49" s="261"/>
      <c r="L49" s="261"/>
      <c r="M49" s="261"/>
      <c r="N49" s="261"/>
    </row>
    <row r="50" spans="1:14" s="265" customFormat="1" ht="15">
      <c r="A50" s="229"/>
      <c r="B50" s="256"/>
      <c r="C50" s="266" t="s">
        <v>477</v>
      </c>
      <c r="D50" s="266">
        <v>10</v>
      </c>
      <c r="E50" s="266">
        <v>0</v>
      </c>
      <c r="F50" s="266">
        <v>1</v>
      </c>
      <c r="G50" s="267">
        <f t="shared" si="1"/>
        <v>0</v>
      </c>
      <c r="H50" s="263"/>
      <c r="I50" s="264"/>
      <c r="J50" s="261"/>
      <c r="K50" s="261"/>
      <c r="L50" s="261"/>
      <c r="M50" s="261"/>
      <c r="N50" s="261"/>
    </row>
    <row r="51" spans="1:14" s="265" customFormat="1" ht="15">
      <c r="A51" s="229"/>
      <c r="B51" s="256"/>
      <c r="C51" s="266" t="s">
        <v>478</v>
      </c>
      <c r="D51" s="266">
        <v>10</v>
      </c>
      <c r="E51" s="266">
        <v>0</v>
      </c>
      <c r="F51" s="266">
        <v>1</v>
      </c>
      <c r="G51" s="267">
        <f t="shared" si="1"/>
        <v>0</v>
      </c>
      <c r="H51" s="263"/>
      <c r="I51" s="264"/>
      <c r="J51" s="261"/>
      <c r="K51" s="261"/>
      <c r="L51" s="261"/>
      <c r="M51" s="261"/>
      <c r="N51" s="261"/>
    </row>
    <row r="52" spans="1:14" s="265" customFormat="1" ht="15">
      <c r="A52" s="252"/>
      <c r="B52" s="268" t="s">
        <v>479</v>
      </c>
      <c r="C52" s="269"/>
      <c r="D52" s="269"/>
      <c r="E52" s="269"/>
      <c r="F52" s="269"/>
      <c r="G52" s="270">
        <f>SUM(G37:G50)</f>
        <v>143730</v>
      </c>
      <c r="H52" s="263"/>
      <c r="I52" s="264"/>
      <c r="J52" s="261"/>
      <c r="K52" s="261"/>
      <c r="L52" s="261"/>
      <c r="M52" s="261"/>
      <c r="N52" s="261"/>
    </row>
    <row r="53" spans="1:14" s="265" customFormat="1" ht="61.5">
      <c r="A53" s="229"/>
      <c r="B53" s="243" t="s">
        <v>480</v>
      </c>
      <c r="C53" s="261"/>
      <c r="D53" s="261"/>
      <c r="E53" s="261"/>
      <c r="F53" s="261"/>
      <c r="G53" s="262"/>
      <c r="H53" s="263"/>
      <c r="I53" s="264"/>
      <c r="J53" s="261"/>
      <c r="K53" s="261"/>
      <c r="L53" s="261"/>
      <c r="M53" s="261"/>
      <c r="N53" s="261"/>
    </row>
    <row r="54" spans="1:14" s="265" customFormat="1" ht="30.75">
      <c r="A54" s="229"/>
      <c r="B54" s="249" t="s">
        <v>481</v>
      </c>
      <c r="C54" s="261"/>
      <c r="D54" s="261"/>
      <c r="E54" s="261"/>
      <c r="F54" s="261"/>
      <c r="G54" s="262"/>
      <c r="H54" s="263"/>
      <c r="I54" s="264"/>
      <c r="J54" s="261"/>
      <c r="K54" s="261"/>
      <c r="L54" s="261"/>
      <c r="M54" s="261"/>
      <c r="N54" s="261"/>
    </row>
    <row r="55" spans="1:14" s="265" customFormat="1" ht="15">
      <c r="A55" s="229"/>
      <c r="B55" s="264"/>
      <c r="C55" s="244" t="s">
        <v>482</v>
      </c>
      <c r="D55" s="244">
        <v>1</v>
      </c>
      <c r="E55" s="244">
        <v>2000</v>
      </c>
      <c r="F55" s="244">
        <v>1</v>
      </c>
      <c r="G55" s="262">
        <f>D55*E55*F55</f>
        <v>2000</v>
      </c>
      <c r="H55" s="263"/>
      <c r="I55" s="264"/>
      <c r="J55" s="261"/>
      <c r="K55" s="261"/>
      <c r="L55" s="261"/>
      <c r="M55" s="261"/>
      <c r="N55" s="261"/>
    </row>
    <row r="56" spans="1:14" s="265" customFormat="1" ht="15">
      <c r="A56" s="229"/>
      <c r="B56" s="264"/>
      <c r="C56" s="244" t="s">
        <v>483</v>
      </c>
      <c r="D56" s="244">
        <v>1</v>
      </c>
      <c r="E56" s="244">
        <v>700</v>
      </c>
      <c r="F56" s="244">
        <v>1</v>
      </c>
      <c r="G56" s="262">
        <f aca="true" t="shared" si="2" ref="G56:G63">D56*E56*F56</f>
        <v>700</v>
      </c>
      <c r="H56" s="263"/>
      <c r="I56" s="264"/>
      <c r="J56" s="261"/>
      <c r="K56" s="261"/>
      <c r="L56" s="261"/>
      <c r="M56" s="261"/>
      <c r="N56" s="261"/>
    </row>
    <row r="57" spans="1:14" s="265" customFormat="1" ht="15">
      <c r="A57" s="229"/>
      <c r="B57" s="264"/>
      <c r="C57" s="244" t="s">
        <v>484</v>
      </c>
      <c r="D57" s="244">
        <v>4</v>
      </c>
      <c r="E57" s="244">
        <v>200</v>
      </c>
      <c r="F57" s="244">
        <v>1</v>
      </c>
      <c r="G57" s="262">
        <f t="shared" si="2"/>
        <v>800</v>
      </c>
      <c r="H57" s="263"/>
      <c r="I57" s="264"/>
      <c r="J57" s="261"/>
      <c r="K57" s="261"/>
      <c r="L57" s="261"/>
      <c r="M57" s="261"/>
      <c r="N57" s="261"/>
    </row>
    <row r="58" spans="1:14" s="265" customFormat="1" ht="15">
      <c r="A58" s="229"/>
      <c r="B58" s="264"/>
      <c r="C58" s="244" t="s">
        <v>485</v>
      </c>
      <c r="D58" s="244">
        <v>1</v>
      </c>
      <c r="E58" s="244">
        <v>700</v>
      </c>
      <c r="F58" s="244">
        <v>1</v>
      </c>
      <c r="G58" s="262">
        <f t="shared" si="2"/>
        <v>700</v>
      </c>
      <c r="H58" s="263"/>
      <c r="I58" s="264"/>
      <c r="J58" s="261"/>
      <c r="K58" s="261"/>
      <c r="L58" s="261"/>
      <c r="M58" s="261"/>
      <c r="N58" s="261"/>
    </row>
    <row r="59" spans="1:14" s="265" customFormat="1" ht="15">
      <c r="A59" s="229"/>
      <c r="B59" s="264"/>
      <c r="C59" s="244" t="s">
        <v>486</v>
      </c>
      <c r="D59" s="244">
        <v>4</v>
      </c>
      <c r="E59" s="244">
        <v>250</v>
      </c>
      <c r="F59" s="244">
        <v>1</v>
      </c>
      <c r="G59" s="262">
        <f t="shared" si="2"/>
        <v>1000</v>
      </c>
      <c r="H59" s="263"/>
      <c r="I59" s="264"/>
      <c r="J59" s="261"/>
      <c r="K59" s="261"/>
      <c r="L59" s="261"/>
      <c r="M59" s="261"/>
      <c r="N59" s="261"/>
    </row>
    <row r="60" spans="1:14" s="265" customFormat="1" ht="15">
      <c r="A60" s="229"/>
      <c r="B60" s="264"/>
      <c r="C60" s="244" t="s">
        <v>487</v>
      </c>
      <c r="D60" s="244">
        <v>3</v>
      </c>
      <c r="E60" s="244">
        <v>100</v>
      </c>
      <c r="F60" s="244">
        <v>1</v>
      </c>
      <c r="G60" s="262">
        <f t="shared" si="2"/>
        <v>300</v>
      </c>
      <c r="H60" s="263"/>
      <c r="I60" s="264"/>
      <c r="J60" s="261"/>
      <c r="K60" s="261"/>
      <c r="L60" s="261"/>
      <c r="M60" s="261"/>
      <c r="N60" s="261"/>
    </row>
    <row r="61" spans="1:14" s="265" customFormat="1" ht="15">
      <c r="A61" s="229"/>
      <c r="B61" s="264"/>
      <c r="C61" s="244" t="s">
        <v>488</v>
      </c>
      <c r="D61" s="244">
        <v>1</v>
      </c>
      <c r="E61" s="244">
        <v>250</v>
      </c>
      <c r="F61" s="244">
        <v>1</v>
      </c>
      <c r="G61" s="262">
        <f t="shared" si="2"/>
        <v>250</v>
      </c>
      <c r="H61" s="263"/>
      <c r="I61" s="264"/>
      <c r="J61" s="261"/>
      <c r="K61" s="261"/>
      <c r="L61" s="261"/>
      <c r="M61" s="261"/>
      <c r="N61" s="261"/>
    </row>
    <row r="62" spans="1:14" s="265" customFormat="1" ht="15">
      <c r="A62" s="229"/>
      <c r="B62" s="264"/>
      <c r="C62" s="244" t="s">
        <v>489</v>
      </c>
      <c r="D62" s="244">
        <v>20</v>
      </c>
      <c r="E62" s="244">
        <v>30</v>
      </c>
      <c r="F62" s="244">
        <v>1</v>
      </c>
      <c r="G62" s="262">
        <f t="shared" si="2"/>
        <v>600</v>
      </c>
      <c r="H62" s="263"/>
      <c r="I62" s="264"/>
      <c r="J62" s="261"/>
      <c r="K62" s="261"/>
      <c r="L62" s="261"/>
      <c r="M62" s="261"/>
      <c r="N62" s="261"/>
    </row>
    <row r="63" spans="1:14" s="265" customFormat="1" ht="15">
      <c r="A63" s="229"/>
      <c r="B63" s="264"/>
      <c r="C63" s="244" t="s">
        <v>490</v>
      </c>
      <c r="D63" s="244">
        <v>4</v>
      </c>
      <c r="E63" s="244">
        <v>50</v>
      </c>
      <c r="F63" s="244">
        <v>1</v>
      </c>
      <c r="G63" s="262">
        <f t="shared" si="2"/>
        <v>200</v>
      </c>
      <c r="H63" s="263"/>
      <c r="I63" s="264"/>
      <c r="J63" s="261"/>
      <c r="K63" s="261"/>
      <c r="L63" s="261"/>
      <c r="M63" s="261"/>
      <c r="N63" s="261"/>
    </row>
    <row r="64" spans="1:14" s="265" customFormat="1" ht="15">
      <c r="A64" s="252"/>
      <c r="B64" s="271"/>
      <c r="C64" s="269"/>
      <c r="D64" s="269"/>
      <c r="E64" s="269"/>
      <c r="F64" s="269"/>
      <c r="G64" s="270">
        <f>SUM(G55:G63)</f>
        <v>6550</v>
      </c>
      <c r="H64" s="263"/>
      <c r="I64" s="264"/>
      <c r="J64" s="261"/>
      <c r="K64" s="261"/>
      <c r="L64" s="261"/>
      <c r="M64" s="261"/>
      <c r="N64" s="261"/>
    </row>
    <row r="65" spans="1:14" s="265" customFormat="1" ht="15">
      <c r="A65" s="229"/>
      <c r="B65" s="249" t="s">
        <v>491</v>
      </c>
      <c r="C65" s="261"/>
      <c r="D65" s="261"/>
      <c r="E65" s="261"/>
      <c r="F65" s="261"/>
      <c r="G65" s="262"/>
      <c r="H65" s="263"/>
      <c r="I65" s="264"/>
      <c r="J65" s="261"/>
      <c r="K65" s="261"/>
      <c r="L65" s="261"/>
      <c r="M65" s="261"/>
      <c r="N65" s="261"/>
    </row>
    <row r="66" spans="1:14" s="265" customFormat="1" ht="15">
      <c r="A66" s="229"/>
      <c r="B66" s="264"/>
      <c r="C66" s="244" t="s">
        <v>574</v>
      </c>
      <c r="D66" s="244">
        <v>2</v>
      </c>
      <c r="E66" s="244">
        <v>205</v>
      </c>
      <c r="F66" s="244">
        <v>3</v>
      </c>
      <c r="G66" s="244">
        <f>D66*E66*F66</f>
        <v>1230</v>
      </c>
      <c r="H66" s="263"/>
      <c r="I66" s="264"/>
      <c r="J66" s="261"/>
      <c r="K66" s="261"/>
      <c r="L66" s="261"/>
      <c r="M66" s="261"/>
      <c r="N66" s="261"/>
    </row>
    <row r="67" spans="1:14" s="265" customFormat="1" ht="15">
      <c r="A67" s="229"/>
      <c r="B67" s="264"/>
      <c r="C67" s="244" t="s">
        <v>492</v>
      </c>
      <c r="D67" s="244">
        <v>2</v>
      </c>
      <c r="E67" s="244">
        <v>300</v>
      </c>
      <c r="F67" s="244">
        <v>2</v>
      </c>
      <c r="G67" s="244">
        <f>D67*E67*F67</f>
        <v>1200</v>
      </c>
      <c r="H67" s="263"/>
      <c r="I67" s="264"/>
      <c r="J67" s="261"/>
      <c r="K67" s="261"/>
      <c r="L67" s="261"/>
      <c r="M67" s="261"/>
      <c r="N67" s="261"/>
    </row>
    <row r="68" spans="1:14" s="265" customFormat="1" ht="15">
      <c r="A68" s="229"/>
      <c r="B68" s="264"/>
      <c r="C68" s="244" t="s">
        <v>493</v>
      </c>
      <c r="D68" s="244">
        <v>1</v>
      </c>
      <c r="E68" s="244">
        <v>100</v>
      </c>
      <c r="F68" s="244">
        <v>6</v>
      </c>
      <c r="G68" s="244">
        <f>D68*E68*F68</f>
        <v>600</v>
      </c>
      <c r="H68" s="263"/>
      <c r="I68" s="264"/>
      <c r="J68" s="261"/>
      <c r="K68" s="261"/>
      <c r="L68" s="261"/>
      <c r="M68" s="261"/>
      <c r="N68" s="261"/>
    </row>
    <row r="69" spans="1:14" s="265" customFormat="1" ht="15">
      <c r="A69" s="229"/>
      <c r="B69" s="264"/>
      <c r="C69" s="244" t="s">
        <v>494</v>
      </c>
      <c r="D69" s="244">
        <v>10</v>
      </c>
      <c r="E69" s="244">
        <v>15</v>
      </c>
      <c r="F69" s="244">
        <v>1</v>
      </c>
      <c r="G69" s="244">
        <f>D69*E69*F69</f>
        <v>150</v>
      </c>
      <c r="H69" s="263"/>
      <c r="I69" s="264"/>
      <c r="J69" s="261"/>
      <c r="K69" s="261"/>
      <c r="L69" s="261"/>
      <c r="M69" s="261"/>
      <c r="N69" s="261"/>
    </row>
    <row r="70" spans="1:14" s="265" customFormat="1" ht="15">
      <c r="A70" s="252"/>
      <c r="B70" s="271" t="s">
        <v>495</v>
      </c>
      <c r="C70" s="269"/>
      <c r="D70" s="269"/>
      <c r="E70" s="269"/>
      <c r="F70" s="269"/>
      <c r="G70" s="272">
        <f>SUM(G66:G69)</f>
        <v>3180</v>
      </c>
      <c r="H70" s="263"/>
      <c r="I70" s="264"/>
      <c r="J70" s="261"/>
      <c r="K70" s="261"/>
      <c r="L70" s="261"/>
      <c r="M70" s="261"/>
      <c r="N70" s="261"/>
    </row>
    <row r="71" spans="1:14" s="265" customFormat="1" ht="15">
      <c r="A71" s="229"/>
      <c r="B71" s="249" t="s">
        <v>496</v>
      </c>
      <c r="C71" s="261"/>
      <c r="D71" s="261"/>
      <c r="E71" s="261"/>
      <c r="F71" s="261"/>
      <c r="G71" s="262"/>
      <c r="H71" s="263"/>
      <c r="I71" s="264"/>
      <c r="J71" s="261"/>
      <c r="K71" s="261"/>
      <c r="L71" s="261"/>
      <c r="M71" s="261"/>
      <c r="N71" s="261"/>
    </row>
    <row r="72" spans="1:14" s="265" customFormat="1" ht="46.5">
      <c r="A72" s="229"/>
      <c r="B72" s="273" t="s">
        <v>497</v>
      </c>
      <c r="C72" s="261"/>
      <c r="D72" s="261"/>
      <c r="E72" s="261"/>
      <c r="F72" s="261"/>
      <c r="G72" s="262"/>
      <c r="H72" s="263"/>
      <c r="I72" s="264"/>
      <c r="J72" s="261"/>
      <c r="K72" s="261"/>
      <c r="L72" s="261"/>
      <c r="M72" s="261"/>
      <c r="N72" s="261"/>
    </row>
    <row r="73" spans="1:14" s="265" customFormat="1" ht="15">
      <c r="A73" s="229"/>
      <c r="B73" s="273"/>
      <c r="C73" s="273" t="s">
        <v>498</v>
      </c>
      <c r="D73" s="273">
        <v>3</v>
      </c>
      <c r="E73" s="273">
        <v>100</v>
      </c>
      <c r="F73" s="273">
        <v>2</v>
      </c>
      <c r="G73" s="273">
        <f>D73*E73*F73</f>
        <v>600</v>
      </c>
      <c r="H73" s="263"/>
      <c r="I73" s="264"/>
      <c r="J73" s="261"/>
      <c r="K73" s="261"/>
      <c r="L73" s="261"/>
      <c r="M73" s="261"/>
      <c r="N73" s="261"/>
    </row>
    <row r="74" spans="1:14" s="265" customFormat="1" ht="15">
      <c r="A74" s="229"/>
      <c r="B74" s="273"/>
      <c r="C74" s="273" t="s">
        <v>499</v>
      </c>
      <c r="D74" s="273">
        <v>9</v>
      </c>
      <c r="E74" s="273">
        <v>3</v>
      </c>
      <c r="F74" s="273">
        <v>2</v>
      </c>
      <c r="G74" s="273">
        <f>D74*E74*F74</f>
        <v>54</v>
      </c>
      <c r="H74" s="263"/>
      <c r="I74" s="264"/>
      <c r="J74" s="261"/>
      <c r="K74" s="261"/>
      <c r="L74" s="261"/>
      <c r="M74" s="261"/>
      <c r="N74" s="261"/>
    </row>
    <row r="75" spans="1:14" s="265" customFormat="1" ht="15">
      <c r="A75" s="229"/>
      <c r="B75" s="273"/>
      <c r="C75" s="273" t="s">
        <v>500</v>
      </c>
      <c r="D75" s="273">
        <v>9</v>
      </c>
      <c r="E75" s="273">
        <v>12</v>
      </c>
      <c r="F75" s="273">
        <v>2</v>
      </c>
      <c r="G75" s="273">
        <f>D75*E75*F75</f>
        <v>216</v>
      </c>
      <c r="H75" s="263"/>
      <c r="I75" s="264"/>
      <c r="J75" s="261"/>
      <c r="K75" s="261"/>
      <c r="L75" s="261"/>
      <c r="M75" s="261"/>
      <c r="N75" s="261"/>
    </row>
    <row r="76" spans="1:14" s="265" customFormat="1" ht="15">
      <c r="A76" s="229"/>
      <c r="B76" s="261"/>
      <c r="C76" s="273" t="s">
        <v>446</v>
      </c>
      <c r="D76" s="273">
        <v>2</v>
      </c>
      <c r="E76" s="273">
        <v>10</v>
      </c>
      <c r="F76" s="273">
        <v>2</v>
      </c>
      <c r="G76" s="273">
        <f>D76*E76*F76</f>
        <v>40</v>
      </c>
      <c r="H76" s="263"/>
      <c r="I76" s="264"/>
      <c r="J76" s="261"/>
      <c r="K76" s="261"/>
      <c r="L76" s="261"/>
      <c r="M76" s="261"/>
      <c r="N76" s="261"/>
    </row>
    <row r="77" spans="1:14" s="265" customFormat="1" ht="15">
      <c r="A77" s="229"/>
      <c r="B77" s="261"/>
      <c r="C77" s="273" t="s">
        <v>447</v>
      </c>
      <c r="D77" s="273">
        <v>9</v>
      </c>
      <c r="E77" s="273">
        <v>1</v>
      </c>
      <c r="F77" s="273">
        <v>2</v>
      </c>
      <c r="G77" s="273">
        <f>D77*E77*F77</f>
        <v>18</v>
      </c>
      <c r="H77" s="263"/>
      <c r="I77" s="264"/>
      <c r="J77" s="261"/>
      <c r="K77" s="261"/>
      <c r="L77" s="261"/>
      <c r="M77" s="261"/>
      <c r="N77" s="261"/>
    </row>
    <row r="78" spans="1:14" s="265" customFormat="1" ht="15">
      <c r="A78" s="252"/>
      <c r="B78" s="269" t="s">
        <v>501</v>
      </c>
      <c r="C78" s="253"/>
      <c r="D78" s="253"/>
      <c r="E78" s="253"/>
      <c r="F78" s="253"/>
      <c r="G78" s="253">
        <f>SUM(G73:G77)</f>
        <v>928</v>
      </c>
      <c r="H78" s="263"/>
      <c r="I78" s="264"/>
      <c r="J78" s="261"/>
      <c r="K78" s="261"/>
      <c r="L78" s="261"/>
      <c r="M78" s="261"/>
      <c r="N78" s="261"/>
    </row>
    <row r="79" spans="1:14" s="265" customFormat="1" ht="46.5">
      <c r="A79" s="229"/>
      <c r="B79" s="274" t="s">
        <v>502</v>
      </c>
      <c r="C79" s="250"/>
      <c r="D79" s="250"/>
      <c r="E79" s="250"/>
      <c r="F79" s="250"/>
      <c r="G79" s="250"/>
      <c r="H79" s="263"/>
      <c r="I79" s="264"/>
      <c r="J79" s="261"/>
      <c r="K79" s="261"/>
      <c r="L79" s="261"/>
      <c r="M79" s="261"/>
      <c r="N79" s="261"/>
    </row>
    <row r="80" spans="1:14" s="265" customFormat="1" ht="15">
      <c r="A80" s="229"/>
      <c r="B80" s="261"/>
      <c r="C80" s="251" t="s">
        <v>440</v>
      </c>
      <c r="D80" s="250">
        <v>4</v>
      </c>
      <c r="E80" s="250">
        <v>141</v>
      </c>
      <c r="F80" s="250">
        <v>5</v>
      </c>
      <c r="G80" s="250">
        <f>D80*E80*F80</f>
        <v>2820</v>
      </c>
      <c r="H80" s="263"/>
      <c r="I80" s="264"/>
      <c r="J80" s="261"/>
      <c r="K80" s="261"/>
      <c r="L80" s="261"/>
      <c r="M80" s="261"/>
      <c r="N80" s="261"/>
    </row>
    <row r="81" spans="1:14" s="265" customFormat="1" ht="15">
      <c r="A81" s="229"/>
      <c r="B81" s="261"/>
      <c r="C81" s="251" t="s">
        <v>441</v>
      </c>
      <c r="D81" s="250">
        <v>4</v>
      </c>
      <c r="E81" s="250">
        <v>0</v>
      </c>
      <c r="F81" s="250">
        <v>0</v>
      </c>
      <c r="G81" s="250">
        <f>D81*E81*F81</f>
        <v>0</v>
      </c>
      <c r="H81" s="263"/>
      <c r="I81" s="264"/>
      <c r="J81" s="261"/>
      <c r="K81" s="261"/>
      <c r="L81" s="261"/>
      <c r="M81" s="261"/>
      <c r="N81" s="261"/>
    </row>
    <row r="82" spans="1:14" s="265" customFormat="1" ht="30.75">
      <c r="A82" s="229"/>
      <c r="B82" s="261"/>
      <c r="C82" s="251" t="s">
        <v>442</v>
      </c>
      <c r="D82" s="250">
        <v>1</v>
      </c>
      <c r="E82" s="250">
        <v>150</v>
      </c>
      <c r="F82" s="250">
        <v>5</v>
      </c>
      <c r="G82" s="250">
        <f>D82*E82*F82</f>
        <v>750</v>
      </c>
      <c r="H82" s="263"/>
      <c r="I82" s="264"/>
      <c r="J82" s="261"/>
      <c r="K82" s="261"/>
      <c r="L82" s="261"/>
      <c r="M82" s="261"/>
      <c r="N82" s="261"/>
    </row>
    <row r="83" spans="1:14" s="265" customFormat="1" ht="15">
      <c r="A83" s="229"/>
      <c r="B83" s="261"/>
      <c r="C83" s="244" t="s">
        <v>444</v>
      </c>
      <c r="D83" s="250">
        <v>1</v>
      </c>
      <c r="E83" s="250">
        <v>50</v>
      </c>
      <c r="F83" s="250">
        <v>5</v>
      </c>
      <c r="G83" s="250">
        <f>D83*E83*F83</f>
        <v>250</v>
      </c>
      <c r="H83" s="263"/>
      <c r="I83" s="264"/>
      <c r="J83" s="261"/>
      <c r="K83" s="261"/>
      <c r="L83" s="261"/>
      <c r="M83" s="261"/>
      <c r="N83" s="261"/>
    </row>
    <row r="84" spans="1:14" s="265" customFormat="1" ht="15">
      <c r="A84" s="252"/>
      <c r="B84" s="269" t="s">
        <v>503</v>
      </c>
      <c r="C84" s="253"/>
      <c r="D84" s="253"/>
      <c r="E84" s="253"/>
      <c r="F84" s="253"/>
      <c r="G84" s="275">
        <f>SUM(G80:G83)</f>
        <v>3820</v>
      </c>
      <c r="H84" s="263"/>
      <c r="I84" s="264"/>
      <c r="J84" s="261"/>
      <c r="K84" s="261"/>
      <c r="L84" s="261"/>
      <c r="M84" s="261"/>
      <c r="N84" s="261"/>
    </row>
    <row r="85" spans="1:14" s="265" customFormat="1" ht="108">
      <c r="A85" s="229"/>
      <c r="B85" s="274" t="s">
        <v>573</v>
      </c>
      <c r="C85" s="250"/>
      <c r="D85" s="250"/>
      <c r="E85" s="250"/>
      <c r="F85" s="250"/>
      <c r="G85" s="250"/>
      <c r="H85" s="263"/>
      <c r="I85" s="264"/>
      <c r="J85" s="261"/>
      <c r="K85" s="261"/>
      <c r="L85" s="261"/>
      <c r="M85" s="261"/>
      <c r="N85" s="261"/>
    </row>
    <row r="86" spans="1:14" s="265" customFormat="1" ht="15">
      <c r="A86" s="229"/>
      <c r="B86" s="261"/>
      <c r="C86" s="251" t="s">
        <v>440</v>
      </c>
      <c r="D86" s="250">
        <v>4</v>
      </c>
      <c r="E86" s="250">
        <v>283</v>
      </c>
      <c r="F86" s="250">
        <v>9</v>
      </c>
      <c r="G86" s="250">
        <f>D86*E86*F86</f>
        <v>10188</v>
      </c>
      <c r="H86" s="263"/>
      <c r="I86" s="264"/>
      <c r="J86" s="261"/>
      <c r="K86" s="261"/>
      <c r="L86" s="261"/>
      <c r="M86" s="261"/>
      <c r="N86" s="261"/>
    </row>
    <row r="87" spans="1:14" s="265" customFormat="1" ht="15">
      <c r="A87" s="229"/>
      <c r="B87" s="261"/>
      <c r="C87" s="251" t="s">
        <v>441</v>
      </c>
      <c r="D87" s="250">
        <v>4</v>
      </c>
      <c r="E87" s="250">
        <v>0</v>
      </c>
      <c r="F87" s="250">
        <v>0</v>
      </c>
      <c r="G87" s="250">
        <f>D87*E87*F87</f>
        <v>0</v>
      </c>
      <c r="H87" s="263"/>
      <c r="I87" s="264"/>
      <c r="J87" s="261"/>
      <c r="K87" s="261"/>
      <c r="L87" s="261"/>
      <c r="M87" s="261"/>
      <c r="N87" s="261"/>
    </row>
    <row r="88" spans="1:14" s="265" customFormat="1" ht="30.75">
      <c r="A88" s="229"/>
      <c r="B88" s="261"/>
      <c r="C88" s="276" t="s">
        <v>442</v>
      </c>
      <c r="D88" s="250">
        <v>1</v>
      </c>
      <c r="E88" s="250">
        <v>150</v>
      </c>
      <c r="F88" s="250">
        <v>9</v>
      </c>
      <c r="G88" s="250">
        <f>D88*E88*F88</f>
        <v>1350</v>
      </c>
      <c r="H88" s="263"/>
      <c r="I88" s="264"/>
      <c r="J88" s="261"/>
      <c r="K88" s="261"/>
      <c r="L88" s="261"/>
      <c r="M88" s="261"/>
      <c r="N88" s="261"/>
    </row>
    <row r="89" spans="1:14" s="265" customFormat="1" ht="15">
      <c r="A89" s="229"/>
      <c r="B89" s="261"/>
      <c r="C89" s="277" t="s">
        <v>444</v>
      </c>
      <c r="D89" s="250">
        <v>1</v>
      </c>
      <c r="E89" s="250">
        <v>450</v>
      </c>
      <c r="F89" s="250">
        <v>2</v>
      </c>
      <c r="G89" s="250">
        <f>D89*E89*F89</f>
        <v>900</v>
      </c>
      <c r="H89" s="263"/>
      <c r="I89" s="264"/>
      <c r="J89" s="261"/>
      <c r="K89" s="261"/>
      <c r="L89" s="261"/>
      <c r="M89" s="261"/>
      <c r="N89" s="261"/>
    </row>
    <row r="90" spans="1:14" s="265" customFormat="1" ht="15">
      <c r="A90" s="252"/>
      <c r="B90" s="269" t="s">
        <v>504</v>
      </c>
      <c r="C90" s="253"/>
      <c r="D90" s="253"/>
      <c r="E90" s="253"/>
      <c r="F90" s="253"/>
      <c r="G90" s="253">
        <f>SUM(G86:G89)</f>
        <v>12438</v>
      </c>
      <c r="H90" s="263"/>
      <c r="I90" s="264"/>
      <c r="J90" s="261"/>
      <c r="K90" s="261"/>
      <c r="L90" s="261"/>
      <c r="M90" s="261"/>
      <c r="N90" s="261"/>
    </row>
    <row r="91" spans="1:14" s="265" customFormat="1" ht="46.5">
      <c r="A91" s="229"/>
      <c r="B91" s="261" t="s">
        <v>724</v>
      </c>
      <c r="C91" s="250"/>
      <c r="D91" s="250"/>
      <c r="E91" s="250"/>
      <c r="F91" s="250"/>
      <c r="G91" s="250"/>
      <c r="H91" s="263"/>
      <c r="I91" s="264"/>
      <c r="J91" s="261"/>
      <c r="K91" s="261"/>
      <c r="L91" s="261"/>
      <c r="M91" s="261"/>
      <c r="N91" s="261"/>
    </row>
    <row r="92" spans="1:14" s="265" customFormat="1" ht="15">
      <c r="A92" s="229"/>
      <c r="B92" s="261"/>
      <c r="C92" s="273" t="s">
        <v>506</v>
      </c>
      <c r="D92" s="250">
        <v>1</v>
      </c>
      <c r="E92" s="250">
        <v>4100</v>
      </c>
      <c r="F92" s="250">
        <v>1</v>
      </c>
      <c r="G92" s="250">
        <f>D92*E92*F92</f>
        <v>4100</v>
      </c>
      <c r="H92" s="263"/>
      <c r="I92" s="264"/>
      <c r="J92" s="261"/>
      <c r="K92" s="261"/>
      <c r="L92" s="261"/>
      <c r="M92" s="261"/>
      <c r="N92" s="261"/>
    </row>
    <row r="93" spans="1:14" s="265" customFormat="1" ht="15">
      <c r="A93" s="252"/>
      <c r="B93" s="278" t="s">
        <v>723</v>
      </c>
      <c r="C93" s="253"/>
      <c r="D93" s="253"/>
      <c r="E93" s="253"/>
      <c r="F93" s="253"/>
      <c r="G93" s="253">
        <f>G92</f>
        <v>4100</v>
      </c>
      <c r="H93" s="263"/>
      <c r="I93" s="264"/>
      <c r="J93" s="261"/>
      <c r="K93" s="261"/>
      <c r="L93" s="261"/>
      <c r="M93" s="261"/>
      <c r="N93" s="261"/>
    </row>
    <row r="94" spans="1:14" s="265" customFormat="1" ht="15">
      <c r="A94" s="229"/>
      <c r="B94" s="273" t="s">
        <v>505</v>
      </c>
      <c r="C94" s="273" t="s">
        <v>506</v>
      </c>
      <c r="D94" s="273">
        <v>1</v>
      </c>
      <c r="E94" s="273">
        <v>0</v>
      </c>
      <c r="F94" s="273">
        <v>1</v>
      </c>
      <c r="G94" s="273">
        <f>D94*E94*F94</f>
        <v>0</v>
      </c>
      <c r="H94" s="263"/>
      <c r="I94" s="264"/>
      <c r="J94" s="261"/>
      <c r="K94" s="261"/>
      <c r="L94" s="261"/>
      <c r="M94" s="261"/>
      <c r="N94" s="261"/>
    </row>
    <row r="95" spans="1:14" s="265" customFormat="1" ht="15">
      <c r="A95" s="252"/>
      <c r="B95" s="278" t="s">
        <v>507</v>
      </c>
      <c r="C95" s="253"/>
      <c r="D95" s="253"/>
      <c r="E95" s="253"/>
      <c r="F95" s="253"/>
      <c r="G95" s="253">
        <f>G94</f>
        <v>0</v>
      </c>
      <c r="H95" s="263"/>
      <c r="I95" s="264"/>
      <c r="J95" s="261"/>
      <c r="K95" s="261"/>
      <c r="L95" s="261"/>
      <c r="M95" s="261"/>
      <c r="N95" s="261"/>
    </row>
    <row r="96" spans="1:14" s="203" customFormat="1" ht="14.25">
      <c r="A96" s="171"/>
      <c r="B96" s="171" t="s">
        <v>220</v>
      </c>
      <c r="C96" s="171"/>
      <c r="D96" s="171"/>
      <c r="E96" s="171"/>
      <c r="F96" s="171"/>
      <c r="G96" s="221">
        <f>+G95+G90+G84+G78+G70+G64+G52+G93</f>
        <v>174746</v>
      </c>
      <c r="H96" s="123"/>
      <c r="I96" s="222" t="e">
        <f>SUM(#REF!)</f>
        <v>#REF!</v>
      </c>
      <c r="J96" s="205" t="e">
        <f>SUM(#REF!)</f>
        <v>#REF!</v>
      </c>
      <c r="K96" s="205" t="e">
        <f>SUM(#REF!)</f>
        <v>#REF!</v>
      </c>
      <c r="L96" s="205" t="e">
        <f>SUM(#REF!)</f>
        <v>#REF!</v>
      </c>
      <c r="M96" s="205" t="e">
        <f>SUM(#REF!)</f>
        <v>#REF!</v>
      </c>
      <c r="N96" s="205" t="e">
        <f>SUM(#REF!)</f>
        <v>#REF!</v>
      </c>
    </row>
    <row r="97" spans="1:14" ht="14.25">
      <c r="A97" s="173"/>
      <c r="B97" s="173" t="s">
        <v>221</v>
      </c>
      <c r="C97" s="173"/>
      <c r="D97" s="173"/>
      <c r="E97" s="173"/>
      <c r="F97" s="173"/>
      <c r="G97" s="175">
        <f>G96+G33</f>
        <v>185616</v>
      </c>
      <c r="H97" s="123"/>
      <c r="I97" s="230" t="e">
        <f>#REF!+#REF!</f>
        <v>#REF!</v>
      </c>
      <c r="J97" s="173" t="e">
        <f>#REF!+#REF!</f>
        <v>#REF!</v>
      </c>
      <c r="K97" s="173" t="e">
        <f>#REF!+#REF!</f>
        <v>#REF!</v>
      </c>
      <c r="L97" s="173" t="e">
        <f>#REF!+#REF!</f>
        <v>#REF!</v>
      </c>
      <c r="M97" s="173" t="e">
        <f>#REF!+#REF!</f>
        <v>#REF!</v>
      </c>
      <c r="N97" s="173" t="e">
        <f>#REF!+#REF!</f>
        <v>#REF!</v>
      </c>
    </row>
    <row r="98" spans="1:14" ht="14.25">
      <c r="A98" s="177"/>
      <c r="B98" s="177" t="s">
        <v>222</v>
      </c>
      <c r="C98" s="177"/>
      <c r="D98" s="177"/>
      <c r="E98" s="177"/>
      <c r="F98" s="177"/>
      <c r="G98" s="179"/>
      <c r="H98" s="123"/>
      <c r="I98" s="231"/>
      <c r="J98" s="180"/>
      <c r="K98" s="180"/>
      <c r="L98" s="180"/>
      <c r="M98" s="180"/>
      <c r="N98" s="180"/>
    </row>
    <row r="99" spans="1:14" ht="14.25">
      <c r="A99" s="181"/>
      <c r="B99" s="181" t="s">
        <v>223</v>
      </c>
      <c r="C99" s="181"/>
      <c r="D99" s="181"/>
      <c r="E99" s="181"/>
      <c r="F99" s="181"/>
      <c r="G99" s="183"/>
      <c r="H99" s="209"/>
      <c r="I99" s="232"/>
      <c r="J99" s="184"/>
      <c r="K99" s="184"/>
      <c r="L99" s="184"/>
      <c r="M99" s="184"/>
      <c r="N99" s="184"/>
    </row>
    <row r="100" spans="1:14" ht="14.25">
      <c r="A100" s="143"/>
      <c r="B100" s="143" t="s">
        <v>360</v>
      </c>
      <c r="C100" s="143" t="s">
        <v>14</v>
      </c>
      <c r="D100" s="143"/>
      <c r="E100" s="143"/>
      <c r="F100" s="143"/>
      <c r="G100" s="197"/>
      <c r="H100" s="209"/>
      <c r="I100" s="210"/>
      <c r="J100" s="151"/>
      <c r="K100" s="151"/>
      <c r="L100" s="151"/>
      <c r="M100" s="151"/>
      <c r="N100" s="151"/>
    </row>
    <row r="101" spans="1:14" ht="14.25">
      <c r="A101" s="143"/>
      <c r="B101" s="143" t="s">
        <v>508</v>
      </c>
      <c r="C101" s="143" t="s">
        <v>14</v>
      </c>
      <c r="D101" s="143"/>
      <c r="E101" s="143"/>
      <c r="F101" s="143"/>
      <c r="G101" s="197"/>
      <c r="H101" s="209"/>
      <c r="I101" s="210"/>
      <c r="J101" s="151"/>
      <c r="K101" s="151"/>
      <c r="L101" s="151"/>
      <c r="M101" s="151"/>
      <c r="N101" s="151"/>
    </row>
    <row r="102" spans="1:14" ht="14.25">
      <c r="A102" s="143"/>
      <c r="B102" s="143" t="s">
        <v>509</v>
      </c>
      <c r="C102" s="143" t="s">
        <v>14</v>
      </c>
      <c r="D102" s="143"/>
      <c r="E102" s="143"/>
      <c r="F102" s="143"/>
      <c r="G102" s="197"/>
      <c r="H102" s="209"/>
      <c r="I102" s="210"/>
      <c r="J102" s="151"/>
      <c r="K102" s="151"/>
      <c r="L102" s="151"/>
      <c r="M102" s="151"/>
      <c r="N102" s="151"/>
    </row>
    <row r="103" spans="1:14" ht="14.25">
      <c r="A103" s="185"/>
      <c r="B103" s="185" t="s">
        <v>233</v>
      </c>
      <c r="C103" s="185"/>
      <c r="D103" s="185"/>
      <c r="E103" s="185"/>
      <c r="F103" s="185"/>
      <c r="G103" s="187"/>
      <c r="H103" s="209"/>
      <c r="I103" s="236"/>
      <c r="J103" s="188"/>
      <c r="K103" s="188"/>
      <c r="L103" s="188"/>
      <c r="M103" s="188"/>
      <c r="N103" s="188"/>
    </row>
    <row r="104" spans="1:14" ht="14.25">
      <c r="A104" s="189"/>
      <c r="B104" s="189" t="s">
        <v>234</v>
      </c>
      <c r="C104" s="189"/>
      <c r="D104" s="189"/>
      <c r="E104" s="189"/>
      <c r="F104" s="189"/>
      <c r="G104" s="191"/>
      <c r="H104" s="123"/>
      <c r="I104" s="237"/>
      <c r="J104" s="192"/>
      <c r="K104" s="192"/>
      <c r="L104" s="192"/>
      <c r="M104" s="192"/>
      <c r="N104" s="192"/>
    </row>
    <row r="105" spans="1:14" ht="14.25">
      <c r="A105" s="143"/>
      <c r="B105" s="143" t="s">
        <v>366</v>
      </c>
      <c r="C105" s="143" t="s">
        <v>14</v>
      </c>
      <c r="D105" s="143"/>
      <c r="E105" s="143"/>
      <c r="F105" s="143"/>
      <c r="G105" s="197"/>
      <c r="H105" s="209"/>
      <c r="I105" s="210"/>
      <c r="J105" s="151"/>
      <c r="K105" s="151"/>
      <c r="L105" s="151"/>
      <c r="M105" s="151"/>
      <c r="N105" s="151"/>
    </row>
    <row r="106" spans="1:14" ht="14.25">
      <c r="A106" s="143"/>
      <c r="B106" s="143" t="s">
        <v>367</v>
      </c>
      <c r="C106" s="143" t="s">
        <v>14</v>
      </c>
      <c r="D106" s="143"/>
      <c r="E106" s="143"/>
      <c r="F106" s="143"/>
      <c r="G106" s="197"/>
      <c r="H106" s="209"/>
      <c r="I106" s="210"/>
      <c r="J106" s="151"/>
      <c r="K106" s="151"/>
      <c r="L106" s="151"/>
      <c r="M106" s="151"/>
      <c r="N106" s="151"/>
    </row>
    <row r="107" spans="1:14" ht="14.25">
      <c r="A107" s="143"/>
      <c r="B107" s="143" t="s">
        <v>369</v>
      </c>
      <c r="C107" s="143" t="s">
        <v>14</v>
      </c>
      <c r="D107" s="143"/>
      <c r="E107" s="143"/>
      <c r="F107" s="143"/>
      <c r="G107" s="197"/>
      <c r="H107" s="209"/>
      <c r="I107" s="210"/>
      <c r="J107" s="151"/>
      <c r="K107" s="151"/>
      <c r="L107" s="151"/>
      <c r="M107" s="151"/>
      <c r="N107" s="151"/>
    </row>
    <row r="108" spans="1:14" ht="14.25">
      <c r="A108" s="193"/>
      <c r="B108" s="193" t="s">
        <v>240</v>
      </c>
      <c r="C108" s="193"/>
      <c r="D108" s="193"/>
      <c r="E108" s="193"/>
      <c r="F108" s="193"/>
      <c r="G108" s="195"/>
      <c r="H108" s="209"/>
      <c r="I108" s="240"/>
      <c r="J108" s="196"/>
      <c r="K108" s="196"/>
      <c r="L108" s="196"/>
      <c r="M108" s="196"/>
      <c r="N108" s="196"/>
    </row>
    <row r="109" spans="1:14" ht="14.25">
      <c r="A109" s="143"/>
      <c r="B109" s="143" t="s">
        <v>241</v>
      </c>
      <c r="C109" s="143"/>
      <c r="D109" s="143"/>
      <c r="E109" s="143"/>
      <c r="F109" s="143"/>
      <c r="G109" s="197"/>
      <c r="H109" s="209"/>
      <c r="I109" s="210"/>
      <c r="J109" s="151"/>
      <c r="K109" s="151"/>
      <c r="L109" s="151"/>
      <c r="M109" s="151"/>
      <c r="N109" s="151"/>
    </row>
    <row r="110" spans="1:14" ht="15" thickBot="1">
      <c r="A110" s="198"/>
      <c r="B110" s="198" t="s">
        <v>242</v>
      </c>
      <c r="C110" s="198"/>
      <c r="D110" s="198"/>
      <c r="E110" s="198"/>
      <c r="F110" s="198"/>
      <c r="G110" s="200">
        <f>G109+G97</f>
        <v>185616</v>
      </c>
      <c r="H110" s="241"/>
      <c r="I110" s="242" t="e">
        <f aca="true" t="shared" si="3" ref="I110:N110">I109+I97</f>
        <v>#REF!</v>
      </c>
      <c r="J110" s="202" t="e">
        <f t="shared" si="3"/>
        <v>#REF!</v>
      </c>
      <c r="K110" s="202" t="e">
        <f t="shared" si="3"/>
        <v>#REF!</v>
      </c>
      <c r="L110" s="202" t="e">
        <f t="shared" si="3"/>
        <v>#REF!</v>
      </c>
      <c r="M110" s="202" t="e">
        <f t="shared" si="3"/>
        <v>#REF!</v>
      </c>
      <c r="N110" s="202" t="e">
        <f t="shared" si="3"/>
        <v>#REF!</v>
      </c>
    </row>
    <row r="112" ht="14.25">
      <c r="G112" s="363"/>
    </row>
    <row r="113" ht="14.25">
      <c r="C113" s="366"/>
    </row>
  </sheetData>
  <sheetProtection/>
  <mergeCells count="4">
    <mergeCell ref="I5:N5"/>
    <mergeCell ref="B8:P8"/>
    <mergeCell ref="B9:Q9"/>
    <mergeCell ref="B34:N34"/>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5:B9"/>
  <sheetViews>
    <sheetView zoomScalePageLayoutView="0" workbookViewId="0" topLeftCell="A1">
      <selection activeCell="C23" sqref="C23"/>
    </sheetView>
  </sheetViews>
  <sheetFormatPr defaultColWidth="11.421875" defaultRowHeight="15"/>
  <cols>
    <col min="1" max="1" width="11.421875" style="0" customWidth="1"/>
    <col min="2" max="2" width="60.7109375" style="0" customWidth="1"/>
  </cols>
  <sheetData>
    <row r="5" ht="14.25">
      <c r="B5" t="s">
        <v>104</v>
      </c>
    </row>
    <row r="6" ht="14.25">
      <c r="B6" t="s">
        <v>107</v>
      </c>
    </row>
    <row r="7" ht="14.25">
      <c r="B7" t="s">
        <v>105</v>
      </c>
    </row>
    <row r="8" ht="14.25">
      <c r="B8" t="s">
        <v>106</v>
      </c>
    </row>
    <row r="9" ht="14.25">
      <c r="B9" t="s">
        <v>108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J111"/>
  <sheetViews>
    <sheetView zoomScalePageLayoutView="0" workbookViewId="0" topLeftCell="B111">
      <selection activeCell="B8" sqref="B8:I8"/>
    </sheetView>
  </sheetViews>
  <sheetFormatPr defaultColWidth="11.421875" defaultRowHeight="15"/>
  <cols>
    <col min="1" max="1" width="11.421875" style="0" customWidth="1"/>
    <col min="2" max="2" width="47.00390625" style="0" customWidth="1"/>
    <col min="3" max="3" width="15.7109375" style="0" customWidth="1"/>
    <col min="4" max="4" width="11.421875" style="0" customWidth="1"/>
    <col min="5" max="5" width="10.28125" style="0" bestFit="1" customWidth="1"/>
    <col min="6" max="6" width="10.28125" style="0" customWidth="1"/>
    <col min="7" max="7" width="12.28125" style="0" customWidth="1"/>
    <col min="8" max="8" width="15.28125" style="369" customWidth="1"/>
    <col min="9" max="9" width="1.8515625" style="369" customWidth="1"/>
  </cols>
  <sheetData>
    <row r="2" ht="14.25">
      <c r="B2" s="203" t="s">
        <v>376</v>
      </c>
    </row>
    <row r="3" ht="14.25">
      <c r="B3" t="s">
        <v>134</v>
      </c>
    </row>
    <row r="4" ht="15" thickBot="1">
      <c r="B4" s="204" t="s">
        <v>135</v>
      </c>
    </row>
    <row r="5" spans="1:9" ht="14.25">
      <c r="A5" s="286" t="s">
        <v>11</v>
      </c>
      <c r="B5" s="286" t="s">
        <v>136</v>
      </c>
      <c r="C5" s="286" t="s">
        <v>137</v>
      </c>
      <c r="D5" s="286" t="s">
        <v>4</v>
      </c>
      <c r="E5" s="286" t="s">
        <v>138</v>
      </c>
      <c r="F5" s="286" t="s">
        <v>589</v>
      </c>
      <c r="G5" s="286" t="s">
        <v>139</v>
      </c>
      <c r="H5" s="114" t="s">
        <v>21</v>
      </c>
      <c r="I5" s="115"/>
    </row>
    <row r="6" spans="1:9" ht="14.25">
      <c r="A6" s="286"/>
      <c r="B6" s="286"/>
      <c r="C6" s="286"/>
      <c r="D6" s="286"/>
      <c r="E6" s="286"/>
      <c r="F6" s="286"/>
      <c r="G6" s="286"/>
      <c r="H6" s="114"/>
      <c r="I6" s="116"/>
    </row>
    <row r="7" spans="1:9" ht="14.25">
      <c r="A7" s="292"/>
      <c r="B7" s="292" t="s">
        <v>141</v>
      </c>
      <c r="C7" s="292"/>
      <c r="D7" s="292"/>
      <c r="E7" s="292"/>
      <c r="F7" s="292"/>
      <c r="G7" s="292"/>
      <c r="H7" s="122"/>
      <c r="I7" s="123"/>
    </row>
    <row r="8" spans="1:9" ht="14.25">
      <c r="A8" s="126"/>
      <c r="B8" s="829" t="s">
        <v>123</v>
      </c>
      <c r="C8" s="829"/>
      <c r="D8" s="829"/>
      <c r="E8" s="829"/>
      <c r="F8" s="829"/>
      <c r="G8" s="829"/>
      <c r="H8" s="829"/>
      <c r="I8" s="829"/>
    </row>
    <row r="9" spans="1:9" ht="24">
      <c r="A9" s="149"/>
      <c r="B9" s="208" t="s">
        <v>17</v>
      </c>
      <c r="C9" s="302"/>
      <c r="D9" s="302"/>
      <c r="E9" s="302"/>
      <c r="F9" s="302"/>
      <c r="G9" s="302"/>
      <c r="H9" s="370"/>
      <c r="I9" s="371"/>
    </row>
    <row r="10" spans="1:9" ht="46.5">
      <c r="A10" s="302"/>
      <c r="B10" s="306" t="s">
        <v>377</v>
      </c>
      <c r="C10" s="302"/>
      <c r="D10" s="302"/>
      <c r="E10" s="302"/>
      <c r="F10" s="302"/>
      <c r="G10" s="302"/>
      <c r="H10" s="370"/>
      <c r="I10" s="371"/>
    </row>
    <row r="11" spans="1:9" ht="43.5">
      <c r="A11" s="302"/>
      <c r="B11" s="146" t="s">
        <v>378</v>
      </c>
      <c r="C11" s="211" t="s">
        <v>379</v>
      </c>
      <c r="D11" s="302">
        <v>6</v>
      </c>
      <c r="E11" s="302">
        <v>300</v>
      </c>
      <c r="F11" s="372">
        <v>1</v>
      </c>
      <c r="G11" s="302">
        <v>4</v>
      </c>
      <c r="H11" s="370">
        <f>D11*E11*G11*F11</f>
        <v>7200</v>
      </c>
      <c r="I11" s="371"/>
    </row>
    <row r="12" spans="1:9" ht="28.5">
      <c r="A12" s="302"/>
      <c r="B12" s="146"/>
      <c r="C12" s="211" t="s">
        <v>380</v>
      </c>
      <c r="D12" s="302">
        <v>6</v>
      </c>
      <c r="E12" s="302">
        <v>100</v>
      </c>
      <c r="F12" s="372">
        <v>1</v>
      </c>
      <c r="G12" s="302">
        <v>4</v>
      </c>
      <c r="H12" s="370">
        <f>D12*E12*G12*F12</f>
        <v>2400</v>
      </c>
      <c r="I12" s="371"/>
    </row>
    <row r="13" spans="1:9" ht="28.5">
      <c r="A13" s="302"/>
      <c r="B13" s="146" t="s">
        <v>381</v>
      </c>
      <c r="C13" s="211" t="s">
        <v>382</v>
      </c>
      <c r="D13" s="302">
        <v>6</v>
      </c>
      <c r="E13" s="302">
        <v>8</v>
      </c>
      <c r="F13" s="372">
        <v>1</v>
      </c>
      <c r="G13" s="302">
        <v>30</v>
      </c>
      <c r="H13" s="370">
        <f>D13*E13*G13*F13</f>
        <v>1440</v>
      </c>
      <c r="I13" s="371"/>
    </row>
    <row r="14" spans="1:9" ht="14.25">
      <c r="A14" s="364"/>
      <c r="B14" s="364" t="s">
        <v>383</v>
      </c>
      <c r="C14" s="364"/>
      <c r="D14" s="364"/>
      <c r="E14" s="364"/>
      <c r="F14" s="364"/>
      <c r="G14" s="364"/>
      <c r="H14" s="365">
        <f>SUM(H11:H13)</f>
        <v>11040</v>
      </c>
      <c r="I14" s="371"/>
    </row>
    <row r="15" spans="1:9" ht="46.5">
      <c r="A15" s="302"/>
      <c r="B15" s="306" t="s">
        <v>511</v>
      </c>
      <c r="C15" s="302"/>
      <c r="D15" s="302"/>
      <c r="E15" s="302"/>
      <c r="F15" s="302"/>
      <c r="G15" s="302"/>
      <c r="H15" s="370"/>
      <c r="I15" s="373"/>
    </row>
    <row r="16" spans="1:9" ht="25.5">
      <c r="A16" s="302"/>
      <c r="B16" s="213" t="s">
        <v>575</v>
      </c>
      <c r="C16" s="214" t="s">
        <v>384</v>
      </c>
      <c r="D16" s="215">
        <v>100</v>
      </c>
      <c r="E16" s="216">
        <v>10</v>
      </c>
      <c r="F16" s="372">
        <v>1</v>
      </c>
      <c r="G16" s="302">
        <v>1</v>
      </c>
      <c r="H16" s="370">
        <f aca="true" t="shared" si="0" ref="H16:H24">D16*E16*G16*F16</f>
        <v>1000</v>
      </c>
      <c r="I16" s="373"/>
    </row>
    <row r="17" spans="1:9" ht="25.5">
      <c r="A17" s="302"/>
      <c r="B17" s="302"/>
      <c r="C17" s="217" t="s">
        <v>385</v>
      </c>
      <c r="D17" s="215">
        <v>100</v>
      </c>
      <c r="E17" s="216">
        <v>5</v>
      </c>
      <c r="F17" s="372">
        <v>1</v>
      </c>
      <c r="G17" s="302">
        <v>1</v>
      </c>
      <c r="H17" s="370">
        <f t="shared" si="0"/>
        <v>500</v>
      </c>
      <c r="I17" s="373"/>
    </row>
    <row r="18" spans="1:9" ht="25.5">
      <c r="A18" s="302"/>
      <c r="B18" s="302"/>
      <c r="C18" s="218" t="s">
        <v>386</v>
      </c>
      <c r="D18" s="215">
        <v>6</v>
      </c>
      <c r="E18" s="216">
        <v>20</v>
      </c>
      <c r="F18" s="372">
        <v>1</v>
      </c>
      <c r="G18" s="302">
        <v>1</v>
      </c>
      <c r="H18" s="370">
        <f t="shared" si="0"/>
        <v>120</v>
      </c>
      <c r="I18" s="373"/>
    </row>
    <row r="19" spans="1:9" ht="25.5">
      <c r="A19" s="302"/>
      <c r="B19" s="302"/>
      <c r="C19" s="218" t="s">
        <v>387</v>
      </c>
      <c r="D19" s="215">
        <v>6</v>
      </c>
      <c r="E19" s="216">
        <v>25</v>
      </c>
      <c r="F19" s="372">
        <v>1</v>
      </c>
      <c r="G19" s="302">
        <v>1</v>
      </c>
      <c r="H19" s="370">
        <f t="shared" si="0"/>
        <v>150</v>
      </c>
      <c r="I19" s="373"/>
    </row>
    <row r="20" spans="1:9" ht="25.5">
      <c r="A20" s="302"/>
      <c r="B20" s="368"/>
      <c r="C20" s="214" t="s">
        <v>388</v>
      </c>
      <c r="D20" s="215">
        <v>1</v>
      </c>
      <c r="E20" s="216">
        <v>100</v>
      </c>
      <c r="F20" s="372">
        <v>1</v>
      </c>
      <c r="G20" s="302">
        <v>1</v>
      </c>
      <c r="H20" s="370">
        <f t="shared" si="0"/>
        <v>100</v>
      </c>
      <c r="I20" s="373"/>
    </row>
    <row r="21" spans="1:9" ht="38.25">
      <c r="A21" s="302"/>
      <c r="B21" s="368"/>
      <c r="C21" s="214" t="s">
        <v>389</v>
      </c>
      <c r="D21" s="215">
        <v>1</v>
      </c>
      <c r="E21" s="216">
        <v>13</v>
      </c>
      <c r="F21" s="372">
        <v>1</v>
      </c>
      <c r="G21" s="302">
        <v>1</v>
      </c>
      <c r="H21" s="370">
        <f t="shared" si="0"/>
        <v>13</v>
      </c>
      <c r="I21" s="373"/>
    </row>
    <row r="22" spans="1:9" ht="25.5">
      <c r="A22" s="302"/>
      <c r="B22" s="368"/>
      <c r="C22" s="218" t="s">
        <v>390</v>
      </c>
      <c r="D22" s="215">
        <v>1</v>
      </c>
      <c r="E22" s="216">
        <v>150</v>
      </c>
      <c r="F22" s="372">
        <v>1</v>
      </c>
      <c r="G22" s="302">
        <v>3</v>
      </c>
      <c r="H22" s="370">
        <f t="shared" si="0"/>
        <v>450</v>
      </c>
      <c r="I22" s="373"/>
    </row>
    <row r="23" spans="1:9" ht="15">
      <c r="A23" s="302"/>
      <c r="B23" s="146"/>
      <c r="C23" s="218" t="s">
        <v>391</v>
      </c>
      <c r="D23" s="215">
        <v>1</v>
      </c>
      <c r="E23" s="216">
        <v>500</v>
      </c>
      <c r="F23" s="372">
        <v>1</v>
      </c>
      <c r="G23" s="302">
        <v>1</v>
      </c>
      <c r="H23" s="370">
        <f t="shared" si="0"/>
        <v>500</v>
      </c>
      <c r="I23" s="373"/>
    </row>
    <row r="24" spans="1:9" ht="15">
      <c r="A24" s="302"/>
      <c r="B24" s="146"/>
      <c r="C24" s="218" t="s">
        <v>392</v>
      </c>
      <c r="D24" s="215">
        <v>1</v>
      </c>
      <c r="E24" s="374">
        <v>2000</v>
      </c>
      <c r="F24" s="372">
        <v>1</v>
      </c>
      <c r="G24" s="302">
        <v>1</v>
      </c>
      <c r="H24" s="370">
        <f t="shared" si="0"/>
        <v>2000</v>
      </c>
      <c r="I24" s="373"/>
    </row>
    <row r="25" spans="1:9" ht="14.25">
      <c r="A25" s="364"/>
      <c r="B25" s="364" t="s">
        <v>393</v>
      </c>
      <c r="C25" s="364"/>
      <c r="D25" s="364"/>
      <c r="E25" s="364"/>
      <c r="F25" s="364"/>
      <c r="G25" s="364"/>
      <c r="H25" s="365">
        <f>SUM(H16:H24)</f>
        <v>4833</v>
      </c>
      <c r="I25" s="373"/>
    </row>
    <row r="26" spans="1:9" ht="30.75">
      <c r="A26" s="302"/>
      <c r="B26" s="306" t="s">
        <v>394</v>
      </c>
      <c r="C26" s="302"/>
      <c r="D26" s="302"/>
      <c r="E26" s="302"/>
      <c r="F26" s="302"/>
      <c r="G26" s="302"/>
      <c r="H26" s="370"/>
      <c r="I26" s="373"/>
    </row>
    <row r="27" spans="1:9" ht="15">
      <c r="A27" s="302"/>
      <c r="B27" s="325" t="s">
        <v>395</v>
      </c>
      <c r="C27" s="302"/>
      <c r="D27" s="302"/>
      <c r="E27" s="302"/>
      <c r="F27" s="302"/>
      <c r="G27" s="302"/>
      <c r="H27" s="370"/>
      <c r="I27" s="373"/>
    </row>
    <row r="28" spans="1:9" ht="43.5">
      <c r="A28" s="302"/>
      <c r="B28" s="146" t="s">
        <v>396</v>
      </c>
      <c r="C28" s="211" t="s">
        <v>397</v>
      </c>
      <c r="D28" s="302">
        <v>6</v>
      </c>
      <c r="E28" s="302">
        <v>300</v>
      </c>
      <c r="F28" s="372">
        <v>1</v>
      </c>
      <c r="G28" s="302">
        <v>4</v>
      </c>
      <c r="H28" s="370">
        <f>D28*E28*G28*F28</f>
        <v>7200</v>
      </c>
      <c r="I28" s="373"/>
    </row>
    <row r="29" spans="1:9" ht="28.5">
      <c r="A29" s="302"/>
      <c r="B29" s="146"/>
      <c r="C29" s="211" t="s">
        <v>398</v>
      </c>
      <c r="D29" s="302">
        <v>6</v>
      </c>
      <c r="E29" s="302">
        <v>100</v>
      </c>
      <c r="F29" s="372">
        <v>1</v>
      </c>
      <c r="G29" s="302">
        <v>4</v>
      </c>
      <c r="H29" s="370">
        <f>D29*E29*G29*F29</f>
        <v>2400</v>
      </c>
      <c r="I29" s="373"/>
    </row>
    <row r="30" spans="1:9" ht="28.5">
      <c r="A30" s="302"/>
      <c r="B30" s="146"/>
      <c r="C30" s="211" t="s">
        <v>399</v>
      </c>
      <c r="D30" s="302">
        <v>6</v>
      </c>
      <c r="E30" s="302">
        <v>8</v>
      </c>
      <c r="F30" s="372">
        <v>1</v>
      </c>
      <c r="G30" s="302">
        <v>30</v>
      </c>
      <c r="H30" s="370">
        <f>D30*E30*G30*F30</f>
        <v>1440</v>
      </c>
      <c r="I30" s="373"/>
    </row>
    <row r="31" spans="1:9" ht="14.25">
      <c r="A31" s="364"/>
      <c r="B31" s="364" t="s">
        <v>400</v>
      </c>
      <c r="C31" s="364"/>
      <c r="D31" s="364"/>
      <c r="E31" s="364"/>
      <c r="F31" s="364"/>
      <c r="G31" s="364"/>
      <c r="H31" s="365">
        <f>SUM(H28:H30)</f>
        <v>11040</v>
      </c>
      <c r="I31" s="373"/>
    </row>
    <row r="32" spans="1:9" ht="15">
      <c r="A32" s="302"/>
      <c r="B32" s="146"/>
      <c r="C32" s="302"/>
      <c r="D32" s="302"/>
      <c r="E32" s="302"/>
      <c r="F32" s="302"/>
      <c r="G32" s="302"/>
      <c r="H32" s="370"/>
      <c r="I32" s="373"/>
    </row>
    <row r="33" spans="1:9" ht="14.25">
      <c r="A33" s="302"/>
      <c r="B33" s="219" t="s">
        <v>331</v>
      </c>
      <c r="C33" s="219"/>
      <c r="D33" s="219"/>
      <c r="E33" s="219"/>
      <c r="F33" s="219"/>
      <c r="G33" s="331"/>
      <c r="H33" s="220">
        <f>H31+H25+H14</f>
        <v>26913</v>
      </c>
      <c r="I33" s="221" t="e">
        <f>SUM(#REF!)</f>
        <v>#REF!</v>
      </c>
    </row>
    <row r="34" spans="1:10" ht="14.25">
      <c r="A34" s="302"/>
      <c r="B34" s="830" t="s">
        <v>120</v>
      </c>
      <c r="C34" s="831"/>
      <c r="D34" s="831"/>
      <c r="E34" s="831"/>
      <c r="F34" s="831"/>
      <c r="G34" s="831"/>
      <c r="H34" s="831"/>
      <c r="I34" s="831"/>
      <c r="J34" s="831"/>
    </row>
    <row r="35" spans="1:9" ht="36">
      <c r="A35" s="302"/>
      <c r="B35" s="208" t="s">
        <v>122</v>
      </c>
      <c r="C35" s="302"/>
      <c r="D35" s="302"/>
      <c r="E35" s="302"/>
      <c r="F35" s="302"/>
      <c r="G35" s="302"/>
      <c r="H35" s="370"/>
      <c r="I35" s="371"/>
    </row>
    <row r="36" spans="1:9" ht="50.25" customHeight="1">
      <c r="A36" s="302"/>
      <c r="B36" s="306" t="s">
        <v>401</v>
      </c>
      <c r="C36" s="302"/>
      <c r="D36" s="302"/>
      <c r="E36" s="302"/>
      <c r="F36" s="302"/>
      <c r="G36" s="302"/>
      <c r="H36" s="370"/>
      <c r="I36" s="371"/>
    </row>
    <row r="37" spans="1:9" ht="43.5">
      <c r="A37" s="302"/>
      <c r="B37" t="s">
        <v>402</v>
      </c>
      <c r="C37" s="223" t="s">
        <v>379</v>
      </c>
      <c r="D37" s="302">
        <v>6</v>
      </c>
      <c r="E37" s="302">
        <v>300</v>
      </c>
      <c r="F37" s="372">
        <v>1</v>
      </c>
      <c r="G37" s="302">
        <v>4</v>
      </c>
      <c r="H37" s="370">
        <f>D37*E37*G37*F37</f>
        <v>7200</v>
      </c>
      <c r="I37" s="371"/>
    </row>
    <row r="38" spans="1:9" ht="28.5">
      <c r="A38" s="302"/>
      <c r="B38" s="146" t="s">
        <v>403</v>
      </c>
      <c r="C38" s="223" t="s">
        <v>380</v>
      </c>
      <c r="D38" s="302">
        <v>6</v>
      </c>
      <c r="E38" s="302">
        <v>100</v>
      </c>
      <c r="F38" s="372">
        <v>1</v>
      </c>
      <c r="G38" s="302">
        <v>4</v>
      </c>
      <c r="H38" s="370">
        <f>D38*E38*G38*F38</f>
        <v>2400</v>
      </c>
      <c r="I38" s="371"/>
    </row>
    <row r="39" spans="1:9" ht="28.5">
      <c r="A39" s="302"/>
      <c r="B39" s="146" t="s">
        <v>381</v>
      </c>
      <c r="C39" s="223" t="s">
        <v>382</v>
      </c>
      <c r="D39" s="302">
        <v>6</v>
      </c>
      <c r="E39" s="302">
        <v>8</v>
      </c>
      <c r="F39" s="372">
        <v>1</v>
      </c>
      <c r="G39" s="302">
        <v>30</v>
      </c>
      <c r="H39" s="370">
        <f>D39*E39*G39*F39</f>
        <v>1440</v>
      </c>
      <c r="I39" s="371"/>
    </row>
    <row r="40" spans="1:9" ht="15">
      <c r="A40" s="302"/>
      <c r="B40" s="325" t="s">
        <v>404</v>
      </c>
      <c r="C40" s="302"/>
      <c r="D40" s="302"/>
      <c r="E40" s="302"/>
      <c r="F40" s="302"/>
      <c r="G40" s="302"/>
      <c r="H40" s="370"/>
      <c r="I40" s="371"/>
    </row>
    <row r="41" spans="1:9" ht="43.5">
      <c r="A41" s="302"/>
      <c r="B41" s="146" t="s">
        <v>405</v>
      </c>
      <c r="C41" s="223" t="s">
        <v>379</v>
      </c>
      <c r="D41" s="302">
        <v>1</v>
      </c>
      <c r="E41" s="302">
        <v>300</v>
      </c>
      <c r="F41" s="372">
        <v>1</v>
      </c>
      <c r="G41" s="302">
        <v>6</v>
      </c>
      <c r="H41" s="370">
        <f>D41*E41*G41*F41</f>
        <v>1800</v>
      </c>
      <c r="I41" s="371"/>
    </row>
    <row r="42" spans="1:9" ht="28.5">
      <c r="A42" s="302"/>
      <c r="B42" s="325"/>
      <c r="C42" s="223" t="s">
        <v>380</v>
      </c>
      <c r="D42" s="302">
        <v>1</v>
      </c>
      <c r="E42" s="302">
        <v>100</v>
      </c>
      <c r="F42" s="372">
        <v>1</v>
      </c>
      <c r="G42" s="302">
        <v>6</v>
      </c>
      <c r="H42" s="370">
        <f>D42*E42*G42*F42</f>
        <v>600</v>
      </c>
      <c r="I42" s="371"/>
    </row>
    <row r="43" spans="1:9" ht="28.5">
      <c r="A43" s="302"/>
      <c r="B43" s="325"/>
      <c r="C43" s="223" t="s">
        <v>382</v>
      </c>
      <c r="D43" s="302">
        <v>1</v>
      </c>
      <c r="E43" s="302">
        <v>8</v>
      </c>
      <c r="F43" s="372">
        <v>1</v>
      </c>
      <c r="G43" s="302">
        <v>24</v>
      </c>
      <c r="H43" s="370">
        <f>D43*E43*G43*F43</f>
        <v>192</v>
      </c>
      <c r="I43" s="371"/>
    </row>
    <row r="44" spans="1:9" ht="14.25">
      <c r="A44" s="364"/>
      <c r="B44" s="364" t="s">
        <v>406</v>
      </c>
      <c r="C44" s="364"/>
      <c r="D44" s="364"/>
      <c r="E44" s="364"/>
      <c r="F44" s="364"/>
      <c r="G44" s="364"/>
      <c r="H44" s="365">
        <f>SUM(H37:H43)</f>
        <v>13632</v>
      </c>
      <c r="I44" s="371"/>
    </row>
    <row r="45" spans="1:9" ht="57.75">
      <c r="A45" s="302"/>
      <c r="B45" s="225" t="s">
        <v>407</v>
      </c>
      <c r="C45" s="302"/>
      <c r="D45" s="302"/>
      <c r="E45" s="302"/>
      <c r="F45" s="302"/>
      <c r="G45" s="302"/>
      <c r="H45" s="370"/>
      <c r="I45" s="371"/>
    </row>
    <row r="46" spans="1:9" ht="46.5">
      <c r="A46" s="302"/>
      <c r="B46" s="224" t="s">
        <v>408</v>
      </c>
      <c r="C46" s="302"/>
      <c r="D46" s="302"/>
      <c r="E46" s="302"/>
      <c r="F46" s="302"/>
      <c r="G46" s="302"/>
      <c r="H46" s="370"/>
      <c r="I46" s="371"/>
    </row>
    <row r="47" spans="1:9" ht="15">
      <c r="A47" s="302"/>
      <c r="B47" s="226" t="s">
        <v>409</v>
      </c>
      <c r="C47" s="302" t="s">
        <v>146</v>
      </c>
      <c r="D47" s="302">
        <v>4</v>
      </c>
      <c r="E47" s="302">
        <v>50</v>
      </c>
      <c r="F47" s="372">
        <v>1</v>
      </c>
      <c r="G47" s="302">
        <v>12</v>
      </c>
      <c r="H47" s="370">
        <f>D47*E47*G47*F47</f>
        <v>2400</v>
      </c>
      <c r="I47" s="371"/>
    </row>
    <row r="48" spans="1:9" ht="15">
      <c r="A48" s="302"/>
      <c r="B48" s="226"/>
      <c r="C48" s="302" t="s">
        <v>410</v>
      </c>
      <c r="D48" s="302">
        <v>4</v>
      </c>
      <c r="E48" s="302">
        <v>50</v>
      </c>
      <c r="F48" s="372">
        <v>1</v>
      </c>
      <c r="G48" s="302">
        <v>6</v>
      </c>
      <c r="H48" s="370">
        <f>D48*E48*G48*F48</f>
        <v>1200</v>
      </c>
      <c r="I48" s="371"/>
    </row>
    <row r="49" spans="1:9" ht="15">
      <c r="A49" s="302"/>
      <c r="B49" s="226" t="s">
        <v>411</v>
      </c>
      <c r="C49" s="302" t="s">
        <v>412</v>
      </c>
      <c r="D49" s="302">
        <v>50</v>
      </c>
      <c r="E49" s="302">
        <v>5</v>
      </c>
      <c r="F49" s="372">
        <v>1</v>
      </c>
      <c r="G49" s="302">
        <v>24</v>
      </c>
      <c r="H49" s="370">
        <f>D49*E49*G49*F49</f>
        <v>6000</v>
      </c>
      <c r="I49" s="371"/>
    </row>
    <row r="50" spans="1:9" ht="15">
      <c r="A50" s="302"/>
      <c r="B50" s="226"/>
      <c r="C50" s="302" t="s">
        <v>413</v>
      </c>
      <c r="D50" s="302">
        <v>4</v>
      </c>
      <c r="E50" s="302">
        <v>150</v>
      </c>
      <c r="F50" s="372">
        <v>1</v>
      </c>
      <c r="G50" s="302">
        <v>12</v>
      </c>
      <c r="H50" s="370">
        <f>D50*E50*G50*F50</f>
        <v>7200</v>
      </c>
      <c r="I50" s="371"/>
    </row>
    <row r="51" spans="1:9" ht="14.25">
      <c r="A51" s="364"/>
      <c r="B51" s="364" t="s">
        <v>336</v>
      </c>
      <c r="C51" s="364"/>
      <c r="D51" s="364"/>
      <c r="E51" s="364"/>
      <c r="F51" s="364"/>
      <c r="G51" s="364"/>
      <c r="H51" s="365">
        <f>SUM(H47:H50)</f>
        <v>16800</v>
      </c>
      <c r="I51" s="371"/>
    </row>
    <row r="52" spans="1:9" ht="15">
      <c r="A52" s="302"/>
      <c r="B52" s="226"/>
      <c r="C52" s="302"/>
      <c r="D52" s="302"/>
      <c r="E52" s="302"/>
      <c r="F52" s="302"/>
      <c r="G52" s="302"/>
      <c r="H52" s="370"/>
      <c r="I52" s="371"/>
    </row>
    <row r="53" spans="1:9" ht="30.75">
      <c r="A53" s="302"/>
      <c r="B53" s="224" t="s">
        <v>414</v>
      </c>
      <c r="C53" s="302"/>
      <c r="D53" s="302"/>
      <c r="E53" s="302"/>
      <c r="F53" s="302"/>
      <c r="G53" s="302"/>
      <c r="H53" s="370"/>
      <c r="I53" s="371"/>
    </row>
    <row r="54" spans="1:9" ht="46.5">
      <c r="A54" s="302"/>
      <c r="B54" s="226" t="s">
        <v>415</v>
      </c>
      <c r="C54" s="214" t="s">
        <v>384</v>
      </c>
      <c r="D54" s="215">
        <v>50</v>
      </c>
      <c r="E54" s="216">
        <v>2</v>
      </c>
      <c r="F54" s="372">
        <v>1</v>
      </c>
      <c r="G54" s="302">
        <v>24</v>
      </c>
      <c r="H54" s="370">
        <f aca="true" t="shared" si="1" ref="H54:H61">D54*E54*G54*F54</f>
        <v>2400</v>
      </c>
      <c r="I54" s="371"/>
    </row>
    <row r="55" spans="1:9" ht="25.5">
      <c r="A55" s="302"/>
      <c r="B55" s="226" t="s">
        <v>416</v>
      </c>
      <c r="C55" s="217" t="s">
        <v>385</v>
      </c>
      <c r="D55" s="215">
        <v>50</v>
      </c>
      <c r="E55" s="216">
        <v>5</v>
      </c>
      <c r="F55" s="372">
        <v>1</v>
      </c>
      <c r="G55" s="302">
        <v>24</v>
      </c>
      <c r="H55" s="370">
        <f t="shared" si="1"/>
        <v>6000</v>
      </c>
      <c r="I55" s="371"/>
    </row>
    <row r="56" spans="1:9" ht="25.5">
      <c r="A56" s="302"/>
      <c r="B56" s="226" t="s">
        <v>417</v>
      </c>
      <c r="C56" s="218" t="s">
        <v>386</v>
      </c>
      <c r="D56" s="215">
        <v>3</v>
      </c>
      <c r="E56" s="216">
        <v>20</v>
      </c>
      <c r="F56" s="372">
        <v>1</v>
      </c>
      <c r="G56" s="302">
        <v>6</v>
      </c>
      <c r="H56" s="370">
        <f t="shared" si="1"/>
        <v>360</v>
      </c>
      <c r="I56" s="371"/>
    </row>
    <row r="57" spans="1:9" ht="25.5">
      <c r="A57" s="302"/>
      <c r="B57" s="226"/>
      <c r="C57" s="218" t="s">
        <v>387</v>
      </c>
      <c r="D57" s="215">
        <v>3</v>
      </c>
      <c r="E57" s="216">
        <v>25</v>
      </c>
      <c r="F57" s="372">
        <v>1</v>
      </c>
      <c r="G57" s="302">
        <v>9</v>
      </c>
      <c r="H57" s="370">
        <f t="shared" si="1"/>
        <v>675</v>
      </c>
      <c r="I57" s="371"/>
    </row>
    <row r="58" spans="1:9" ht="25.5">
      <c r="A58" s="302"/>
      <c r="B58" s="226"/>
      <c r="C58" s="214" t="s">
        <v>388</v>
      </c>
      <c r="D58" s="215">
        <v>1</v>
      </c>
      <c r="E58" s="367">
        <v>50</v>
      </c>
      <c r="F58" s="372">
        <v>1</v>
      </c>
      <c r="G58" s="302">
        <v>24</v>
      </c>
      <c r="H58" s="370">
        <f t="shared" si="1"/>
        <v>1200</v>
      </c>
      <c r="I58" s="371"/>
    </row>
    <row r="59" spans="1:9" ht="38.25">
      <c r="A59" s="302"/>
      <c r="B59" s="226"/>
      <c r="C59" s="214" t="s">
        <v>389</v>
      </c>
      <c r="D59" s="215">
        <v>2</v>
      </c>
      <c r="E59" s="216">
        <v>13</v>
      </c>
      <c r="F59" s="372">
        <v>1</v>
      </c>
      <c r="G59" s="302">
        <v>2</v>
      </c>
      <c r="H59" s="370">
        <f t="shared" si="1"/>
        <v>52</v>
      </c>
      <c r="I59" s="371"/>
    </row>
    <row r="60" spans="1:9" ht="25.5">
      <c r="A60" s="302"/>
      <c r="B60" s="226"/>
      <c r="C60" s="218" t="s">
        <v>390</v>
      </c>
      <c r="D60" s="215">
        <v>6</v>
      </c>
      <c r="E60" s="216">
        <v>150</v>
      </c>
      <c r="F60" s="372">
        <v>1</v>
      </c>
      <c r="G60" s="302">
        <v>2</v>
      </c>
      <c r="H60" s="370">
        <f t="shared" si="1"/>
        <v>1800</v>
      </c>
      <c r="I60" s="371"/>
    </row>
    <row r="61" spans="1:9" ht="15">
      <c r="A61" s="302"/>
      <c r="B61" s="226"/>
      <c r="C61" s="218" t="s">
        <v>391</v>
      </c>
      <c r="D61" s="215">
        <v>1</v>
      </c>
      <c r="E61" s="216">
        <v>500</v>
      </c>
      <c r="F61" s="372">
        <v>1</v>
      </c>
      <c r="G61" s="302">
        <v>2</v>
      </c>
      <c r="H61" s="370">
        <f t="shared" si="1"/>
        <v>1000</v>
      </c>
      <c r="I61" s="371"/>
    </row>
    <row r="62" spans="1:9" ht="14.25">
      <c r="A62" s="364"/>
      <c r="B62" s="364" t="s">
        <v>339</v>
      </c>
      <c r="C62" s="364"/>
      <c r="D62" s="364"/>
      <c r="E62" s="364"/>
      <c r="F62" s="364"/>
      <c r="G62" s="364"/>
      <c r="H62" s="365">
        <f>SUM(H54:H61)</f>
        <v>13487</v>
      </c>
      <c r="I62" s="371"/>
    </row>
    <row r="63" spans="1:9" ht="123.75">
      <c r="A63" s="302"/>
      <c r="B63" s="227" t="s">
        <v>418</v>
      </c>
      <c r="C63" s="302"/>
      <c r="D63" s="302"/>
      <c r="E63" s="302"/>
      <c r="F63" s="302"/>
      <c r="G63" s="302"/>
      <c r="H63" s="212"/>
      <c r="I63" s="371"/>
    </row>
    <row r="64" spans="1:9" ht="25.5">
      <c r="A64" s="302"/>
      <c r="B64" s="226" t="s">
        <v>419</v>
      </c>
      <c r="C64" s="214" t="s">
        <v>384</v>
      </c>
      <c r="D64" s="215">
        <v>75</v>
      </c>
      <c r="E64" s="216">
        <v>10</v>
      </c>
      <c r="F64" s="372">
        <v>1</v>
      </c>
      <c r="G64" s="302">
        <v>6</v>
      </c>
      <c r="H64" s="370">
        <f aca="true" t="shared" si="2" ref="H64:H74">D64*E64*G64*F64</f>
        <v>4500</v>
      </c>
      <c r="I64" s="371"/>
    </row>
    <row r="65" spans="1:9" ht="25.5">
      <c r="A65" s="302"/>
      <c r="B65" s="226"/>
      <c r="C65" s="217" t="s">
        <v>385</v>
      </c>
      <c r="D65" s="215">
        <v>55</v>
      </c>
      <c r="E65" s="216">
        <v>5</v>
      </c>
      <c r="F65" s="372">
        <v>1</v>
      </c>
      <c r="G65" s="302">
        <v>6</v>
      </c>
      <c r="H65" s="370">
        <f t="shared" si="2"/>
        <v>1650</v>
      </c>
      <c r="I65" s="371"/>
    </row>
    <row r="66" spans="1:9" ht="25.5">
      <c r="A66" s="302"/>
      <c r="B66" s="226" t="s">
        <v>420</v>
      </c>
      <c r="C66" s="218" t="s">
        <v>421</v>
      </c>
      <c r="D66" s="215">
        <v>5</v>
      </c>
      <c r="E66" s="216">
        <v>20</v>
      </c>
      <c r="F66" s="372">
        <v>1</v>
      </c>
      <c r="G66" s="302">
        <v>6</v>
      </c>
      <c r="H66" s="370">
        <f t="shared" si="2"/>
        <v>600</v>
      </c>
      <c r="I66" s="371"/>
    </row>
    <row r="67" spans="1:9" ht="25.5">
      <c r="A67" s="302"/>
      <c r="B67" s="226"/>
      <c r="C67" s="218" t="s">
        <v>422</v>
      </c>
      <c r="D67" s="215">
        <v>5</v>
      </c>
      <c r="E67" s="216">
        <v>25</v>
      </c>
      <c r="F67" s="372">
        <v>1</v>
      </c>
      <c r="G67" s="302">
        <v>8</v>
      </c>
      <c r="H67" s="370">
        <f t="shared" si="2"/>
        <v>1000</v>
      </c>
      <c r="I67" s="371"/>
    </row>
    <row r="68" spans="1:9" ht="25.5">
      <c r="A68" s="302"/>
      <c r="B68" s="226"/>
      <c r="C68" s="214" t="s">
        <v>388</v>
      </c>
      <c r="D68" s="215">
        <v>3</v>
      </c>
      <c r="E68" s="216">
        <v>100</v>
      </c>
      <c r="F68" s="372">
        <v>1</v>
      </c>
      <c r="G68" s="302">
        <v>2</v>
      </c>
      <c r="H68" s="370">
        <f t="shared" si="2"/>
        <v>600</v>
      </c>
      <c r="I68" s="371"/>
    </row>
    <row r="69" spans="1:9" ht="38.25">
      <c r="A69" s="302"/>
      <c r="B69" s="226"/>
      <c r="C69" s="214" t="s">
        <v>389</v>
      </c>
      <c r="D69" s="215">
        <v>2</v>
      </c>
      <c r="E69" s="216">
        <v>13</v>
      </c>
      <c r="F69" s="372">
        <v>1</v>
      </c>
      <c r="G69" s="302">
        <v>2</v>
      </c>
      <c r="H69" s="370">
        <f t="shared" si="2"/>
        <v>52</v>
      </c>
      <c r="I69" s="371"/>
    </row>
    <row r="70" spans="1:9" ht="25.5">
      <c r="A70" s="302"/>
      <c r="B70" s="226"/>
      <c r="C70" s="218" t="s">
        <v>390</v>
      </c>
      <c r="D70" s="215">
        <v>4</v>
      </c>
      <c r="E70" s="216">
        <v>150</v>
      </c>
      <c r="F70" s="372">
        <v>1</v>
      </c>
      <c r="G70" s="302">
        <v>2</v>
      </c>
      <c r="H70" s="370">
        <f t="shared" si="2"/>
        <v>1200</v>
      </c>
      <c r="I70" s="371"/>
    </row>
    <row r="71" spans="1:9" ht="15">
      <c r="A71" s="302"/>
      <c r="B71" s="226"/>
      <c r="C71" s="218" t="s">
        <v>391</v>
      </c>
      <c r="D71" s="215">
        <v>1</v>
      </c>
      <c r="E71" s="216">
        <v>500</v>
      </c>
      <c r="F71" s="372">
        <v>1</v>
      </c>
      <c r="G71" s="302">
        <v>2</v>
      </c>
      <c r="H71" s="370">
        <f t="shared" si="2"/>
        <v>1000</v>
      </c>
      <c r="I71" s="371"/>
    </row>
    <row r="72" spans="1:9" ht="38.25">
      <c r="A72" s="302"/>
      <c r="B72" s="226"/>
      <c r="C72" s="218" t="s">
        <v>423</v>
      </c>
      <c r="D72" s="215">
        <v>20</v>
      </c>
      <c r="E72" s="216">
        <v>100</v>
      </c>
      <c r="F72" s="372">
        <v>1</v>
      </c>
      <c r="G72" s="302">
        <v>4</v>
      </c>
      <c r="H72" s="370">
        <f t="shared" si="2"/>
        <v>8000</v>
      </c>
      <c r="I72" s="371"/>
    </row>
    <row r="73" spans="1:9" ht="15">
      <c r="A73" s="302"/>
      <c r="B73" s="226"/>
      <c r="C73" s="302" t="s">
        <v>424</v>
      </c>
      <c r="D73" s="302">
        <v>20</v>
      </c>
      <c r="E73" s="216">
        <v>20</v>
      </c>
      <c r="F73" s="372">
        <v>1</v>
      </c>
      <c r="G73" s="302">
        <v>6</v>
      </c>
      <c r="H73" s="370">
        <f t="shared" si="2"/>
        <v>2400</v>
      </c>
      <c r="I73" s="371"/>
    </row>
    <row r="74" spans="1:9" ht="15">
      <c r="A74" s="302"/>
      <c r="B74" s="226"/>
      <c r="C74" s="302" t="s">
        <v>425</v>
      </c>
      <c r="D74" s="302">
        <v>20</v>
      </c>
      <c r="E74" s="216">
        <v>25</v>
      </c>
      <c r="F74" s="372">
        <v>1</v>
      </c>
      <c r="G74" s="302">
        <v>6</v>
      </c>
      <c r="H74" s="370">
        <f t="shared" si="2"/>
        <v>3000</v>
      </c>
      <c r="I74" s="371"/>
    </row>
    <row r="75" spans="1:9" ht="14.25">
      <c r="A75" s="364"/>
      <c r="B75" s="364" t="s">
        <v>426</v>
      </c>
      <c r="C75" s="364"/>
      <c r="D75" s="364"/>
      <c r="E75" s="364"/>
      <c r="F75" s="364"/>
      <c r="G75" s="364"/>
      <c r="H75" s="365">
        <f>SUM(H64:H74)</f>
        <v>24002</v>
      </c>
      <c r="I75" s="371"/>
    </row>
    <row r="76" spans="1:9" ht="15">
      <c r="A76" s="302"/>
      <c r="B76" s="226"/>
      <c r="C76" s="302"/>
      <c r="D76" s="302"/>
      <c r="E76" s="302"/>
      <c r="F76" s="302"/>
      <c r="G76" s="302"/>
      <c r="H76" s="212"/>
      <c r="I76" s="371"/>
    </row>
    <row r="77" spans="1:9" ht="96.75" customHeight="1">
      <c r="A77" s="302"/>
      <c r="B77" s="224" t="s">
        <v>427</v>
      </c>
      <c r="C77" s="302"/>
      <c r="D77" s="302"/>
      <c r="E77" s="302"/>
      <c r="F77" s="302"/>
      <c r="G77" s="302"/>
      <c r="H77" s="370"/>
      <c r="I77" s="371"/>
    </row>
    <row r="78" spans="1:9" ht="27" customHeight="1">
      <c r="A78" s="302"/>
      <c r="B78" s="228" t="s">
        <v>428</v>
      </c>
      <c r="C78" s="214" t="s">
        <v>384</v>
      </c>
      <c r="D78" s="215">
        <v>25</v>
      </c>
      <c r="E78" s="216">
        <v>10</v>
      </c>
      <c r="F78" s="372">
        <v>1</v>
      </c>
      <c r="G78" s="302">
        <v>8</v>
      </c>
      <c r="H78" s="370">
        <f aca="true" t="shared" si="3" ref="H78:H85">D78*E78*G78*F78</f>
        <v>2000</v>
      </c>
      <c r="I78" s="371"/>
    </row>
    <row r="79" spans="1:9" ht="24.75" customHeight="1">
      <c r="A79" s="302"/>
      <c r="B79" s="302"/>
      <c r="C79" s="217" t="s">
        <v>385</v>
      </c>
      <c r="D79" s="215">
        <v>25</v>
      </c>
      <c r="E79" s="216">
        <v>5</v>
      </c>
      <c r="F79" s="372">
        <v>1</v>
      </c>
      <c r="G79" s="302">
        <v>8</v>
      </c>
      <c r="H79" s="370">
        <f t="shared" si="3"/>
        <v>1000</v>
      </c>
      <c r="I79" s="371"/>
    </row>
    <row r="80" spans="1:9" ht="15.75" customHeight="1">
      <c r="A80" s="302"/>
      <c r="B80" s="302"/>
      <c r="C80" s="218" t="s">
        <v>429</v>
      </c>
      <c r="D80" s="215">
        <v>3</v>
      </c>
      <c r="E80" s="216">
        <v>20</v>
      </c>
      <c r="F80" s="372">
        <v>1</v>
      </c>
      <c r="G80" s="302">
        <v>10</v>
      </c>
      <c r="H80" s="370">
        <f t="shared" si="3"/>
        <v>600</v>
      </c>
      <c r="I80" s="371"/>
    </row>
    <row r="81" spans="1:9" ht="24" customHeight="1">
      <c r="A81" s="302"/>
      <c r="B81" s="302"/>
      <c r="C81" s="218" t="s">
        <v>430</v>
      </c>
      <c r="D81" s="215">
        <v>6</v>
      </c>
      <c r="E81" s="216">
        <v>25</v>
      </c>
      <c r="F81" s="372">
        <v>1</v>
      </c>
      <c r="G81" s="302">
        <v>3</v>
      </c>
      <c r="H81" s="370">
        <f t="shared" si="3"/>
        <v>450</v>
      </c>
      <c r="I81" s="371"/>
    </row>
    <row r="82" spans="1:9" ht="24" customHeight="1">
      <c r="A82" s="302"/>
      <c r="B82" s="302"/>
      <c r="C82" s="214" t="s">
        <v>388</v>
      </c>
      <c r="D82" s="215">
        <v>1</v>
      </c>
      <c r="E82" s="216">
        <v>50</v>
      </c>
      <c r="F82" s="372">
        <v>1</v>
      </c>
      <c r="G82" s="302">
        <v>8</v>
      </c>
      <c r="H82" s="370">
        <f t="shared" si="3"/>
        <v>400</v>
      </c>
      <c r="I82" s="371"/>
    </row>
    <row r="83" spans="1:9" ht="24" customHeight="1">
      <c r="A83" s="302"/>
      <c r="B83" s="302"/>
      <c r="C83" s="214" t="s">
        <v>389</v>
      </c>
      <c r="D83" s="215">
        <v>1</v>
      </c>
      <c r="E83" s="216">
        <v>13</v>
      </c>
      <c r="F83" s="372">
        <v>1</v>
      </c>
      <c r="G83" s="302">
        <v>2</v>
      </c>
      <c r="H83" s="370">
        <f t="shared" si="3"/>
        <v>26</v>
      </c>
      <c r="I83" s="371"/>
    </row>
    <row r="84" spans="1:9" ht="24" customHeight="1">
      <c r="A84" s="302"/>
      <c r="B84" s="302"/>
      <c r="C84" s="218" t="s">
        <v>390</v>
      </c>
      <c r="D84" s="215">
        <v>1</v>
      </c>
      <c r="E84" s="216">
        <v>150</v>
      </c>
      <c r="F84" s="372">
        <v>1</v>
      </c>
      <c r="G84" s="302">
        <v>10</v>
      </c>
      <c r="H84" s="370">
        <f t="shared" si="3"/>
        <v>1500</v>
      </c>
      <c r="I84" s="371"/>
    </row>
    <row r="85" spans="1:9" ht="24" customHeight="1">
      <c r="A85" s="302"/>
      <c r="B85" s="302"/>
      <c r="C85" s="218" t="s">
        <v>391</v>
      </c>
      <c r="D85" s="215">
        <v>1</v>
      </c>
      <c r="E85" s="216">
        <v>500</v>
      </c>
      <c r="F85" s="372">
        <v>1</v>
      </c>
      <c r="G85" s="302">
        <v>8</v>
      </c>
      <c r="H85" s="370">
        <f t="shared" si="3"/>
        <v>4000</v>
      </c>
      <c r="I85" s="371"/>
    </row>
    <row r="86" spans="1:9" ht="14.25">
      <c r="A86" s="364"/>
      <c r="B86" s="364" t="s">
        <v>431</v>
      </c>
      <c r="C86" s="364"/>
      <c r="D86" s="364"/>
      <c r="E86" s="364"/>
      <c r="F86" s="364"/>
      <c r="G86" s="364"/>
      <c r="H86" s="365">
        <f>SUM(H78:H85)</f>
        <v>9976</v>
      </c>
      <c r="I86" s="371"/>
    </row>
    <row r="87" spans="1:9" s="203" customFormat="1" ht="14.25">
      <c r="A87" s="331"/>
      <c r="B87" s="331" t="s">
        <v>358</v>
      </c>
      <c r="C87" s="331"/>
      <c r="D87" s="331"/>
      <c r="E87" s="331"/>
      <c r="F87" s="331"/>
      <c r="G87" s="331"/>
      <c r="H87" s="221">
        <f>H86+H75+H62+H51+H44</f>
        <v>77897</v>
      </c>
      <c r="I87" s="123"/>
    </row>
    <row r="88" spans="1:9" ht="14.25">
      <c r="A88" s="340"/>
      <c r="B88" s="340" t="s">
        <v>221</v>
      </c>
      <c r="C88" s="340"/>
      <c r="D88" s="340"/>
      <c r="E88" s="340"/>
      <c r="F88" s="340"/>
      <c r="G88" s="340"/>
      <c r="H88" s="339">
        <f>H87+H33</f>
        <v>104810</v>
      </c>
      <c r="I88" s="123"/>
    </row>
    <row r="89" spans="1:9" ht="14.25">
      <c r="A89" s="343"/>
      <c r="B89" s="343" t="s">
        <v>222</v>
      </c>
      <c r="C89" s="343"/>
      <c r="D89" s="343"/>
      <c r="E89" s="343"/>
      <c r="F89" s="343"/>
      <c r="G89" s="343"/>
      <c r="H89" s="179"/>
      <c r="I89" s="123"/>
    </row>
    <row r="90" spans="1:9" ht="14.25">
      <c r="A90" s="346"/>
      <c r="B90" s="346" t="s">
        <v>223</v>
      </c>
      <c r="C90" s="346"/>
      <c r="D90" s="346"/>
      <c r="E90" s="346"/>
      <c r="F90" s="346"/>
      <c r="G90" s="346"/>
      <c r="H90" s="375"/>
      <c r="I90" s="371"/>
    </row>
    <row r="91" spans="1:9" ht="15">
      <c r="A91" s="302"/>
      <c r="B91" s="233" t="s">
        <v>590</v>
      </c>
      <c r="C91" s="302" t="s">
        <v>14</v>
      </c>
      <c r="D91" s="302">
        <v>6</v>
      </c>
      <c r="E91" s="302">
        <v>4900</v>
      </c>
      <c r="F91" s="372">
        <v>0.2</v>
      </c>
      <c r="G91" s="302">
        <v>1</v>
      </c>
      <c r="H91" s="370">
        <f aca="true" t="shared" si="4" ref="H91:H98">D91*E91*G91*F91</f>
        <v>5880</v>
      </c>
      <c r="I91" s="371"/>
    </row>
    <row r="92" spans="1:9" ht="14.25">
      <c r="A92" s="302"/>
      <c r="B92" s="234" t="s">
        <v>591</v>
      </c>
      <c r="C92" s="302" t="s">
        <v>14</v>
      </c>
      <c r="D92" s="302">
        <v>6</v>
      </c>
      <c r="E92" s="302">
        <v>2000</v>
      </c>
      <c r="F92" s="372">
        <v>0.2</v>
      </c>
      <c r="G92" s="302">
        <v>1</v>
      </c>
      <c r="H92" s="370">
        <f t="shared" si="4"/>
        <v>2400</v>
      </c>
      <c r="I92" s="371"/>
    </row>
    <row r="93" spans="1:9" ht="14.25">
      <c r="A93" s="302"/>
      <c r="B93" s="234" t="s">
        <v>592</v>
      </c>
      <c r="C93" s="302" t="s">
        <v>14</v>
      </c>
      <c r="D93" s="302">
        <v>6</v>
      </c>
      <c r="E93" s="302">
        <v>700</v>
      </c>
      <c r="F93" s="372">
        <v>0.5</v>
      </c>
      <c r="G93" s="302">
        <v>1</v>
      </c>
      <c r="H93" s="370">
        <f t="shared" si="4"/>
        <v>2100</v>
      </c>
      <c r="I93" s="371"/>
    </row>
    <row r="94" spans="1:9" ht="14.25">
      <c r="A94" s="302"/>
      <c r="B94" s="234" t="s">
        <v>432</v>
      </c>
      <c r="C94" s="302" t="s">
        <v>14</v>
      </c>
      <c r="D94" s="302">
        <v>6</v>
      </c>
      <c r="E94" s="302">
        <v>1600</v>
      </c>
      <c r="F94" s="372">
        <v>1</v>
      </c>
      <c r="G94" s="302">
        <v>1</v>
      </c>
      <c r="H94" s="370">
        <f t="shared" si="4"/>
        <v>9600</v>
      </c>
      <c r="I94" s="371"/>
    </row>
    <row r="95" spans="1:9" ht="14.25">
      <c r="A95" s="302"/>
      <c r="B95" s="234" t="s">
        <v>593</v>
      </c>
      <c r="C95" s="302" t="s">
        <v>14</v>
      </c>
      <c r="D95" s="302">
        <v>6</v>
      </c>
      <c r="E95" s="302">
        <f>2200*0.5</f>
        <v>1100</v>
      </c>
      <c r="F95" s="372">
        <v>0.5</v>
      </c>
      <c r="G95" s="302">
        <v>1</v>
      </c>
      <c r="H95" s="370">
        <f t="shared" si="4"/>
        <v>3300</v>
      </c>
      <c r="I95" s="371"/>
    </row>
    <row r="96" spans="1:9" ht="14.25">
      <c r="A96" s="302"/>
      <c r="B96" s="234" t="s">
        <v>594</v>
      </c>
      <c r="C96" s="302" t="s">
        <v>14</v>
      </c>
      <c r="D96" s="302">
        <v>6</v>
      </c>
      <c r="E96" s="302">
        <v>2000</v>
      </c>
      <c r="F96" s="372">
        <v>0.2</v>
      </c>
      <c r="G96" s="302">
        <v>1</v>
      </c>
      <c r="H96" s="370">
        <f t="shared" si="4"/>
        <v>2400</v>
      </c>
      <c r="I96" s="371"/>
    </row>
    <row r="97" spans="1:9" ht="14.25">
      <c r="A97" s="302"/>
      <c r="B97" s="234" t="s">
        <v>595</v>
      </c>
      <c r="C97" s="302" t="s">
        <v>14</v>
      </c>
      <c r="D97" s="302">
        <v>6</v>
      </c>
      <c r="E97" s="302">
        <v>1850</v>
      </c>
      <c r="F97" s="372">
        <v>0.25</v>
      </c>
      <c r="G97" s="302">
        <v>1</v>
      </c>
      <c r="H97" s="370">
        <f t="shared" si="4"/>
        <v>2775</v>
      </c>
      <c r="I97" s="371"/>
    </row>
    <row r="98" spans="1:9" ht="14.25">
      <c r="A98" s="302"/>
      <c r="B98" s="234" t="s">
        <v>596</v>
      </c>
      <c r="C98" s="302" t="s">
        <v>14</v>
      </c>
      <c r="D98" s="302">
        <v>6</v>
      </c>
      <c r="E98" s="302">
        <v>1300</v>
      </c>
      <c r="F98" s="372">
        <v>0.25</v>
      </c>
      <c r="G98" s="302">
        <v>1</v>
      </c>
      <c r="H98" s="370">
        <f t="shared" si="4"/>
        <v>1950</v>
      </c>
      <c r="I98" s="371"/>
    </row>
    <row r="99" spans="1:9" ht="14.25">
      <c r="A99" s="185"/>
      <c r="B99" s="346" t="s">
        <v>433</v>
      </c>
      <c r="C99" s="185"/>
      <c r="D99" s="185"/>
      <c r="E99" s="185"/>
      <c r="F99" s="185"/>
      <c r="G99" s="185"/>
      <c r="H99" s="235">
        <f>SUM(H91:H98)</f>
        <v>30405</v>
      </c>
      <c r="I99" s="371"/>
    </row>
    <row r="100" spans="1:9" ht="14.25">
      <c r="A100" s="352"/>
      <c r="B100" s="352" t="s">
        <v>234</v>
      </c>
      <c r="C100" s="352"/>
      <c r="D100" s="352"/>
      <c r="E100" s="352"/>
      <c r="F100" s="352"/>
      <c r="G100" s="352"/>
      <c r="H100" s="191"/>
      <c r="I100" s="123"/>
    </row>
    <row r="101" spans="1:9" ht="14.25">
      <c r="A101" s="302"/>
      <c r="B101" s="234" t="s">
        <v>434</v>
      </c>
      <c r="C101" s="302" t="s">
        <v>14</v>
      </c>
      <c r="D101" s="302">
        <v>6</v>
      </c>
      <c r="E101" s="238">
        <v>2200</v>
      </c>
      <c r="F101" s="372">
        <v>0.25</v>
      </c>
      <c r="G101" s="302">
        <v>1</v>
      </c>
      <c r="H101" s="370">
        <f aca="true" t="shared" si="5" ref="H101:H107">D101*E101*G101*F101</f>
        <v>3300</v>
      </c>
      <c r="I101" s="371"/>
    </row>
    <row r="102" spans="1:9" ht="14.25">
      <c r="A102" s="302"/>
      <c r="B102" s="234" t="s">
        <v>435</v>
      </c>
      <c r="C102" s="302" t="s">
        <v>14</v>
      </c>
      <c r="D102" s="302">
        <v>6</v>
      </c>
      <c r="E102" s="238">
        <v>1500</v>
      </c>
      <c r="F102" s="372">
        <v>0.25</v>
      </c>
      <c r="G102" s="302">
        <v>1</v>
      </c>
      <c r="H102" s="370">
        <f t="shared" si="5"/>
        <v>2250</v>
      </c>
      <c r="I102" s="371"/>
    </row>
    <row r="103" spans="1:9" ht="14.25">
      <c r="A103" s="302"/>
      <c r="B103" s="234" t="s">
        <v>597</v>
      </c>
      <c r="C103" s="302" t="s">
        <v>14</v>
      </c>
      <c r="D103" s="302">
        <v>6</v>
      </c>
      <c r="E103" s="238">
        <v>900</v>
      </c>
      <c r="F103" s="372">
        <v>0.1</v>
      </c>
      <c r="G103" s="302">
        <v>1</v>
      </c>
      <c r="H103" s="370">
        <f t="shared" si="5"/>
        <v>540</v>
      </c>
      <c r="I103" s="371"/>
    </row>
    <row r="104" spans="1:9" ht="14.25">
      <c r="A104" s="302"/>
      <c r="B104" s="234" t="s">
        <v>436</v>
      </c>
      <c r="C104" s="302"/>
      <c r="D104" s="302">
        <v>1</v>
      </c>
      <c r="E104" s="238">
        <v>700</v>
      </c>
      <c r="F104" s="372">
        <v>1</v>
      </c>
      <c r="G104" s="302">
        <v>1</v>
      </c>
      <c r="H104" s="370">
        <f t="shared" si="5"/>
        <v>700</v>
      </c>
      <c r="I104" s="371"/>
    </row>
    <row r="105" spans="1:9" ht="14.25">
      <c r="A105" s="302"/>
      <c r="B105" s="234" t="s">
        <v>598</v>
      </c>
      <c r="C105" s="302" t="s">
        <v>14</v>
      </c>
      <c r="D105" s="302">
        <v>6</v>
      </c>
      <c r="E105" s="238">
        <f>D105*2100*0.15</f>
        <v>1890</v>
      </c>
      <c r="F105" s="372">
        <v>0.15</v>
      </c>
      <c r="G105" s="302">
        <v>1</v>
      </c>
      <c r="H105" s="370">
        <f t="shared" si="5"/>
        <v>1701</v>
      </c>
      <c r="I105" s="371"/>
    </row>
    <row r="106" spans="1:9" ht="14.25">
      <c r="A106" s="302"/>
      <c r="B106" s="239" t="s">
        <v>599</v>
      </c>
      <c r="C106" s="376" t="s">
        <v>14</v>
      </c>
      <c r="D106" s="376">
        <v>6</v>
      </c>
      <c r="E106" s="377">
        <v>220</v>
      </c>
      <c r="F106" s="378">
        <v>0.15</v>
      </c>
      <c r="G106" s="376">
        <v>1</v>
      </c>
      <c r="H106" s="379">
        <f t="shared" si="5"/>
        <v>198</v>
      </c>
      <c r="I106" s="371"/>
    </row>
    <row r="107" spans="1:9" ht="14.25">
      <c r="A107" s="376"/>
      <c r="B107" s="380" t="s">
        <v>600</v>
      </c>
      <c r="C107" s="376" t="s">
        <v>14</v>
      </c>
      <c r="D107" s="376">
        <v>6</v>
      </c>
      <c r="E107" s="377">
        <v>2600</v>
      </c>
      <c r="F107" s="378">
        <v>0.15</v>
      </c>
      <c r="G107" s="376">
        <v>1</v>
      </c>
      <c r="H107" s="379">
        <f t="shared" si="5"/>
        <v>2340</v>
      </c>
      <c r="I107" s="371"/>
    </row>
    <row r="108" spans="1:9" ht="14.25">
      <c r="A108" s="376"/>
      <c r="B108" s="376" t="s">
        <v>437</v>
      </c>
      <c r="C108" s="376"/>
      <c r="D108" s="376"/>
      <c r="E108" s="376"/>
      <c r="F108" s="376"/>
      <c r="G108" s="376"/>
      <c r="H108" s="379">
        <f>(H107+H106+H105+H104+H103+H102+H101+H99+H88)*0.018</f>
        <v>2632.392</v>
      </c>
      <c r="I108" s="371"/>
    </row>
    <row r="109" spans="1:9" ht="14.25">
      <c r="A109" s="381"/>
      <c r="B109" s="381" t="s">
        <v>240</v>
      </c>
      <c r="C109" s="381"/>
      <c r="D109" s="381"/>
      <c r="E109" s="381"/>
      <c r="F109" s="381"/>
      <c r="G109" s="381"/>
      <c r="H109" s="382">
        <f>SUM(H101:H108)</f>
        <v>13661.392</v>
      </c>
      <c r="I109" s="371"/>
    </row>
    <row r="110" spans="1:9" ht="14.25">
      <c r="A110" s="376"/>
      <c r="B110" s="376" t="s">
        <v>241</v>
      </c>
      <c r="C110" s="376"/>
      <c r="D110" s="376"/>
      <c r="E110" s="376"/>
      <c r="F110" s="376"/>
      <c r="G110" s="376"/>
      <c r="H110" s="383">
        <f>H109+H99</f>
        <v>44066.392</v>
      </c>
      <c r="I110" s="371"/>
    </row>
    <row r="111" spans="1:9" ht="15" thickBot="1">
      <c r="A111" s="384"/>
      <c r="B111" s="384" t="s">
        <v>242</v>
      </c>
      <c r="C111" s="384"/>
      <c r="D111" s="384"/>
      <c r="E111" s="384"/>
      <c r="F111" s="384"/>
      <c r="G111" s="384"/>
      <c r="H111" s="385">
        <f>H110+H88</f>
        <v>148876.392</v>
      </c>
      <c r="I111" s="241"/>
    </row>
  </sheetData>
  <sheetProtection/>
  <mergeCells count="2">
    <mergeCell ref="B8:I8"/>
    <mergeCell ref="B34:J3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Q198"/>
  <sheetViews>
    <sheetView zoomScalePageLayoutView="0" workbookViewId="0" topLeftCell="A179">
      <selection activeCell="S173" sqref="S173"/>
    </sheetView>
  </sheetViews>
  <sheetFormatPr defaultColWidth="11.421875" defaultRowHeight="15"/>
  <cols>
    <col min="1" max="1" width="11.421875" style="0" customWidth="1"/>
    <col min="2" max="2" width="47.00390625" style="0" customWidth="1"/>
    <col min="3" max="3" width="13.140625" style="0" bestFit="1" customWidth="1"/>
    <col min="4" max="4" width="11.421875" style="0" customWidth="1"/>
    <col min="5" max="5" width="10.421875" style="0" bestFit="1" customWidth="1"/>
    <col min="6" max="6" width="10.8515625" style="0" bestFit="1" customWidth="1"/>
    <col min="7" max="7" width="18.00390625" style="109" customWidth="1"/>
    <col min="8" max="8" width="1.8515625" style="109" customWidth="1"/>
    <col min="9" max="14" width="10.421875" style="109" hidden="1" customWidth="1"/>
    <col min="15" max="17" width="0" style="0" hidden="1" customWidth="1"/>
  </cols>
  <sheetData>
    <row r="2" ht="14.25">
      <c r="B2" s="203" t="s">
        <v>243</v>
      </c>
    </row>
    <row r="3" ht="14.25">
      <c r="B3" t="s">
        <v>134</v>
      </c>
    </row>
    <row r="4" ht="14.25">
      <c r="B4" s="204" t="s">
        <v>135</v>
      </c>
    </row>
    <row r="5" spans="1:17" ht="14.25">
      <c r="A5" s="285" t="s">
        <v>11</v>
      </c>
      <c r="B5" s="286" t="s">
        <v>136</v>
      </c>
      <c r="C5" s="286" t="s">
        <v>137</v>
      </c>
      <c r="D5" s="286" t="s">
        <v>4</v>
      </c>
      <c r="E5" s="286" t="s">
        <v>138</v>
      </c>
      <c r="F5" s="286" t="s">
        <v>139</v>
      </c>
      <c r="G5" s="287" t="s">
        <v>21</v>
      </c>
      <c r="H5" s="288"/>
      <c r="I5" s="834" t="s">
        <v>140</v>
      </c>
      <c r="J5" s="835"/>
      <c r="K5" s="835"/>
      <c r="L5" s="835"/>
      <c r="M5" s="835"/>
      <c r="N5" s="835"/>
      <c r="O5" s="289"/>
      <c r="P5" s="289"/>
      <c r="Q5" s="289"/>
    </row>
    <row r="6" spans="1:17" ht="14.25">
      <c r="A6" s="285"/>
      <c r="B6" s="286"/>
      <c r="C6" s="286"/>
      <c r="D6" s="286"/>
      <c r="E6" s="286"/>
      <c r="F6" s="286"/>
      <c r="G6" s="287"/>
      <c r="H6" s="288"/>
      <c r="I6" s="290"/>
      <c r="J6" s="289"/>
      <c r="K6" s="289"/>
      <c r="L6" s="289"/>
      <c r="M6" s="289"/>
      <c r="N6" s="289"/>
      <c r="O6" s="289"/>
      <c r="P6" s="289"/>
      <c r="Q6" s="289"/>
    </row>
    <row r="7" spans="1:17" ht="14.25">
      <c r="A7" s="291"/>
      <c r="B7" s="292" t="s">
        <v>141</v>
      </c>
      <c r="C7" s="292"/>
      <c r="D7" s="292"/>
      <c r="E7" s="292"/>
      <c r="F7" s="292"/>
      <c r="G7" s="293"/>
      <c r="H7" s="294"/>
      <c r="I7" s="295">
        <v>43983</v>
      </c>
      <c r="J7" s="295">
        <v>44013</v>
      </c>
      <c r="K7" s="295" t="s">
        <v>244</v>
      </c>
      <c r="L7" s="295">
        <v>44075</v>
      </c>
      <c r="M7" s="295">
        <v>44105</v>
      </c>
      <c r="N7" s="295">
        <v>44136</v>
      </c>
      <c r="O7" s="296">
        <v>44166</v>
      </c>
      <c r="P7" s="297" t="s">
        <v>245</v>
      </c>
      <c r="Q7" s="297" t="s">
        <v>246</v>
      </c>
    </row>
    <row r="8" spans="1:17" ht="15" customHeight="1">
      <c r="A8" s="298"/>
      <c r="B8" s="836" t="s">
        <v>123</v>
      </c>
      <c r="C8" s="836"/>
      <c r="D8" s="836"/>
      <c r="E8" s="836"/>
      <c r="F8" s="836"/>
      <c r="G8" s="836"/>
      <c r="H8" s="836"/>
      <c r="I8" s="836"/>
      <c r="J8" s="836"/>
      <c r="K8" s="836"/>
      <c r="L8" s="836"/>
      <c r="M8" s="836"/>
      <c r="N8" s="836"/>
      <c r="O8" s="836"/>
      <c r="P8" s="836"/>
      <c r="Q8" s="299"/>
    </row>
    <row r="9" spans="1:17" ht="24">
      <c r="A9" s="300"/>
      <c r="B9" s="301" t="s">
        <v>18</v>
      </c>
      <c r="C9" s="302"/>
      <c r="D9" s="302"/>
      <c r="E9" s="302"/>
      <c r="F9" s="302"/>
      <c r="G9" s="303"/>
      <c r="H9" s="304"/>
      <c r="I9" s="303"/>
      <c r="J9" s="303"/>
      <c r="K9" s="303">
        <f>G9</f>
        <v>0</v>
      </c>
      <c r="L9" s="303"/>
      <c r="M9" s="303"/>
      <c r="N9" s="303"/>
      <c r="O9" s="302"/>
      <c r="P9" s="302"/>
      <c r="Q9" s="302"/>
    </row>
    <row r="10" spans="1:17" ht="30.75">
      <c r="A10" s="305"/>
      <c r="B10" s="306" t="s">
        <v>19</v>
      </c>
      <c r="C10" s="302"/>
      <c r="D10" s="302"/>
      <c r="E10" s="302"/>
      <c r="F10" s="302"/>
      <c r="G10" s="303"/>
      <c r="H10" s="304"/>
      <c r="I10" s="303"/>
      <c r="J10" s="303"/>
      <c r="K10" s="303">
        <f>G10</f>
        <v>0</v>
      </c>
      <c r="L10" s="303"/>
      <c r="M10" s="303"/>
      <c r="N10" s="303"/>
      <c r="O10" s="302"/>
      <c r="P10" s="302"/>
      <c r="Q10" s="302"/>
    </row>
    <row r="11" spans="1:17" ht="15">
      <c r="A11" s="307"/>
      <c r="B11" s="308" t="s">
        <v>247</v>
      </c>
      <c r="C11" s="309" t="s">
        <v>248</v>
      </c>
      <c r="D11" s="309">
        <v>4</v>
      </c>
      <c r="E11" s="309">
        <v>250</v>
      </c>
      <c r="F11" s="309">
        <v>6</v>
      </c>
      <c r="G11" s="310">
        <v>1000</v>
      </c>
      <c r="H11" s="304"/>
      <c r="I11" s="303">
        <v>1000</v>
      </c>
      <c r="J11" s="303">
        <v>1000</v>
      </c>
      <c r="K11" s="303">
        <v>1000</v>
      </c>
      <c r="L11" s="303">
        <v>1000</v>
      </c>
      <c r="M11" s="303">
        <v>1000</v>
      </c>
      <c r="N11" s="303">
        <v>1000</v>
      </c>
      <c r="O11" s="303">
        <v>1000</v>
      </c>
      <c r="P11" s="302"/>
      <c r="Q11" s="302"/>
    </row>
    <row r="12" spans="1:17" ht="15">
      <c r="A12" s="307"/>
      <c r="B12" s="311" t="s">
        <v>249</v>
      </c>
      <c r="C12" s="312"/>
      <c r="D12" s="312"/>
      <c r="E12" s="312"/>
      <c r="F12" s="312"/>
      <c r="G12" s="313">
        <v>6000</v>
      </c>
      <c r="H12" s="313"/>
      <c r="I12" s="314">
        <v>1000</v>
      </c>
      <c r="J12" s="314">
        <v>1000</v>
      </c>
      <c r="K12" s="314">
        <v>1000</v>
      </c>
      <c r="L12" s="314">
        <v>1000</v>
      </c>
      <c r="M12" s="314">
        <v>1000</v>
      </c>
      <c r="N12" s="314">
        <v>1000</v>
      </c>
      <c r="O12" s="314">
        <v>1000</v>
      </c>
      <c r="P12" s="315"/>
      <c r="Q12" s="315"/>
    </row>
    <row r="13" spans="1:17" ht="24">
      <c r="A13" s="305"/>
      <c r="B13" s="301" t="s">
        <v>20</v>
      </c>
      <c r="C13" s="302"/>
      <c r="D13" s="302"/>
      <c r="E13" s="302"/>
      <c r="F13" s="302"/>
      <c r="G13" s="303"/>
      <c r="H13" s="304"/>
      <c r="I13" s="303"/>
      <c r="J13" s="303"/>
      <c r="K13" s="303"/>
      <c r="L13" s="303"/>
      <c r="M13" s="303"/>
      <c r="N13" s="303"/>
      <c r="O13" s="302"/>
      <c r="P13" s="302"/>
      <c r="Q13" s="302"/>
    </row>
    <row r="14" spans="1:17" ht="30.75">
      <c r="A14" s="305"/>
      <c r="B14" s="306" t="s">
        <v>250</v>
      </c>
      <c r="C14" s="302"/>
      <c r="D14" s="302"/>
      <c r="E14" s="302"/>
      <c r="F14" s="302"/>
      <c r="G14" s="303"/>
      <c r="H14" s="304"/>
      <c r="I14" s="303"/>
      <c r="J14" s="303"/>
      <c r="K14" s="303"/>
      <c r="L14" s="303"/>
      <c r="M14" s="303"/>
      <c r="N14" s="303"/>
      <c r="O14" s="302"/>
      <c r="P14" s="302"/>
      <c r="Q14" s="302"/>
    </row>
    <row r="15" spans="1:17" ht="30.75">
      <c r="A15" s="305"/>
      <c r="B15" s="316" t="s">
        <v>251</v>
      </c>
      <c r="C15" s="302"/>
      <c r="D15" s="302"/>
      <c r="E15" s="302"/>
      <c r="F15" s="302"/>
      <c r="G15" s="303"/>
      <c r="H15" s="304"/>
      <c r="I15" s="303"/>
      <c r="J15" s="303"/>
      <c r="K15" s="303"/>
      <c r="L15" s="303"/>
      <c r="M15" s="303"/>
      <c r="N15" s="303"/>
      <c r="O15" s="302"/>
      <c r="P15" s="302"/>
      <c r="Q15" s="302"/>
    </row>
    <row r="16" spans="1:17" ht="15">
      <c r="A16" s="305"/>
      <c r="B16" s="317" t="s">
        <v>146</v>
      </c>
      <c r="C16" s="302" t="s">
        <v>252</v>
      </c>
      <c r="D16" s="302">
        <v>1</v>
      </c>
      <c r="E16" s="302">
        <v>50</v>
      </c>
      <c r="F16" s="302">
        <v>1</v>
      </c>
      <c r="G16" s="303">
        <f>E16*D16*F16</f>
        <v>50</v>
      </c>
      <c r="H16" s="304"/>
      <c r="I16" s="303"/>
      <c r="J16" s="303"/>
      <c r="K16" s="303"/>
      <c r="L16" s="303"/>
      <c r="M16" s="303"/>
      <c r="N16" s="303"/>
      <c r="O16" s="302"/>
      <c r="P16" s="302"/>
      <c r="Q16" s="302"/>
    </row>
    <row r="17" spans="1:17" ht="15">
      <c r="A17" s="305"/>
      <c r="B17" s="317" t="s">
        <v>557</v>
      </c>
      <c r="C17" s="302" t="s">
        <v>253</v>
      </c>
      <c r="D17" s="302">
        <v>20</v>
      </c>
      <c r="E17" s="302">
        <v>25</v>
      </c>
      <c r="F17" s="302">
        <v>2</v>
      </c>
      <c r="G17" s="303">
        <f aca="true" t="shared" si="0" ref="G17:G25">E17*D17*F17</f>
        <v>1000</v>
      </c>
      <c r="H17" s="304"/>
      <c r="I17" s="303"/>
      <c r="J17" s="303"/>
      <c r="K17" s="303"/>
      <c r="L17" s="303"/>
      <c r="M17" s="303"/>
      <c r="N17" s="303"/>
      <c r="O17" s="302"/>
      <c r="P17" s="302"/>
      <c r="Q17" s="302"/>
    </row>
    <row r="18" spans="1:17" ht="15">
      <c r="A18" s="305"/>
      <c r="B18" s="317" t="s">
        <v>254</v>
      </c>
      <c r="C18" s="302" t="s">
        <v>255</v>
      </c>
      <c r="D18" s="302">
        <v>10</v>
      </c>
      <c r="E18" s="302">
        <v>7</v>
      </c>
      <c r="F18" s="302">
        <v>2</v>
      </c>
      <c r="G18" s="303">
        <f t="shared" si="0"/>
        <v>140</v>
      </c>
      <c r="H18" s="304"/>
      <c r="I18" s="303"/>
      <c r="J18" s="303"/>
      <c r="K18" s="303"/>
      <c r="L18" s="303"/>
      <c r="M18" s="303"/>
      <c r="N18" s="303"/>
      <c r="O18" s="302"/>
      <c r="P18" s="302"/>
      <c r="Q18" s="302"/>
    </row>
    <row r="19" spans="1:17" ht="15">
      <c r="A19" s="305"/>
      <c r="B19" s="317" t="s">
        <v>256</v>
      </c>
      <c r="C19" s="302" t="s">
        <v>255</v>
      </c>
      <c r="D19" s="302">
        <v>10</v>
      </c>
      <c r="E19" s="302">
        <v>10</v>
      </c>
      <c r="F19" s="302">
        <v>2</v>
      </c>
      <c r="G19" s="303">
        <f t="shared" si="0"/>
        <v>200</v>
      </c>
      <c r="H19" s="304"/>
      <c r="I19" s="303"/>
      <c r="J19" s="303"/>
      <c r="K19" s="303"/>
      <c r="L19" s="303"/>
      <c r="M19" s="303"/>
      <c r="N19" s="303"/>
      <c r="O19" s="302"/>
      <c r="P19" s="302"/>
      <c r="Q19" s="302"/>
    </row>
    <row r="20" spans="1:17" ht="15">
      <c r="A20" s="305"/>
      <c r="B20" s="317" t="s">
        <v>257</v>
      </c>
      <c r="C20" s="302" t="s">
        <v>255</v>
      </c>
      <c r="D20" s="302">
        <v>10</v>
      </c>
      <c r="E20" s="302">
        <v>5</v>
      </c>
      <c r="F20" s="302">
        <v>2</v>
      </c>
      <c r="G20" s="303">
        <f t="shared" si="0"/>
        <v>100</v>
      </c>
      <c r="H20" s="304"/>
      <c r="I20" s="303"/>
      <c r="J20" s="303"/>
      <c r="K20" s="303"/>
      <c r="L20" s="303"/>
      <c r="M20" s="303"/>
      <c r="N20" s="303"/>
      <c r="O20" s="302"/>
      <c r="P20" s="302"/>
      <c r="Q20" s="302"/>
    </row>
    <row r="21" spans="1:17" ht="15">
      <c r="A21" s="305"/>
      <c r="B21" s="317" t="s">
        <v>258</v>
      </c>
      <c r="C21" s="302" t="s">
        <v>259</v>
      </c>
      <c r="D21" s="302">
        <v>40</v>
      </c>
      <c r="E21" s="302">
        <v>7</v>
      </c>
      <c r="F21" s="302">
        <v>1</v>
      </c>
      <c r="G21" s="303">
        <f t="shared" si="0"/>
        <v>280</v>
      </c>
      <c r="H21" s="304"/>
      <c r="I21" s="303"/>
      <c r="J21" s="303"/>
      <c r="K21" s="303"/>
      <c r="L21" s="303"/>
      <c r="M21" s="303"/>
      <c r="N21" s="303"/>
      <c r="O21" s="302"/>
      <c r="P21" s="302"/>
      <c r="Q21" s="302"/>
    </row>
    <row r="22" spans="1:17" ht="15">
      <c r="A22" s="305"/>
      <c r="B22" s="317" t="s">
        <v>260</v>
      </c>
      <c r="C22" s="302" t="s">
        <v>261</v>
      </c>
      <c r="D22" s="302">
        <v>40</v>
      </c>
      <c r="E22" s="302">
        <v>4</v>
      </c>
      <c r="F22" s="302">
        <v>1</v>
      </c>
      <c r="G22" s="303">
        <f t="shared" si="0"/>
        <v>160</v>
      </c>
      <c r="H22" s="304"/>
      <c r="I22" s="303"/>
      <c r="J22" s="303"/>
      <c r="K22" s="303"/>
      <c r="L22" s="303"/>
      <c r="M22" s="303"/>
      <c r="N22" s="303"/>
      <c r="O22" s="302"/>
      <c r="P22" s="302"/>
      <c r="Q22" s="302"/>
    </row>
    <row r="23" spans="1:17" ht="15">
      <c r="A23" s="305"/>
      <c r="B23" s="317" t="s">
        <v>262</v>
      </c>
      <c r="C23" s="302" t="s">
        <v>263</v>
      </c>
      <c r="D23" s="302">
        <v>20</v>
      </c>
      <c r="E23" s="302">
        <v>10</v>
      </c>
      <c r="F23" s="302">
        <v>2</v>
      </c>
      <c r="G23" s="303">
        <f t="shared" si="0"/>
        <v>400</v>
      </c>
      <c r="H23" s="304"/>
      <c r="I23" s="303"/>
      <c r="J23" s="303"/>
      <c r="K23" s="303"/>
      <c r="L23" s="303"/>
      <c r="M23" s="303"/>
      <c r="N23" s="303"/>
      <c r="O23" s="302"/>
      <c r="P23" s="302"/>
      <c r="Q23" s="302"/>
    </row>
    <row r="24" spans="1:17" ht="15">
      <c r="A24" s="305"/>
      <c r="B24" s="317" t="s">
        <v>264</v>
      </c>
      <c r="C24" s="302" t="s">
        <v>265</v>
      </c>
      <c r="D24" s="302">
        <v>1</v>
      </c>
      <c r="E24" s="302">
        <v>100</v>
      </c>
      <c r="F24" s="302">
        <v>1</v>
      </c>
      <c r="G24" s="303">
        <f t="shared" si="0"/>
        <v>100</v>
      </c>
      <c r="H24" s="304"/>
      <c r="I24" s="303"/>
      <c r="J24" s="303"/>
      <c r="K24" s="303"/>
      <c r="L24" s="303"/>
      <c r="M24" s="303"/>
      <c r="N24" s="303"/>
      <c r="O24" s="302"/>
      <c r="P24" s="302"/>
      <c r="Q24" s="302"/>
    </row>
    <row r="25" spans="1:17" ht="30.75">
      <c r="A25" s="305"/>
      <c r="B25" s="317" t="s">
        <v>266</v>
      </c>
      <c r="C25" s="302" t="s">
        <v>253</v>
      </c>
      <c r="D25" s="302">
        <v>1</v>
      </c>
      <c r="E25" s="302">
        <v>150</v>
      </c>
      <c r="F25" s="318">
        <v>4</v>
      </c>
      <c r="G25" s="303">
        <f t="shared" si="0"/>
        <v>600</v>
      </c>
      <c r="H25" s="304"/>
      <c r="I25" s="303"/>
      <c r="J25" s="303"/>
      <c r="K25" s="303"/>
      <c r="L25" s="303"/>
      <c r="M25" s="303"/>
      <c r="N25" s="303"/>
      <c r="O25" s="302"/>
      <c r="P25" s="302"/>
      <c r="Q25" s="302"/>
    </row>
    <row r="26" spans="1:17" ht="15">
      <c r="A26" s="307"/>
      <c r="B26" s="311" t="s">
        <v>267</v>
      </c>
      <c r="C26" s="312"/>
      <c r="D26" s="312"/>
      <c r="E26" s="312"/>
      <c r="F26" s="312"/>
      <c r="G26" s="313">
        <f>SUM(G16:G25)</f>
        <v>3030</v>
      </c>
      <c r="H26" s="319"/>
      <c r="I26" s="319"/>
      <c r="J26" s="319"/>
      <c r="K26" s="319"/>
      <c r="L26" s="319"/>
      <c r="M26" s="319"/>
      <c r="N26" s="316"/>
      <c r="O26" s="320"/>
      <c r="P26" s="320"/>
      <c r="Q26" s="320"/>
    </row>
    <row r="27" spans="1:17" ht="30.75">
      <c r="A27" s="305"/>
      <c r="B27" s="316" t="s">
        <v>268</v>
      </c>
      <c r="C27" s="302"/>
      <c r="D27" s="302"/>
      <c r="E27" s="302"/>
      <c r="F27" s="302"/>
      <c r="G27" s="303"/>
      <c r="H27" s="304"/>
      <c r="I27" s="303"/>
      <c r="J27" s="303"/>
      <c r="K27" s="303"/>
      <c r="L27" s="303"/>
      <c r="M27" s="303"/>
      <c r="N27" s="303"/>
      <c r="O27" s="302"/>
      <c r="P27" s="302"/>
      <c r="Q27" s="302"/>
    </row>
    <row r="28" spans="1:17" ht="15">
      <c r="A28" s="305"/>
      <c r="B28" s="317" t="s">
        <v>146</v>
      </c>
      <c r="C28" s="302" t="s">
        <v>252</v>
      </c>
      <c r="D28" s="302">
        <v>1</v>
      </c>
      <c r="E28" s="302">
        <v>50</v>
      </c>
      <c r="F28" s="302">
        <v>1</v>
      </c>
      <c r="G28" s="303">
        <f>D28*E28*F28</f>
        <v>50</v>
      </c>
      <c r="H28" s="304"/>
      <c r="I28" s="303"/>
      <c r="J28" s="303"/>
      <c r="K28" s="303"/>
      <c r="L28" s="303"/>
      <c r="M28" s="303"/>
      <c r="N28" s="303"/>
      <c r="O28" s="302"/>
      <c r="P28" s="302"/>
      <c r="Q28" s="302"/>
    </row>
    <row r="29" spans="1:17" ht="15">
      <c r="A29" s="305"/>
      <c r="B29" s="317" t="s">
        <v>269</v>
      </c>
      <c r="C29" s="302" t="s">
        <v>253</v>
      </c>
      <c r="D29" s="302">
        <v>20</v>
      </c>
      <c r="E29" s="302">
        <v>25</v>
      </c>
      <c r="F29" s="302">
        <v>2</v>
      </c>
      <c r="G29" s="303">
        <f aca="true" t="shared" si="1" ref="G29:G37">D29*E29*F29</f>
        <v>1000</v>
      </c>
      <c r="H29" s="304"/>
      <c r="I29" s="303"/>
      <c r="J29" s="303"/>
      <c r="K29" s="303"/>
      <c r="L29" s="303"/>
      <c r="M29" s="303"/>
      <c r="N29" s="303"/>
      <c r="O29" s="302"/>
      <c r="P29" s="302"/>
      <c r="Q29" s="302"/>
    </row>
    <row r="30" spans="1:17" ht="15">
      <c r="A30" s="305"/>
      <c r="B30" s="317" t="s">
        <v>270</v>
      </c>
      <c r="C30" s="302" t="s">
        <v>255</v>
      </c>
      <c r="D30" s="302">
        <v>10</v>
      </c>
      <c r="E30" s="302">
        <v>7</v>
      </c>
      <c r="F30" s="302">
        <v>2</v>
      </c>
      <c r="G30" s="303">
        <f t="shared" si="1"/>
        <v>140</v>
      </c>
      <c r="H30" s="304"/>
      <c r="I30" s="303"/>
      <c r="J30" s="303"/>
      <c r="K30" s="303"/>
      <c r="L30" s="303"/>
      <c r="M30" s="303"/>
      <c r="N30" s="303"/>
      <c r="O30" s="302"/>
      <c r="P30" s="302"/>
      <c r="Q30" s="302"/>
    </row>
    <row r="31" spans="1:17" ht="15">
      <c r="A31" s="305"/>
      <c r="B31" s="317" t="s">
        <v>271</v>
      </c>
      <c r="C31" s="302" t="s">
        <v>255</v>
      </c>
      <c r="D31" s="302">
        <v>10</v>
      </c>
      <c r="E31" s="302">
        <v>10</v>
      </c>
      <c r="F31" s="302">
        <v>2</v>
      </c>
      <c r="G31" s="303">
        <f t="shared" si="1"/>
        <v>200</v>
      </c>
      <c r="H31" s="304"/>
      <c r="I31" s="303"/>
      <c r="J31" s="303"/>
      <c r="K31" s="303"/>
      <c r="L31" s="303"/>
      <c r="M31" s="303"/>
      <c r="N31" s="303"/>
      <c r="O31" s="302"/>
      <c r="P31" s="302"/>
      <c r="Q31" s="302"/>
    </row>
    <row r="32" spans="1:17" ht="15">
      <c r="A32" s="305"/>
      <c r="B32" s="317" t="s">
        <v>272</v>
      </c>
      <c r="C32" s="302" t="s">
        <v>255</v>
      </c>
      <c r="D32" s="302">
        <v>10</v>
      </c>
      <c r="E32" s="302">
        <v>5</v>
      </c>
      <c r="F32" s="302">
        <v>2</v>
      </c>
      <c r="G32" s="303">
        <f t="shared" si="1"/>
        <v>100</v>
      </c>
      <c r="H32" s="304"/>
      <c r="I32" s="303"/>
      <c r="J32" s="303"/>
      <c r="K32" s="303"/>
      <c r="L32" s="303"/>
      <c r="M32" s="303"/>
      <c r="N32" s="303"/>
      <c r="O32" s="302"/>
      <c r="P32" s="302"/>
      <c r="Q32" s="302"/>
    </row>
    <row r="33" spans="1:17" ht="15">
      <c r="A33" s="305"/>
      <c r="B33" s="317" t="s">
        <v>258</v>
      </c>
      <c r="C33" s="302" t="s">
        <v>259</v>
      </c>
      <c r="D33" s="302">
        <v>40</v>
      </c>
      <c r="E33" s="302">
        <v>7</v>
      </c>
      <c r="F33" s="302">
        <v>1</v>
      </c>
      <c r="G33" s="303">
        <f t="shared" si="1"/>
        <v>280</v>
      </c>
      <c r="H33" s="304"/>
      <c r="I33" s="303"/>
      <c r="J33" s="303"/>
      <c r="K33" s="303"/>
      <c r="L33" s="303"/>
      <c r="M33" s="303"/>
      <c r="N33" s="303"/>
      <c r="O33" s="302"/>
      <c r="P33" s="302"/>
      <c r="Q33" s="302"/>
    </row>
    <row r="34" spans="1:17" ht="15">
      <c r="A34" s="305"/>
      <c r="B34" s="317" t="s">
        <v>260</v>
      </c>
      <c r="C34" s="302" t="s">
        <v>261</v>
      </c>
      <c r="D34" s="302">
        <v>40</v>
      </c>
      <c r="E34" s="302">
        <v>4</v>
      </c>
      <c r="F34" s="302">
        <v>1</v>
      </c>
      <c r="G34" s="303">
        <f t="shared" si="1"/>
        <v>160</v>
      </c>
      <c r="H34" s="304"/>
      <c r="I34" s="303"/>
      <c r="J34" s="303"/>
      <c r="K34" s="303"/>
      <c r="L34" s="303"/>
      <c r="M34" s="303"/>
      <c r="N34" s="303"/>
      <c r="O34" s="302"/>
      <c r="P34" s="302"/>
      <c r="Q34" s="302"/>
    </row>
    <row r="35" spans="1:17" ht="15">
      <c r="A35" s="305"/>
      <c r="B35" s="317" t="s">
        <v>262</v>
      </c>
      <c r="C35" s="302" t="s">
        <v>263</v>
      </c>
      <c r="D35" s="302">
        <v>20</v>
      </c>
      <c r="E35" s="302">
        <v>10</v>
      </c>
      <c r="F35" s="302">
        <v>2</v>
      </c>
      <c r="G35" s="303">
        <f t="shared" si="1"/>
        <v>400</v>
      </c>
      <c r="H35" s="304"/>
      <c r="I35" s="303"/>
      <c r="J35" s="303"/>
      <c r="K35" s="303"/>
      <c r="L35" s="303"/>
      <c r="M35" s="303"/>
      <c r="N35" s="303"/>
      <c r="O35" s="302"/>
      <c r="P35" s="302"/>
      <c r="Q35" s="302"/>
    </row>
    <row r="36" spans="1:17" ht="15">
      <c r="A36" s="305"/>
      <c r="B36" s="317" t="s">
        <v>264</v>
      </c>
      <c r="C36" s="302" t="s">
        <v>265</v>
      </c>
      <c r="D36" s="302">
        <v>1</v>
      </c>
      <c r="E36" s="302">
        <v>100</v>
      </c>
      <c r="F36" s="302">
        <v>1</v>
      </c>
      <c r="G36" s="303">
        <f t="shared" si="1"/>
        <v>100</v>
      </c>
      <c r="H36" s="304"/>
      <c r="I36" s="303"/>
      <c r="J36" s="303"/>
      <c r="K36" s="303"/>
      <c r="L36" s="303"/>
      <c r="M36" s="303"/>
      <c r="N36" s="303"/>
      <c r="O36" s="302"/>
      <c r="P36" s="302"/>
      <c r="Q36" s="302"/>
    </row>
    <row r="37" spans="1:17" ht="15">
      <c r="A37" s="305"/>
      <c r="B37" s="317" t="s">
        <v>273</v>
      </c>
      <c r="C37" s="302">
        <v>0</v>
      </c>
      <c r="D37" s="302">
        <v>0</v>
      </c>
      <c r="E37" s="302">
        <v>0</v>
      </c>
      <c r="F37" s="302">
        <v>0</v>
      </c>
      <c r="G37" s="303">
        <f t="shared" si="1"/>
        <v>0</v>
      </c>
      <c r="H37" s="304"/>
      <c r="I37" s="303"/>
      <c r="J37" s="303"/>
      <c r="K37" s="303"/>
      <c r="L37" s="303"/>
      <c r="M37" s="303"/>
      <c r="N37" s="303"/>
      <c r="O37" s="302"/>
      <c r="P37" s="302"/>
      <c r="Q37" s="302"/>
    </row>
    <row r="38" spans="1:17" ht="15">
      <c r="A38" s="307"/>
      <c r="B38" s="311" t="s">
        <v>274</v>
      </c>
      <c r="C38" s="312"/>
      <c r="D38" s="312"/>
      <c r="E38" s="312"/>
      <c r="F38" s="312"/>
      <c r="G38" s="313">
        <f>SUM(G28:G37)</f>
        <v>2430</v>
      </c>
      <c r="H38" s="319"/>
      <c r="I38" s="319"/>
      <c r="J38" s="319"/>
      <c r="K38" s="319"/>
      <c r="L38" s="319"/>
      <c r="M38" s="319"/>
      <c r="N38" s="316"/>
      <c r="O38" s="320"/>
      <c r="P38" s="320"/>
      <c r="Q38" s="320"/>
    </row>
    <row r="39" spans="1:17" ht="30.75">
      <c r="A39" s="305"/>
      <c r="B39" s="316" t="s">
        <v>275</v>
      </c>
      <c r="C39" s="302"/>
      <c r="D39" s="302"/>
      <c r="E39" s="302"/>
      <c r="F39" s="302"/>
      <c r="G39" s="303"/>
      <c r="H39" s="304"/>
      <c r="I39" s="303"/>
      <c r="J39" s="303"/>
      <c r="K39" s="303"/>
      <c r="L39" s="303"/>
      <c r="M39" s="303"/>
      <c r="N39" s="303"/>
      <c r="O39" s="302"/>
      <c r="P39" s="302"/>
      <c r="Q39" s="302"/>
    </row>
    <row r="40" spans="1:17" ht="15">
      <c r="A40" s="305"/>
      <c r="B40" s="317" t="s">
        <v>146</v>
      </c>
      <c r="C40" s="302" t="s">
        <v>252</v>
      </c>
      <c r="D40" s="302">
        <v>1</v>
      </c>
      <c r="E40" s="302">
        <v>50</v>
      </c>
      <c r="F40" s="302">
        <v>1</v>
      </c>
      <c r="G40" s="303">
        <f>D40*E40*F40</f>
        <v>50</v>
      </c>
      <c r="H40" s="304"/>
      <c r="I40" s="303"/>
      <c r="J40" s="303"/>
      <c r="K40" s="303"/>
      <c r="L40" s="303"/>
      <c r="M40" s="303"/>
      <c r="N40" s="303"/>
      <c r="O40" s="302"/>
      <c r="P40" s="302"/>
      <c r="Q40" s="302"/>
    </row>
    <row r="41" spans="1:17" ht="15">
      <c r="A41" s="305"/>
      <c r="B41" s="317" t="s">
        <v>269</v>
      </c>
      <c r="C41" s="302" t="s">
        <v>253</v>
      </c>
      <c r="D41" s="302">
        <v>20</v>
      </c>
      <c r="E41" s="302">
        <v>25</v>
      </c>
      <c r="F41" s="302">
        <v>2</v>
      </c>
      <c r="G41" s="303">
        <f aca="true" t="shared" si="2" ref="G41:G49">D41*E41*F41</f>
        <v>1000</v>
      </c>
      <c r="H41" s="304"/>
      <c r="I41" s="303"/>
      <c r="J41" s="303"/>
      <c r="K41" s="303"/>
      <c r="L41" s="303"/>
      <c r="M41" s="303"/>
      <c r="N41" s="303"/>
      <c r="O41" s="302"/>
      <c r="P41" s="302"/>
      <c r="Q41" s="302"/>
    </row>
    <row r="42" spans="1:17" ht="15">
      <c r="A42" s="305"/>
      <c r="B42" s="317" t="s">
        <v>276</v>
      </c>
      <c r="C42" s="302" t="s">
        <v>255</v>
      </c>
      <c r="D42" s="302">
        <v>10</v>
      </c>
      <c r="E42" s="302">
        <v>7</v>
      </c>
      <c r="F42" s="302">
        <v>2</v>
      </c>
      <c r="G42" s="303">
        <f t="shared" si="2"/>
        <v>140</v>
      </c>
      <c r="H42" s="304"/>
      <c r="I42" s="303"/>
      <c r="J42" s="303"/>
      <c r="K42" s="303"/>
      <c r="L42" s="303"/>
      <c r="M42" s="303"/>
      <c r="N42" s="303"/>
      <c r="O42" s="302"/>
      <c r="P42" s="302"/>
      <c r="Q42" s="302"/>
    </row>
    <row r="43" spans="1:17" ht="15">
      <c r="A43" s="305"/>
      <c r="B43" s="317" t="s">
        <v>277</v>
      </c>
      <c r="C43" s="302" t="s">
        <v>255</v>
      </c>
      <c r="D43" s="302">
        <v>10</v>
      </c>
      <c r="E43" s="302">
        <v>10</v>
      </c>
      <c r="F43" s="302">
        <v>2</v>
      </c>
      <c r="G43" s="303">
        <f t="shared" si="2"/>
        <v>200</v>
      </c>
      <c r="H43" s="304"/>
      <c r="I43" s="303"/>
      <c r="J43" s="303"/>
      <c r="K43" s="303"/>
      <c r="L43" s="303"/>
      <c r="M43" s="303"/>
      <c r="N43" s="303"/>
      <c r="O43" s="302"/>
      <c r="P43" s="302"/>
      <c r="Q43" s="302"/>
    </row>
    <row r="44" spans="1:17" ht="15">
      <c r="A44" s="305"/>
      <c r="B44" s="317" t="s">
        <v>278</v>
      </c>
      <c r="C44" s="302" t="s">
        <v>255</v>
      </c>
      <c r="D44" s="302">
        <v>10</v>
      </c>
      <c r="E44" s="302">
        <v>5</v>
      </c>
      <c r="F44" s="302">
        <v>2</v>
      </c>
      <c r="G44" s="303">
        <f t="shared" si="2"/>
        <v>100</v>
      </c>
      <c r="H44" s="304"/>
      <c r="I44" s="303"/>
      <c r="J44" s="303"/>
      <c r="K44" s="303"/>
      <c r="L44" s="303"/>
      <c r="M44" s="303"/>
      <c r="N44" s="303"/>
      <c r="O44" s="302"/>
      <c r="P44" s="302"/>
      <c r="Q44" s="302"/>
    </row>
    <row r="45" spans="1:17" ht="15">
      <c r="A45" s="305"/>
      <c r="B45" s="317" t="s">
        <v>258</v>
      </c>
      <c r="C45" s="302" t="s">
        <v>259</v>
      </c>
      <c r="D45" s="302">
        <v>40</v>
      </c>
      <c r="E45" s="302">
        <v>7</v>
      </c>
      <c r="F45" s="302">
        <v>1</v>
      </c>
      <c r="G45" s="303">
        <f t="shared" si="2"/>
        <v>280</v>
      </c>
      <c r="H45" s="304"/>
      <c r="I45" s="303"/>
      <c r="J45" s="303"/>
      <c r="K45" s="303"/>
      <c r="L45" s="303"/>
      <c r="M45" s="303"/>
      <c r="N45" s="303"/>
      <c r="O45" s="302"/>
      <c r="P45" s="302"/>
      <c r="Q45" s="302"/>
    </row>
    <row r="46" spans="1:17" ht="15">
      <c r="A46" s="305"/>
      <c r="B46" s="317" t="s">
        <v>260</v>
      </c>
      <c r="C46" s="302" t="s">
        <v>261</v>
      </c>
      <c r="D46" s="302">
        <v>40</v>
      </c>
      <c r="E46" s="302">
        <v>4</v>
      </c>
      <c r="F46" s="302">
        <v>1</v>
      </c>
      <c r="G46" s="303">
        <f t="shared" si="2"/>
        <v>160</v>
      </c>
      <c r="H46" s="304"/>
      <c r="I46" s="303"/>
      <c r="J46" s="303"/>
      <c r="K46" s="303"/>
      <c r="L46" s="303"/>
      <c r="M46" s="303"/>
      <c r="N46" s="303"/>
      <c r="O46" s="302"/>
      <c r="P46" s="302"/>
      <c r="Q46" s="302"/>
    </row>
    <row r="47" spans="1:17" ht="15">
      <c r="A47" s="305"/>
      <c r="B47" s="317" t="s">
        <v>262</v>
      </c>
      <c r="C47" s="302" t="s">
        <v>263</v>
      </c>
      <c r="D47" s="302">
        <v>20</v>
      </c>
      <c r="E47" s="302">
        <v>10</v>
      </c>
      <c r="F47" s="302">
        <v>2</v>
      </c>
      <c r="G47" s="303">
        <f t="shared" si="2"/>
        <v>400</v>
      </c>
      <c r="H47" s="304"/>
      <c r="I47" s="303"/>
      <c r="J47" s="303"/>
      <c r="K47" s="303"/>
      <c r="L47" s="303"/>
      <c r="M47" s="303"/>
      <c r="N47" s="303"/>
      <c r="O47" s="302"/>
      <c r="P47" s="302"/>
      <c r="Q47" s="302"/>
    </row>
    <row r="48" spans="1:17" ht="15">
      <c r="A48" s="305"/>
      <c r="B48" s="317" t="s">
        <v>264</v>
      </c>
      <c r="C48" s="302" t="s">
        <v>265</v>
      </c>
      <c r="D48" s="302">
        <v>1</v>
      </c>
      <c r="E48" s="302">
        <v>100</v>
      </c>
      <c r="F48" s="302">
        <v>1</v>
      </c>
      <c r="G48" s="303">
        <f t="shared" si="2"/>
        <v>100</v>
      </c>
      <c r="H48" s="304"/>
      <c r="I48" s="303"/>
      <c r="J48" s="303"/>
      <c r="K48" s="303"/>
      <c r="L48" s="303"/>
      <c r="M48" s="303"/>
      <c r="N48" s="303"/>
      <c r="O48" s="302"/>
      <c r="P48" s="302"/>
      <c r="Q48" s="302"/>
    </row>
    <row r="49" spans="1:17" ht="15">
      <c r="A49" s="305"/>
      <c r="B49" s="317" t="s">
        <v>273</v>
      </c>
      <c r="C49" s="302">
        <v>0</v>
      </c>
      <c r="D49" s="302">
        <v>0</v>
      </c>
      <c r="E49" s="302">
        <v>0</v>
      </c>
      <c r="F49" s="302">
        <v>0</v>
      </c>
      <c r="G49" s="303">
        <f t="shared" si="2"/>
        <v>0</v>
      </c>
      <c r="H49" s="304"/>
      <c r="I49" s="303"/>
      <c r="J49" s="303"/>
      <c r="K49" s="303"/>
      <c r="L49" s="303"/>
      <c r="M49" s="303"/>
      <c r="N49" s="303"/>
      <c r="O49" s="302"/>
      <c r="P49" s="302"/>
      <c r="Q49" s="302"/>
    </row>
    <row r="50" spans="1:17" ht="15">
      <c r="A50" s="307"/>
      <c r="B50" s="311" t="s">
        <v>279</v>
      </c>
      <c r="C50" s="312"/>
      <c r="D50" s="312"/>
      <c r="E50" s="312"/>
      <c r="F50" s="312"/>
      <c r="G50" s="313">
        <f>SUM(G40:G49)</f>
        <v>2430</v>
      </c>
      <c r="H50" s="319"/>
      <c r="I50" s="319"/>
      <c r="J50" s="319"/>
      <c r="K50" s="319"/>
      <c r="L50" s="319"/>
      <c r="M50" s="319"/>
      <c r="N50" s="316"/>
      <c r="O50" s="320"/>
      <c r="P50" s="320"/>
      <c r="Q50" s="320"/>
    </row>
    <row r="51" spans="1:17" ht="15">
      <c r="A51" s="321"/>
      <c r="B51" s="322" t="s">
        <v>280</v>
      </c>
      <c r="C51" s="323"/>
      <c r="D51" s="323"/>
      <c r="E51" s="323"/>
      <c r="F51" s="323"/>
      <c r="G51" s="324"/>
      <c r="H51" s="324"/>
      <c r="I51" s="324"/>
      <c r="J51" s="324"/>
      <c r="K51" s="324"/>
      <c r="L51" s="324"/>
      <c r="M51" s="324"/>
      <c r="N51" s="324"/>
      <c r="O51" s="323"/>
      <c r="P51" s="323"/>
      <c r="Q51" s="323"/>
    </row>
    <row r="52" spans="1:17" ht="46.5">
      <c r="A52" s="305"/>
      <c r="B52" s="306" t="s">
        <v>281</v>
      </c>
      <c r="C52" s="302"/>
      <c r="D52" s="302"/>
      <c r="E52" s="302"/>
      <c r="F52" s="302"/>
      <c r="G52" s="303"/>
      <c r="H52" s="304"/>
      <c r="I52" s="303"/>
      <c r="J52" s="303"/>
      <c r="K52" s="303"/>
      <c r="L52" s="303"/>
      <c r="M52" s="303"/>
      <c r="N52" s="303"/>
      <c r="O52" s="302"/>
      <c r="P52" s="302"/>
      <c r="Q52" s="302"/>
    </row>
    <row r="53" spans="1:17" ht="15">
      <c r="A53" s="305"/>
      <c r="B53" s="325" t="s">
        <v>146</v>
      </c>
      <c r="C53" s="302" t="s">
        <v>252</v>
      </c>
      <c r="D53" s="302">
        <v>1</v>
      </c>
      <c r="E53" s="302">
        <v>150</v>
      </c>
      <c r="F53" s="302">
        <v>1</v>
      </c>
      <c r="G53" s="303">
        <f>D53*E53*F53</f>
        <v>150</v>
      </c>
      <c r="H53" s="304"/>
      <c r="I53" s="303"/>
      <c r="J53" s="303"/>
      <c r="K53" s="303"/>
      <c r="L53" s="303"/>
      <c r="M53" s="303"/>
      <c r="N53" s="303"/>
      <c r="O53" s="302"/>
      <c r="P53" s="302"/>
      <c r="Q53" s="302"/>
    </row>
    <row r="54" spans="1:17" ht="15">
      <c r="A54" s="305"/>
      <c r="B54" s="325" t="s">
        <v>262</v>
      </c>
      <c r="C54" s="302" t="s">
        <v>263</v>
      </c>
      <c r="D54" s="302">
        <v>12</v>
      </c>
      <c r="E54" s="318">
        <v>60</v>
      </c>
      <c r="F54" s="302">
        <v>2</v>
      </c>
      <c r="G54" s="303">
        <f aca="true" t="shared" si="3" ref="G54:G64">D54*E54*F54</f>
        <v>1440</v>
      </c>
      <c r="H54" s="304"/>
      <c r="I54" s="303"/>
      <c r="J54" s="303"/>
      <c r="K54" s="303"/>
      <c r="L54" s="303"/>
      <c r="M54" s="303"/>
      <c r="N54" s="303"/>
      <c r="O54" s="302"/>
      <c r="P54" s="302"/>
      <c r="Q54" s="302"/>
    </row>
    <row r="55" spans="1:17" ht="15">
      <c r="A55" s="305"/>
      <c r="B55" s="325" t="s">
        <v>282</v>
      </c>
      <c r="C55" s="302" t="s">
        <v>283</v>
      </c>
      <c r="D55" s="318">
        <v>4</v>
      </c>
      <c r="E55" s="302">
        <v>360</v>
      </c>
      <c r="F55" s="302">
        <v>2</v>
      </c>
      <c r="G55" s="303">
        <f t="shared" si="3"/>
        <v>2880</v>
      </c>
      <c r="H55" s="304"/>
      <c r="I55" s="303"/>
      <c r="J55" s="303"/>
      <c r="K55" s="303"/>
      <c r="L55" s="303"/>
      <c r="M55" s="303"/>
      <c r="N55" s="303"/>
      <c r="O55" s="302"/>
      <c r="P55" s="302"/>
      <c r="Q55" s="302"/>
    </row>
    <row r="56" spans="1:17" ht="15">
      <c r="A56" s="305"/>
      <c r="B56" s="325" t="s">
        <v>284</v>
      </c>
      <c r="C56" s="302" t="s">
        <v>263</v>
      </c>
      <c r="D56" s="318">
        <v>4</v>
      </c>
      <c r="E56" s="302">
        <v>205</v>
      </c>
      <c r="F56" s="302">
        <v>2</v>
      </c>
      <c r="G56" s="303">
        <f t="shared" si="3"/>
        <v>1640</v>
      </c>
      <c r="H56" s="304"/>
      <c r="I56" s="303"/>
      <c r="J56" s="303"/>
      <c r="K56" s="303"/>
      <c r="L56" s="303"/>
      <c r="M56" s="303"/>
      <c r="N56" s="303"/>
      <c r="O56" s="302"/>
      <c r="P56" s="302"/>
      <c r="Q56" s="302"/>
    </row>
    <row r="57" spans="1:17" ht="15">
      <c r="A57" s="305"/>
      <c r="B57" s="325" t="s">
        <v>285</v>
      </c>
      <c r="C57" s="302" t="s">
        <v>255</v>
      </c>
      <c r="D57" s="302">
        <v>2</v>
      </c>
      <c r="E57" s="302">
        <v>60</v>
      </c>
      <c r="F57" s="302">
        <v>1</v>
      </c>
      <c r="G57" s="303">
        <f t="shared" si="3"/>
        <v>120</v>
      </c>
      <c r="H57" s="304"/>
      <c r="I57" s="303"/>
      <c r="J57" s="303"/>
      <c r="K57" s="303"/>
      <c r="L57" s="303"/>
      <c r="M57" s="303"/>
      <c r="N57" s="303"/>
      <c r="O57" s="302"/>
      <c r="P57" s="302"/>
      <c r="Q57" s="302"/>
    </row>
    <row r="58" spans="1:17" ht="15">
      <c r="A58" s="305"/>
      <c r="B58" s="325" t="s">
        <v>286</v>
      </c>
      <c r="C58" s="302" t="s">
        <v>255</v>
      </c>
      <c r="D58" s="302">
        <v>5</v>
      </c>
      <c r="E58" s="302">
        <v>15</v>
      </c>
      <c r="F58" s="302">
        <v>1</v>
      </c>
      <c r="G58" s="303">
        <f t="shared" si="3"/>
        <v>75</v>
      </c>
      <c r="H58" s="304"/>
      <c r="I58" s="303"/>
      <c r="J58" s="303"/>
      <c r="K58" s="303"/>
      <c r="L58" s="303"/>
      <c r="M58" s="303"/>
      <c r="N58" s="303"/>
      <c r="O58" s="302"/>
      <c r="P58" s="302"/>
      <c r="Q58" s="302"/>
    </row>
    <row r="59" spans="1:17" ht="30.75">
      <c r="A59" s="305"/>
      <c r="B59" s="325" t="s">
        <v>287</v>
      </c>
      <c r="C59" s="302" t="s">
        <v>263</v>
      </c>
      <c r="D59" s="302">
        <v>7</v>
      </c>
      <c r="E59" s="318">
        <f>35*60%</f>
        <v>21</v>
      </c>
      <c r="F59" s="302">
        <v>3</v>
      </c>
      <c r="G59" s="303">
        <f t="shared" si="3"/>
        <v>441</v>
      </c>
      <c r="H59" s="304"/>
      <c r="I59" s="303"/>
      <c r="J59" s="303"/>
      <c r="K59" s="303"/>
      <c r="L59" s="303"/>
      <c r="M59" s="303"/>
      <c r="N59" s="303"/>
      <c r="O59" s="302"/>
      <c r="P59" s="302"/>
      <c r="Q59" s="302"/>
    </row>
    <row r="60" spans="1:17" ht="15">
      <c r="A60" s="305"/>
      <c r="B60" s="325" t="s">
        <v>258</v>
      </c>
      <c r="C60" s="302" t="s">
        <v>259</v>
      </c>
      <c r="D60" s="302">
        <v>40</v>
      </c>
      <c r="E60" s="302">
        <v>13</v>
      </c>
      <c r="F60" s="302">
        <v>1</v>
      </c>
      <c r="G60" s="303">
        <f t="shared" si="3"/>
        <v>520</v>
      </c>
      <c r="H60" s="304"/>
      <c r="I60" s="303"/>
      <c r="J60" s="303"/>
      <c r="K60" s="303"/>
      <c r="L60" s="303"/>
      <c r="M60" s="303"/>
      <c r="N60" s="303"/>
      <c r="O60" s="302"/>
      <c r="P60" s="302"/>
      <c r="Q60" s="302"/>
    </row>
    <row r="61" spans="1:17" ht="15">
      <c r="A61" s="305"/>
      <c r="B61" s="325" t="s">
        <v>260</v>
      </c>
      <c r="C61" s="302" t="s">
        <v>259</v>
      </c>
      <c r="D61" s="302">
        <v>40</v>
      </c>
      <c r="E61" s="302">
        <v>7</v>
      </c>
      <c r="F61" s="302">
        <v>1</v>
      </c>
      <c r="G61" s="303">
        <f t="shared" si="3"/>
        <v>280</v>
      </c>
      <c r="H61" s="304"/>
      <c r="I61" s="303"/>
      <c r="J61" s="303"/>
      <c r="K61" s="303"/>
      <c r="L61" s="303"/>
      <c r="M61" s="303"/>
      <c r="N61" s="303"/>
      <c r="O61" s="302"/>
      <c r="P61" s="302"/>
      <c r="Q61" s="302"/>
    </row>
    <row r="62" spans="1:17" ht="15">
      <c r="A62" s="305"/>
      <c r="B62" s="325" t="s">
        <v>288</v>
      </c>
      <c r="C62" s="302" t="s">
        <v>265</v>
      </c>
      <c r="D62" s="302">
        <v>1</v>
      </c>
      <c r="E62" s="302">
        <v>100</v>
      </c>
      <c r="F62" s="302">
        <v>1</v>
      </c>
      <c r="G62" s="303">
        <f t="shared" si="3"/>
        <v>100</v>
      </c>
      <c r="H62" s="304"/>
      <c r="I62" s="303"/>
      <c r="J62" s="303"/>
      <c r="K62" s="303"/>
      <c r="L62" s="303"/>
      <c r="M62" s="303"/>
      <c r="N62" s="303"/>
      <c r="O62" s="302"/>
      <c r="P62" s="302"/>
      <c r="Q62" s="302"/>
    </row>
    <row r="63" spans="1:17" ht="15">
      <c r="A63" s="305"/>
      <c r="B63" s="325" t="s">
        <v>289</v>
      </c>
      <c r="C63" s="302" t="s">
        <v>255</v>
      </c>
      <c r="D63" s="302">
        <v>20</v>
      </c>
      <c r="E63" s="302">
        <v>10</v>
      </c>
      <c r="F63" s="302">
        <v>1</v>
      </c>
      <c r="G63" s="303">
        <f t="shared" si="3"/>
        <v>200</v>
      </c>
      <c r="H63" s="304"/>
      <c r="I63" s="303"/>
      <c r="J63" s="303"/>
      <c r="K63" s="303"/>
      <c r="L63" s="303"/>
      <c r="M63" s="303"/>
      <c r="N63" s="303"/>
      <c r="O63" s="302"/>
      <c r="P63" s="302"/>
      <c r="Q63" s="302"/>
    </row>
    <row r="64" spans="1:17" ht="15">
      <c r="A64" s="305"/>
      <c r="B64" s="325" t="s">
        <v>290</v>
      </c>
      <c r="C64" s="302" t="s">
        <v>253</v>
      </c>
      <c r="D64" s="302">
        <v>3</v>
      </c>
      <c r="E64" s="302">
        <v>150</v>
      </c>
      <c r="F64" s="302">
        <v>2</v>
      </c>
      <c r="G64" s="303">
        <f t="shared" si="3"/>
        <v>900</v>
      </c>
      <c r="H64" s="304"/>
      <c r="I64" s="303"/>
      <c r="J64" s="303"/>
      <c r="K64" s="303"/>
      <c r="L64" s="303"/>
      <c r="M64" s="303"/>
      <c r="N64" s="303"/>
      <c r="O64" s="302"/>
      <c r="P64" s="302"/>
      <c r="Q64" s="302"/>
    </row>
    <row r="65" spans="1:17" ht="15">
      <c r="A65" s="307"/>
      <c r="B65" s="311" t="s">
        <v>291</v>
      </c>
      <c r="C65" s="312"/>
      <c r="D65" s="312"/>
      <c r="E65" s="312"/>
      <c r="F65" s="312"/>
      <c r="G65" s="313">
        <f>SUM(G53:G64)</f>
        <v>8746</v>
      </c>
      <c r="H65" s="310"/>
      <c r="I65" s="326"/>
      <c r="J65" s="326"/>
      <c r="K65" s="326"/>
      <c r="L65" s="326"/>
      <c r="M65" s="326"/>
      <c r="N65" s="326"/>
      <c r="O65" s="327"/>
      <c r="P65" s="327"/>
      <c r="Q65" s="327"/>
    </row>
    <row r="66" spans="1:17" ht="30.75">
      <c r="A66" s="305"/>
      <c r="B66" s="306" t="s">
        <v>558</v>
      </c>
      <c r="C66" s="302"/>
      <c r="D66" s="302"/>
      <c r="E66" s="302"/>
      <c r="F66" s="302"/>
      <c r="G66" s="303"/>
      <c r="H66" s="304"/>
      <c r="I66" s="303"/>
      <c r="J66" s="303"/>
      <c r="K66" s="303"/>
      <c r="L66" s="303"/>
      <c r="M66" s="303"/>
      <c r="N66" s="303"/>
      <c r="O66" s="302"/>
      <c r="P66" s="302"/>
      <c r="Q66" s="302"/>
    </row>
    <row r="67" spans="1:17" ht="15">
      <c r="A67" s="305"/>
      <c r="B67" s="328" t="s">
        <v>292</v>
      </c>
      <c r="C67" s="302"/>
      <c r="D67" s="302"/>
      <c r="E67" s="302"/>
      <c r="F67" s="302"/>
      <c r="G67" s="303"/>
      <c r="H67" s="304"/>
      <c r="I67" s="303"/>
      <c r="J67" s="303"/>
      <c r="K67" s="303"/>
      <c r="L67" s="303"/>
      <c r="M67" s="303"/>
      <c r="N67" s="303"/>
      <c r="O67" s="302"/>
      <c r="P67" s="302"/>
      <c r="Q67" s="302"/>
    </row>
    <row r="68" spans="1:17" ht="15">
      <c r="A68" s="305"/>
      <c r="B68" s="325" t="s">
        <v>146</v>
      </c>
      <c r="C68" s="302" t="s">
        <v>252</v>
      </c>
      <c r="D68" s="302">
        <v>1</v>
      </c>
      <c r="E68" s="302">
        <v>50</v>
      </c>
      <c r="F68" s="302">
        <v>2</v>
      </c>
      <c r="G68" s="303">
        <f>D68*E68*F68</f>
        <v>100</v>
      </c>
      <c r="H68" s="304"/>
      <c r="I68" s="303"/>
      <c r="J68" s="303"/>
      <c r="K68" s="303"/>
      <c r="L68" s="303"/>
      <c r="M68" s="303"/>
      <c r="N68" s="303"/>
      <c r="O68" s="302"/>
      <c r="P68" s="302"/>
      <c r="Q68" s="302"/>
    </row>
    <row r="69" spans="1:17" ht="15">
      <c r="A69" s="305"/>
      <c r="B69" s="325" t="s">
        <v>293</v>
      </c>
      <c r="C69" s="302" t="s">
        <v>263</v>
      </c>
      <c r="D69" s="302">
        <v>10</v>
      </c>
      <c r="E69" s="302">
        <v>10</v>
      </c>
      <c r="F69" s="302">
        <v>3</v>
      </c>
      <c r="G69" s="303">
        <f aca="true" t="shared" si="4" ref="G69:G81">D69*E69*F69</f>
        <v>300</v>
      </c>
      <c r="H69" s="304"/>
      <c r="I69" s="303"/>
      <c r="J69" s="303"/>
      <c r="K69" s="303"/>
      <c r="L69" s="303"/>
      <c r="M69" s="303"/>
      <c r="N69" s="303"/>
      <c r="O69" s="302"/>
      <c r="P69" s="302"/>
      <c r="Q69" s="302"/>
    </row>
    <row r="70" spans="1:17" ht="15">
      <c r="A70" s="305"/>
      <c r="B70" s="325" t="s">
        <v>294</v>
      </c>
      <c r="C70" s="302" t="s">
        <v>255</v>
      </c>
      <c r="D70" s="302">
        <v>10</v>
      </c>
      <c r="E70" s="302">
        <v>25</v>
      </c>
      <c r="F70" s="302">
        <v>3</v>
      </c>
      <c r="G70" s="303">
        <f t="shared" si="4"/>
        <v>750</v>
      </c>
      <c r="H70" s="304"/>
      <c r="I70" s="303"/>
      <c r="J70" s="303"/>
      <c r="K70" s="303"/>
      <c r="L70" s="303"/>
      <c r="M70" s="303"/>
      <c r="N70" s="303"/>
      <c r="O70" s="302"/>
      <c r="P70" s="302"/>
      <c r="Q70" s="302"/>
    </row>
    <row r="71" spans="1:17" ht="15">
      <c r="A71" s="305"/>
      <c r="B71" s="325" t="s">
        <v>295</v>
      </c>
      <c r="C71" s="302" t="s">
        <v>296</v>
      </c>
      <c r="D71" s="302">
        <v>4</v>
      </c>
      <c r="E71" s="302">
        <v>30</v>
      </c>
      <c r="F71" s="302">
        <v>2</v>
      </c>
      <c r="G71" s="303">
        <f t="shared" si="4"/>
        <v>240</v>
      </c>
      <c r="H71" s="304"/>
      <c r="I71" s="303"/>
      <c r="J71" s="303"/>
      <c r="K71" s="303"/>
      <c r="L71" s="303"/>
      <c r="M71" s="303"/>
      <c r="N71" s="303"/>
      <c r="O71" s="302"/>
      <c r="P71" s="302"/>
      <c r="Q71" s="302"/>
    </row>
    <row r="72" spans="1:17" ht="15">
      <c r="A72" s="305"/>
      <c r="B72" s="325" t="s">
        <v>297</v>
      </c>
      <c r="C72" s="302" t="s">
        <v>255</v>
      </c>
      <c r="D72" s="302">
        <v>4</v>
      </c>
      <c r="E72" s="302">
        <v>15</v>
      </c>
      <c r="F72" s="302">
        <v>2</v>
      </c>
      <c r="G72" s="303">
        <f t="shared" si="4"/>
        <v>120</v>
      </c>
      <c r="H72" s="304"/>
      <c r="I72" s="303"/>
      <c r="J72" s="303"/>
      <c r="K72" s="303"/>
      <c r="L72" s="303"/>
      <c r="M72" s="303"/>
      <c r="N72" s="303"/>
      <c r="O72" s="302"/>
      <c r="P72" s="302"/>
      <c r="Q72" s="302"/>
    </row>
    <row r="73" spans="1:17" ht="15">
      <c r="A73" s="305"/>
      <c r="B73" s="325" t="s">
        <v>256</v>
      </c>
      <c r="C73" s="302" t="s">
        <v>255</v>
      </c>
      <c r="D73" s="302">
        <v>1</v>
      </c>
      <c r="E73" s="302">
        <v>10</v>
      </c>
      <c r="F73" s="302">
        <v>2</v>
      </c>
      <c r="G73" s="303">
        <f t="shared" si="4"/>
        <v>20</v>
      </c>
      <c r="H73" s="304"/>
      <c r="I73" s="303"/>
      <c r="J73" s="303"/>
      <c r="K73" s="303"/>
      <c r="L73" s="303"/>
      <c r="M73" s="303"/>
      <c r="N73" s="303"/>
      <c r="O73" s="302"/>
      <c r="P73" s="302"/>
      <c r="Q73" s="302"/>
    </row>
    <row r="74" spans="1:17" ht="15">
      <c r="A74" s="305"/>
      <c r="B74" s="325" t="s">
        <v>298</v>
      </c>
      <c r="C74" s="302" t="s">
        <v>255</v>
      </c>
      <c r="D74" s="302">
        <v>1</v>
      </c>
      <c r="E74" s="302">
        <v>7</v>
      </c>
      <c r="F74" s="302">
        <v>2</v>
      </c>
      <c r="G74" s="303">
        <f t="shared" si="4"/>
        <v>14</v>
      </c>
      <c r="H74" s="304"/>
      <c r="I74" s="303"/>
      <c r="J74" s="303"/>
      <c r="K74" s="303"/>
      <c r="L74" s="303"/>
      <c r="M74" s="303"/>
      <c r="N74" s="303"/>
      <c r="O74" s="302"/>
      <c r="P74" s="302"/>
      <c r="Q74" s="302"/>
    </row>
    <row r="75" spans="1:17" ht="15">
      <c r="A75" s="305"/>
      <c r="B75" s="325" t="s">
        <v>258</v>
      </c>
      <c r="C75" s="302" t="s">
        <v>259</v>
      </c>
      <c r="D75" s="302">
        <v>14</v>
      </c>
      <c r="E75" s="302">
        <v>7</v>
      </c>
      <c r="F75" s="302">
        <v>2</v>
      </c>
      <c r="G75" s="303">
        <f t="shared" si="4"/>
        <v>196</v>
      </c>
      <c r="H75" s="304"/>
      <c r="I75" s="303"/>
      <c r="J75" s="303"/>
      <c r="K75" s="303"/>
      <c r="L75" s="303"/>
      <c r="M75" s="303"/>
      <c r="N75" s="303"/>
      <c r="O75" s="302"/>
      <c r="P75" s="302"/>
      <c r="Q75" s="302"/>
    </row>
    <row r="76" spans="1:17" ht="15">
      <c r="A76" s="305"/>
      <c r="B76" s="325" t="s">
        <v>260</v>
      </c>
      <c r="C76" s="302" t="s">
        <v>259</v>
      </c>
      <c r="D76" s="302">
        <v>14</v>
      </c>
      <c r="E76" s="302">
        <v>3</v>
      </c>
      <c r="F76" s="302">
        <v>2</v>
      </c>
      <c r="G76" s="303">
        <f t="shared" si="4"/>
        <v>84</v>
      </c>
      <c r="H76" s="304"/>
      <c r="I76" s="303"/>
      <c r="J76" s="303"/>
      <c r="K76" s="303"/>
      <c r="L76" s="303"/>
      <c r="M76" s="303"/>
      <c r="N76" s="303"/>
      <c r="O76" s="302"/>
      <c r="P76" s="302"/>
      <c r="Q76" s="302"/>
    </row>
    <row r="77" spans="1:17" ht="15">
      <c r="A77" s="305"/>
      <c r="B77" s="325" t="s">
        <v>299</v>
      </c>
      <c r="C77" s="302" t="s">
        <v>255</v>
      </c>
      <c r="D77" s="302">
        <v>2</v>
      </c>
      <c r="E77" s="302">
        <v>5</v>
      </c>
      <c r="F77" s="302">
        <v>2</v>
      </c>
      <c r="G77" s="303">
        <f t="shared" si="4"/>
        <v>20</v>
      </c>
      <c r="H77" s="304"/>
      <c r="I77" s="303"/>
      <c r="J77" s="303"/>
      <c r="K77" s="303"/>
      <c r="L77" s="303"/>
      <c r="M77" s="303"/>
      <c r="N77" s="303"/>
      <c r="O77" s="302"/>
      <c r="P77" s="302"/>
      <c r="Q77" s="302"/>
    </row>
    <row r="78" spans="1:17" ht="15">
      <c r="A78" s="305"/>
      <c r="B78" s="325" t="s">
        <v>264</v>
      </c>
      <c r="C78" s="302" t="s">
        <v>265</v>
      </c>
      <c r="D78" s="302">
        <v>1</v>
      </c>
      <c r="E78" s="302">
        <v>100</v>
      </c>
      <c r="F78" s="302">
        <v>1</v>
      </c>
      <c r="G78" s="303">
        <f t="shared" si="4"/>
        <v>100</v>
      </c>
      <c r="H78" s="304"/>
      <c r="I78" s="303"/>
      <c r="J78" s="303"/>
      <c r="K78" s="303"/>
      <c r="L78" s="303"/>
      <c r="M78" s="303"/>
      <c r="N78" s="303"/>
      <c r="O78" s="302"/>
      <c r="P78" s="302"/>
      <c r="Q78" s="302"/>
    </row>
    <row r="79" spans="1:17" ht="15">
      <c r="A79" s="305"/>
      <c r="B79" s="325" t="s">
        <v>300</v>
      </c>
      <c r="C79" s="302" t="s">
        <v>253</v>
      </c>
      <c r="D79" s="302">
        <v>1</v>
      </c>
      <c r="E79" s="302">
        <v>25</v>
      </c>
      <c r="F79" s="302">
        <v>3</v>
      </c>
      <c r="G79" s="303">
        <f t="shared" si="4"/>
        <v>75</v>
      </c>
      <c r="H79" s="304"/>
      <c r="I79" s="303"/>
      <c r="J79" s="303"/>
      <c r="K79" s="303"/>
      <c r="L79" s="303"/>
      <c r="M79" s="303"/>
      <c r="N79" s="303"/>
      <c r="O79" s="302"/>
      <c r="P79" s="302"/>
      <c r="Q79" s="302"/>
    </row>
    <row r="80" spans="1:17" ht="15">
      <c r="A80" s="305"/>
      <c r="B80" s="325" t="s">
        <v>301</v>
      </c>
      <c r="C80" s="302" t="s">
        <v>263</v>
      </c>
      <c r="D80" s="302">
        <v>3</v>
      </c>
      <c r="E80" s="302">
        <v>10</v>
      </c>
      <c r="F80" s="302">
        <v>3</v>
      </c>
      <c r="G80" s="303">
        <f t="shared" si="4"/>
        <v>90</v>
      </c>
      <c r="H80" s="304"/>
      <c r="I80" s="303"/>
      <c r="J80" s="303"/>
      <c r="K80" s="303"/>
      <c r="L80" s="303"/>
      <c r="M80" s="303"/>
      <c r="N80" s="303"/>
      <c r="O80" s="302"/>
      <c r="P80" s="302"/>
      <c r="Q80" s="302"/>
    </row>
    <row r="81" spans="1:17" ht="15">
      <c r="A81" s="305"/>
      <c r="B81" s="325" t="s">
        <v>302</v>
      </c>
      <c r="C81" s="302" t="s">
        <v>253</v>
      </c>
      <c r="D81" s="302">
        <v>3</v>
      </c>
      <c r="E81" s="302">
        <v>200</v>
      </c>
      <c r="F81" s="302">
        <v>3</v>
      </c>
      <c r="G81" s="303">
        <f t="shared" si="4"/>
        <v>1800</v>
      </c>
      <c r="H81" s="304"/>
      <c r="I81" s="303"/>
      <c r="J81" s="303"/>
      <c r="K81" s="303"/>
      <c r="L81" s="303"/>
      <c r="M81" s="303"/>
      <c r="N81" s="303"/>
      <c r="O81" s="302"/>
      <c r="P81" s="302"/>
      <c r="Q81" s="302"/>
    </row>
    <row r="82" spans="1:17" ht="15">
      <c r="A82" s="307"/>
      <c r="B82" s="311" t="s">
        <v>303</v>
      </c>
      <c r="C82" s="312"/>
      <c r="D82" s="312"/>
      <c r="E82" s="312"/>
      <c r="F82" s="312"/>
      <c r="G82" s="313">
        <f>SUM(G68:G81)</f>
        <v>3909</v>
      </c>
      <c r="H82" s="310"/>
      <c r="I82" s="303"/>
      <c r="J82" s="303"/>
      <c r="K82" s="303"/>
      <c r="L82" s="303"/>
      <c r="M82" s="303"/>
      <c r="N82" s="303"/>
      <c r="O82" s="302"/>
      <c r="P82" s="302"/>
      <c r="Q82" s="302"/>
    </row>
    <row r="83" spans="1:17" ht="30.75">
      <c r="A83" s="305"/>
      <c r="B83" s="328" t="s">
        <v>304</v>
      </c>
      <c r="C83" s="302"/>
      <c r="D83" s="302"/>
      <c r="E83" s="302"/>
      <c r="F83" s="302"/>
      <c r="G83" s="303"/>
      <c r="H83" s="304"/>
      <c r="I83" s="303"/>
      <c r="J83" s="303"/>
      <c r="K83" s="303"/>
      <c r="L83" s="303"/>
      <c r="M83" s="303"/>
      <c r="N83" s="303"/>
      <c r="O83" s="302"/>
      <c r="P83" s="302"/>
      <c r="Q83" s="302"/>
    </row>
    <row r="84" spans="1:17" ht="15">
      <c r="A84" s="305"/>
      <c r="B84" s="325" t="s">
        <v>146</v>
      </c>
      <c r="C84" s="302" t="s">
        <v>252</v>
      </c>
      <c r="D84" s="302">
        <v>1</v>
      </c>
      <c r="E84" s="302">
        <v>50</v>
      </c>
      <c r="F84" s="302">
        <v>2</v>
      </c>
      <c r="G84" s="303">
        <f>D84*E84*F84</f>
        <v>100</v>
      </c>
      <c r="H84" s="304"/>
      <c r="I84" s="303"/>
      <c r="J84" s="303"/>
      <c r="K84" s="303"/>
      <c r="L84" s="303"/>
      <c r="M84" s="303"/>
      <c r="N84" s="303"/>
      <c r="O84" s="302"/>
      <c r="P84" s="302"/>
      <c r="Q84" s="302"/>
    </row>
    <row r="85" spans="1:17" ht="15">
      <c r="A85" s="305"/>
      <c r="B85" s="325" t="s">
        <v>293</v>
      </c>
      <c r="C85" s="302" t="s">
        <v>263</v>
      </c>
      <c r="D85" s="302">
        <v>30</v>
      </c>
      <c r="E85" s="302">
        <v>10</v>
      </c>
      <c r="F85" s="302">
        <v>2</v>
      </c>
      <c r="G85" s="303">
        <f aca="true" t="shared" si="5" ref="G85:G98">D85*E85*F85</f>
        <v>600</v>
      </c>
      <c r="H85" s="304"/>
      <c r="I85" s="303"/>
      <c r="J85" s="303"/>
      <c r="K85" s="303"/>
      <c r="L85" s="303"/>
      <c r="M85" s="303"/>
      <c r="N85" s="303"/>
      <c r="O85" s="302"/>
      <c r="P85" s="302"/>
      <c r="Q85" s="302"/>
    </row>
    <row r="86" spans="1:17" ht="15">
      <c r="A86" s="305"/>
      <c r="B86" s="325" t="s">
        <v>294</v>
      </c>
      <c r="C86" s="302" t="s">
        <v>305</v>
      </c>
      <c r="D86" s="302">
        <v>30</v>
      </c>
      <c r="E86" s="302">
        <v>25</v>
      </c>
      <c r="F86" s="302">
        <v>3</v>
      </c>
      <c r="G86" s="303">
        <f t="shared" si="5"/>
        <v>2250</v>
      </c>
      <c r="H86" s="304"/>
      <c r="I86" s="303"/>
      <c r="J86" s="303"/>
      <c r="K86" s="303"/>
      <c r="L86" s="303"/>
      <c r="M86" s="303"/>
      <c r="N86" s="303"/>
      <c r="O86" s="302"/>
      <c r="P86" s="302"/>
      <c r="Q86" s="302"/>
    </row>
    <row r="87" spans="1:17" ht="15">
      <c r="A87" s="305"/>
      <c r="B87" s="325" t="s">
        <v>295</v>
      </c>
      <c r="C87" s="302" t="s">
        <v>296</v>
      </c>
      <c r="D87" s="302">
        <v>10</v>
      </c>
      <c r="E87" s="302">
        <v>30</v>
      </c>
      <c r="F87" s="302">
        <v>2</v>
      </c>
      <c r="G87" s="303">
        <f t="shared" si="5"/>
        <v>600</v>
      </c>
      <c r="H87" s="304"/>
      <c r="I87" s="303"/>
      <c r="J87" s="303"/>
      <c r="K87" s="303"/>
      <c r="L87" s="303"/>
      <c r="M87" s="303"/>
      <c r="N87" s="303"/>
      <c r="O87" s="302"/>
      <c r="P87" s="302"/>
      <c r="Q87" s="302"/>
    </row>
    <row r="88" spans="1:17" ht="15">
      <c r="A88" s="305"/>
      <c r="B88" s="325" t="s">
        <v>297</v>
      </c>
      <c r="C88" s="302" t="s">
        <v>255</v>
      </c>
      <c r="D88" s="302">
        <v>10</v>
      </c>
      <c r="E88" s="302">
        <v>15</v>
      </c>
      <c r="F88" s="302">
        <v>2</v>
      </c>
      <c r="G88" s="303">
        <f t="shared" si="5"/>
        <v>300</v>
      </c>
      <c r="H88" s="304"/>
      <c r="I88" s="303"/>
      <c r="J88" s="303"/>
      <c r="K88" s="303"/>
      <c r="L88" s="303"/>
      <c r="M88" s="303"/>
      <c r="N88" s="303"/>
      <c r="O88" s="302"/>
      <c r="P88" s="302"/>
      <c r="Q88" s="302"/>
    </row>
    <row r="89" spans="1:17" ht="15">
      <c r="A89" s="305"/>
      <c r="B89" s="325" t="s">
        <v>256</v>
      </c>
      <c r="C89" s="302" t="s">
        <v>255</v>
      </c>
      <c r="D89" s="302">
        <v>5</v>
      </c>
      <c r="E89" s="302">
        <v>10</v>
      </c>
      <c r="F89" s="302">
        <v>2</v>
      </c>
      <c r="G89" s="303">
        <f t="shared" si="5"/>
        <v>100</v>
      </c>
      <c r="H89" s="304"/>
      <c r="I89" s="303"/>
      <c r="J89" s="303"/>
      <c r="K89" s="303"/>
      <c r="L89" s="303"/>
      <c r="M89" s="303"/>
      <c r="N89" s="303"/>
      <c r="O89" s="302"/>
      <c r="P89" s="302"/>
      <c r="Q89" s="302"/>
    </row>
    <row r="90" spans="1:17" ht="15">
      <c r="A90" s="305"/>
      <c r="B90" s="325" t="s">
        <v>298</v>
      </c>
      <c r="C90" s="302" t="s">
        <v>255</v>
      </c>
      <c r="D90" s="302">
        <v>5</v>
      </c>
      <c r="E90" s="302">
        <v>7</v>
      </c>
      <c r="F90" s="302">
        <v>2</v>
      </c>
      <c r="G90" s="303">
        <f t="shared" si="5"/>
        <v>70</v>
      </c>
      <c r="H90" s="304"/>
      <c r="I90" s="303"/>
      <c r="J90" s="303"/>
      <c r="K90" s="303"/>
      <c r="L90" s="303"/>
      <c r="M90" s="303"/>
      <c r="N90" s="303"/>
      <c r="O90" s="302"/>
      <c r="P90" s="302"/>
      <c r="Q90" s="302"/>
    </row>
    <row r="91" spans="1:17" ht="15">
      <c r="A91" s="305"/>
      <c r="B91" s="325" t="s">
        <v>258</v>
      </c>
      <c r="C91" s="302" t="s">
        <v>259</v>
      </c>
      <c r="D91" s="302">
        <v>65</v>
      </c>
      <c r="E91" s="302">
        <v>7</v>
      </c>
      <c r="F91" s="302">
        <v>2</v>
      </c>
      <c r="G91" s="303">
        <f t="shared" si="5"/>
        <v>910</v>
      </c>
      <c r="H91" s="304"/>
      <c r="I91" s="303"/>
      <c r="J91" s="303"/>
      <c r="K91" s="303"/>
      <c r="L91" s="303"/>
      <c r="M91" s="303"/>
      <c r="N91" s="303"/>
      <c r="O91" s="302"/>
      <c r="P91" s="302"/>
      <c r="Q91" s="302"/>
    </row>
    <row r="92" spans="1:17" ht="15">
      <c r="A92" s="305"/>
      <c r="B92" s="325" t="s">
        <v>260</v>
      </c>
      <c r="C92" s="302" t="s">
        <v>259</v>
      </c>
      <c r="D92" s="302">
        <v>65</v>
      </c>
      <c r="E92" s="302">
        <v>3</v>
      </c>
      <c r="F92" s="302">
        <v>2</v>
      </c>
      <c r="G92" s="303">
        <f t="shared" si="5"/>
        <v>390</v>
      </c>
      <c r="H92" s="304"/>
      <c r="I92" s="303"/>
      <c r="J92" s="303"/>
      <c r="K92" s="303"/>
      <c r="L92" s="303"/>
      <c r="M92" s="303"/>
      <c r="N92" s="303"/>
      <c r="O92" s="302"/>
      <c r="P92" s="302"/>
      <c r="Q92" s="302"/>
    </row>
    <row r="93" spans="1:17" ht="15">
      <c r="A93" s="305"/>
      <c r="B93" s="325" t="s">
        <v>289</v>
      </c>
      <c r="C93" s="302" t="s">
        <v>255</v>
      </c>
      <c r="D93" s="302">
        <v>30</v>
      </c>
      <c r="E93" s="302">
        <v>5</v>
      </c>
      <c r="F93" s="302">
        <v>2</v>
      </c>
      <c r="G93" s="303">
        <f t="shared" si="5"/>
        <v>300</v>
      </c>
      <c r="H93" s="304"/>
      <c r="I93" s="303"/>
      <c r="J93" s="303"/>
      <c r="K93" s="303"/>
      <c r="L93" s="303"/>
      <c r="M93" s="303"/>
      <c r="N93" s="303"/>
      <c r="O93" s="302"/>
      <c r="P93" s="302"/>
      <c r="Q93" s="302"/>
    </row>
    <row r="94" spans="1:17" ht="13.5" customHeight="1">
      <c r="A94" s="305"/>
      <c r="B94" s="325" t="s">
        <v>264</v>
      </c>
      <c r="C94" s="302" t="s">
        <v>265</v>
      </c>
      <c r="D94" s="302">
        <v>1</v>
      </c>
      <c r="E94" s="302">
        <v>100</v>
      </c>
      <c r="F94" s="302">
        <v>1</v>
      </c>
      <c r="G94" s="303">
        <f t="shared" si="5"/>
        <v>100</v>
      </c>
      <c r="H94" s="304"/>
      <c r="I94" s="303"/>
      <c r="J94" s="303"/>
      <c r="K94" s="303"/>
      <c r="L94" s="303"/>
      <c r="M94" s="303"/>
      <c r="N94" s="303"/>
      <c r="O94" s="302"/>
      <c r="P94" s="302"/>
      <c r="Q94" s="302"/>
    </row>
    <row r="95" spans="1:17" ht="15">
      <c r="A95" s="305"/>
      <c r="B95" s="325" t="s">
        <v>300</v>
      </c>
      <c r="C95" s="302" t="s">
        <v>253</v>
      </c>
      <c r="D95" s="302">
        <v>1</v>
      </c>
      <c r="E95" s="302">
        <v>25</v>
      </c>
      <c r="F95" s="302">
        <v>3</v>
      </c>
      <c r="G95" s="303">
        <f t="shared" si="5"/>
        <v>75</v>
      </c>
      <c r="H95" s="304"/>
      <c r="I95" s="303"/>
      <c r="J95" s="303"/>
      <c r="K95" s="303"/>
      <c r="L95" s="303"/>
      <c r="M95" s="303"/>
      <c r="N95" s="303"/>
      <c r="O95" s="302"/>
      <c r="P95" s="302"/>
      <c r="Q95" s="302"/>
    </row>
    <row r="96" spans="1:17" ht="15">
      <c r="A96" s="305"/>
      <c r="B96" s="325" t="s">
        <v>301</v>
      </c>
      <c r="C96" s="302" t="s">
        <v>263</v>
      </c>
      <c r="D96" s="302">
        <v>2</v>
      </c>
      <c r="E96" s="302">
        <v>10</v>
      </c>
      <c r="F96" s="302">
        <v>3</v>
      </c>
      <c r="G96" s="303">
        <f t="shared" si="5"/>
        <v>60</v>
      </c>
      <c r="H96" s="304"/>
      <c r="I96" s="303"/>
      <c r="J96" s="303"/>
      <c r="K96" s="303"/>
      <c r="L96" s="303"/>
      <c r="M96" s="303"/>
      <c r="N96" s="303"/>
      <c r="O96" s="302"/>
      <c r="P96" s="302"/>
      <c r="Q96" s="302"/>
    </row>
    <row r="97" spans="1:17" ht="15">
      <c r="A97" s="305"/>
      <c r="B97" s="325" t="s">
        <v>306</v>
      </c>
      <c r="C97" s="302" t="s">
        <v>253</v>
      </c>
      <c r="D97" s="302">
        <v>1</v>
      </c>
      <c r="E97" s="302">
        <v>150</v>
      </c>
      <c r="F97" s="318">
        <v>4</v>
      </c>
      <c r="G97" s="303">
        <f t="shared" si="5"/>
        <v>600</v>
      </c>
      <c r="H97" s="304"/>
      <c r="I97" s="303" t="s">
        <v>307</v>
      </c>
      <c r="J97" s="303"/>
      <c r="K97" s="303"/>
      <c r="L97" s="303"/>
      <c r="M97" s="303"/>
      <c r="N97" s="303"/>
      <c r="O97" s="302"/>
      <c r="P97" s="302"/>
      <c r="Q97" s="302"/>
    </row>
    <row r="98" spans="1:17" ht="15">
      <c r="A98" s="305"/>
      <c r="B98" s="325" t="s">
        <v>302</v>
      </c>
      <c r="C98" s="302" t="s">
        <v>253</v>
      </c>
      <c r="D98" s="302">
        <v>2</v>
      </c>
      <c r="E98" s="302">
        <v>200</v>
      </c>
      <c r="F98" s="302"/>
      <c r="G98" s="303">
        <f t="shared" si="5"/>
        <v>0</v>
      </c>
      <c r="H98" s="304"/>
      <c r="I98" s="303"/>
      <c r="J98" s="303"/>
      <c r="K98" s="303"/>
      <c r="L98" s="303"/>
      <c r="M98" s="303"/>
      <c r="N98" s="303"/>
      <c r="O98" s="302"/>
      <c r="P98" s="302"/>
      <c r="Q98" s="302"/>
    </row>
    <row r="99" spans="1:17" ht="15">
      <c r="A99" s="307"/>
      <c r="B99" s="311" t="s">
        <v>308</v>
      </c>
      <c r="C99" s="309"/>
      <c r="D99" s="309"/>
      <c r="E99" s="309"/>
      <c r="F99" s="309"/>
      <c r="G99" s="310">
        <f>SUM(G83:G98)</f>
        <v>6455</v>
      </c>
      <c r="H99" s="304"/>
      <c r="I99" s="303"/>
      <c r="J99" s="303"/>
      <c r="K99" s="303"/>
      <c r="L99" s="303"/>
      <c r="M99" s="303"/>
      <c r="N99" s="303"/>
      <c r="O99" s="302"/>
      <c r="P99" s="302"/>
      <c r="Q99" s="302"/>
    </row>
    <row r="100" spans="1:17" ht="15">
      <c r="A100" s="305"/>
      <c r="B100" s="322" t="s">
        <v>309</v>
      </c>
      <c r="C100" s="323"/>
      <c r="D100" s="323"/>
      <c r="E100" s="323"/>
      <c r="F100" s="323"/>
      <c r="G100" s="324"/>
      <c r="H100" s="324"/>
      <c r="I100" s="324"/>
      <c r="J100" s="324"/>
      <c r="K100" s="324"/>
      <c r="L100" s="324"/>
      <c r="M100" s="324"/>
      <c r="N100" s="324"/>
      <c r="O100" s="323"/>
      <c r="P100" s="323"/>
      <c r="Q100" s="323"/>
    </row>
    <row r="101" spans="1:17" ht="46.5">
      <c r="A101" s="305"/>
      <c r="B101" s="306" t="s">
        <v>310</v>
      </c>
      <c r="C101" s="302"/>
      <c r="D101" s="302"/>
      <c r="E101" s="302"/>
      <c r="F101" s="302"/>
      <c r="G101" s="303"/>
      <c r="H101" s="304"/>
      <c r="I101" s="303"/>
      <c r="J101" s="303"/>
      <c r="K101" s="303"/>
      <c r="L101" s="303"/>
      <c r="M101" s="303"/>
      <c r="N101" s="303"/>
      <c r="O101" s="302"/>
      <c r="P101" s="302"/>
      <c r="Q101" s="302"/>
    </row>
    <row r="102" spans="1:17" ht="15">
      <c r="A102" s="305"/>
      <c r="B102" s="325" t="s">
        <v>311</v>
      </c>
      <c r="C102" s="302" t="s">
        <v>253</v>
      </c>
      <c r="D102" s="302">
        <v>30</v>
      </c>
      <c r="E102" s="302">
        <v>833</v>
      </c>
      <c r="F102" s="302">
        <v>1</v>
      </c>
      <c r="G102" s="303">
        <v>20000</v>
      </c>
      <c r="H102" s="304"/>
      <c r="I102" s="303"/>
      <c r="J102" s="303"/>
      <c r="K102" s="303"/>
      <c r="L102" s="303"/>
      <c r="M102" s="303"/>
      <c r="N102" s="303"/>
      <c r="O102" s="302"/>
      <c r="P102" s="302"/>
      <c r="Q102" s="302"/>
    </row>
    <row r="103" spans="1:17" ht="15">
      <c r="A103" s="307"/>
      <c r="B103" s="311" t="s">
        <v>312</v>
      </c>
      <c r="C103" s="309"/>
      <c r="D103" s="309"/>
      <c r="E103" s="309"/>
      <c r="F103" s="309"/>
      <c r="G103" s="313">
        <f>G102</f>
        <v>20000</v>
      </c>
      <c r="H103" s="324"/>
      <c r="I103" s="324"/>
      <c r="J103" s="324"/>
      <c r="K103" s="324"/>
      <c r="L103" s="324"/>
      <c r="M103" s="324"/>
      <c r="N103" s="324"/>
      <c r="O103" s="323"/>
      <c r="P103" s="323"/>
      <c r="Q103" s="323"/>
    </row>
    <row r="104" spans="1:17" ht="46.5">
      <c r="A104" s="305"/>
      <c r="B104" s="306" t="s">
        <v>313</v>
      </c>
      <c r="C104" s="302"/>
      <c r="D104" s="302"/>
      <c r="E104" s="302"/>
      <c r="F104" s="302"/>
      <c r="G104" s="303"/>
      <c r="H104" s="304"/>
      <c r="I104" s="303"/>
      <c r="J104" s="303"/>
      <c r="K104" s="303"/>
      <c r="L104" s="303"/>
      <c r="M104" s="303"/>
      <c r="N104" s="303"/>
      <c r="O104" s="302"/>
      <c r="P104" s="302"/>
      <c r="Q104" s="302"/>
    </row>
    <row r="105" spans="1:17" ht="15">
      <c r="A105" s="305"/>
      <c r="B105" s="325" t="s">
        <v>314</v>
      </c>
      <c r="C105" s="302" t="s">
        <v>265</v>
      </c>
      <c r="D105" s="302" t="s">
        <v>265</v>
      </c>
      <c r="E105" s="302">
        <v>7500</v>
      </c>
      <c r="F105" s="302">
        <v>1</v>
      </c>
      <c r="G105" s="303">
        <f>E105*F105</f>
        <v>7500</v>
      </c>
      <c r="H105" s="304"/>
      <c r="I105" s="303"/>
      <c r="J105" s="303"/>
      <c r="K105" s="303"/>
      <c r="L105" s="303"/>
      <c r="M105" s="303"/>
      <c r="N105" s="303"/>
      <c r="O105" s="302"/>
      <c r="P105" s="302"/>
      <c r="Q105" s="302"/>
    </row>
    <row r="106" spans="1:17" ht="15">
      <c r="A106" s="305"/>
      <c r="B106" s="325" t="s">
        <v>315</v>
      </c>
      <c r="C106" s="302"/>
      <c r="D106" s="302"/>
      <c r="E106" s="302">
        <v>7500</v>
      </c>
      <c r="F106" s="302">
        <v>1</v>
      </c>
      <c r="G106" s="303">
        <f>E106*F106</f>
        <v>7500</v>
      </c>
      <c r="H106" s="304"/>
      <c r="I106" s="303"/>
      <c r="J106" s="303"/>
      <c r="K106" s="303"/>
      <c r="L106" s="303"/>
      <c r="M106" s="303"/>
      <c r="N106" s="303"/>
      <c r="O106" s="302"/>
      <c r="P106" s="302"/>
      <c r="Q106" s="302"/>
    </row>
    <row r="107" spans="1:17" ht="15">
      <c r="A107" s="305"/>
      <c r="B107" s="325" t="s">
        <v>316</v>
      </c>
      <c r="C107" s="302"/>
      <c r="D107" s="302"/>
      <c r="E107" s="302">
        <v>7500</v>
      </c>
      <c r="F107" s="302">
        <v>1</v>
      </c>
      <c r="G107" s="303">
        <f>E107*F107</f>
        <v>7500</v>
      </c>
      <c r="H107" s="304"/>
      <c r="I107" s="303"/>
      <c r="J107" s="303"/>
      <c r="K107" s="303"/>
      <c r="L107" s="303"/>
      <c r="M107" s="303"/>
      <c r="N107" s="303"/>
      <c r="O107" s="302"/>
      <c r="P107" s="302"/>
      <c r="Q107" s="302"/>
    </row>
    <row r="108" spans="1:17" ht="15">
      <c r="A108" s="307"/>
      <c r="B108" s="311" t="s">
        <v>317</v>
      </c>
      <c r="C108" s="312"/>
      <c r="D108" s="312"/>
      <c r="E108" s="312"/>
      <c r="F108" s="312"/>
      <c r="G108" s="313">
        <f>SUM(G105:G107)</f>
        <v>22500</v>
      </c>
      <c r="H108" s="329"/>
      <c r="I108" s="329"/>
      <c r="J108" s="329"/>
      <c r="K108" s="329"/>
      <c r="L108" s="329"/>
      <c r="M108" s="329"/>
      <c r="N108" s="329"/>
      <c r="O108" s="330"/>
      <c r="P108" s="330"/>
      <c r="Q108" s="330"/>
    </row>
    <row r="109" spans="1:17" ht="30.75">
      <c r="A109" s="305"/>
      <c r="B109" s="306" t="s">
        <v>318</v>
      </c>
      <c r="C109" s="302"/>
      <c r="D109" s="302"/>
      <c r="E109" s="302"/>
      <c r="F109" s="302"/>
      <c r="G109" s="303"/>
      <c r="H109" s="304"/>
      <c r="I109" s="303"/>
      <c r="J109" s="303"/>
      <c r="K109" s="303"/>
      <c r="L109" s="303"/>
      <c r="M109" s="303"/>
      <c r="N109" s="303"/>
      <c r="O109" s="302"/>
      <c r="P109" s="302"/>
      <c r="Q109" s="302"/>
    </row>
    <row r="110" spans="1:17" ht="30.75">
      <c r="A110" s="305"/>
      <c r="B110" s="325" t="s">
        <v>319</v>
      </c>
      <c r="C110" s="302" t="s">
        <v>265</v>
      </c>
      <c r="D110" s="302" t="s">
        <v>265</v>
      </c>
      <c r="E110" s="302">
        <v>1000</v>
      </c>
      <c r="F110" s="302">
        <v>1</v>
      </c>
      <c r="G110" s="303">
        <v>1000</v>
      </c>
      <c r="H110" s="304"/>
      <c r="I110" s="303"/>
      <c r="J110" s="303"/>
      <c r="K110" s="303"/>
      <c r="L110" s="303"/>
      <c r="M110" s="303"/>
      <c r="N110" s="303"/>
      <c r="O110" s="302"/>
      <c r="P110" s="302"/>
      <c r="Q110" s="302"/>
    </row>
    <row r="111" spans="1:17" ht="15">
      <c r="A111" s="307"/>
      <c r="B111" s="311" t="s">
        <v>320</v>
      </c>
      <c r="C111" s="312"/>
      <c r="D111" s="312"/>
      <c r="E111" s="312"/>
      <c r="F111" s="312"/>
      <c r="G111" s="313">
        <f>G110</f>
        <v>1000</v>
      </c>
      <c r="H111" s="324"/>
      <c r="I111" s="324"/>
      <c r="J111" s="324"/>
      <c r="K111" s="324"/>
      <c r="L111" s="324"/>
      <c r="M111" s="324"/>
      <c r="N111" s="324"/>
      <c r="O111" s="323"/>
      <c r="P111" s="323"/>
      <c r="Q111" s="323"/>
    </row>
    <row r="112" spans="1:17" ht="61.5">
      <c r="A112" s="305"/>
      <c r="B112" s="306" t="s">
        <v>321</v>
      </c>
      <c r="C112" s="302"/>
      <c r="D112" s="302"/>
      <c r="E112" s="302"/>
      <c r="F112" s="302"/>
      <c r="G112" s="303"/>
      <c r="H112" s="304"/>
      <c r="I112" s="303"/>
      <c r="J112" s="303"/>
      <c r="K112" s="303"/>
      <c r="L112" s="303"/>
      <c r="M112" s="303"/>
      <c r="N112" s="303"/>
      <c r="O112" s="302"/>
      <c r="P112" s="302"/>
      <c r="Q112" s="302"/>
    </row>
    <row r="113" spans="1:17" ht="15">
      <c r="A113" s="305"/>
      <c r="B113" s="316" t="s">
        <v>322</v>
      </c>
      <c r="C113" s="302"/>
      <c r="D113" s="302"/>
      <c r="E113" s="302"/>
      <c r="F113" s="302"/>
      <c r="G113" s="303"/>
      <c r="H113" s="304"/>
      <c r="I113" s="303"/>
      <c r="J113" s="303"/>
      <c r="K113" s="303"/>
      <c r="L113" s="303"/>
      <c r="M113" s="303"/>
      <c r="N113" s="303"/>
      <c r="O113" s="302"/>
      <c r="P113" s="302"/>
      <c r="Q113" s="302"/>
    </row>
    <row r="114" spans="1:17" ht="15">
      <c r="A114" s="305"/>
      <c r="B114" s="325" t="s">
        <v>146</v>
      </c>
      <c r="C114" s="302" t="s">
        <v>252</v>
      </c>
      <c r="D114" s="302">
        <v>0</v>
      </c>
      <c r="E114" s="302">
        <v>0</v>
      </c>
      <c r="F114" s="302">
        <v>1</v>
      </c>
      <c r="G114" s="303">
        <f>F114*E114*D114</f>
        <v>0</v>
      </c>
      <c r="H114" s="304"/>
      <c r="I114" s="303"/>
      <c r="J114" s="303"/>
      <c r="K114" s="303"/>
      <c r="L114" s="303"/>
      <c r="M114" s="303"/>
      <c r="N114" s="303"/>
      <c r="O114" s="302"/>
      <c r="P114" s="302"/>
      <c r="Q114" s="302"/>
    </row>
    <row r="115" spans="1:17" ht="15">
      <c r="A115" s="305"/>
      <c r="B115" s="325" t="s">
        <v>559</v>
      </c>
      <c r="C115" s="302" t="s">
        <v>255</v>
      </c>
      <c r="D115" s="302">
        <v>0</v>
      </c>
      <c r="E115" s="302">
        <v>0</v>
      </c>
      <c r="F115" s="302">
        <v>2</v>
      </c>
      <c r="G115" s="303">
        <f aca="true" t="shared" si="6" ref="G115:G122">F115*E115*D115</f>
        <v>0</v>
      </c>
      <c r="H115" s="304"/>
      <c r="I115" s="303"/>
      <c r="J115" s="303"/>
      <c r="K115" s="303"/>
      <c r="L115" s="303"/>
      <c r="M115" s="303"/>
      <c r="N115" s="303"/>
      <c r="O115" s="302"/>
      <c r="P115" s="302"/>
      <c r="Q115" s="302"/>
    </row>
    <row r="116" spans="1:17" ht="15">
      <c r="A116" s="305"/>
      <c r="B116" s="325" t="s">
        <v>560</v>
      </c>
      <c r="C116" s="302" t="s">
        <v>263</v>
      </c>
      <c r="D116" s="302">
        <v>0</v>
      </c>
      <c r="E116" s="302">
        <v>0</v>
      </c>
      <c r="F116" s="302">
        <v>3</v>
      </c>
      <c r="G116" s="303">
        <f t="shared" si="6"/>
        <v>0</v>
      </c>
      <c r="H116" s="304"/>
      <c r="I116" s="303"/>
      <c r="J116" s="303"/>
      <c r="K116" s="303"/>
      <c r="L116" s="303"/>
      <c r="M116" s="303"/>
      <c r="N116" s="303"/>
      <c r="O116" s="302"/>
      <c r="P116" s="302"/>
      <c r="Q116" s="302"/>
    </row>
    <row r="117" spans="1:17" ht="15">
      <c r="A117" s="305"/>
      <c r="B117" s="325" t="s">
        <v>258</v>
      </c>
      <c r="C117" s="302" t="s">
        <v>259</v>
      </c>
      <c r="D117" s="302">
        <v>0</v>
      </c>
      <c r="E117" s="302">
        <v>0</v>
      </c>
      <c r="F117" s="302">
        <v>1</v>
      </c>
      <c r="G117" s="303">
        <f t="shared" si="6"/>
        <v>0</v>
      </c>
      <c r="H117" s="304"/>
      <c r="I117" s="303"/>
      <c r="J117" s="303"/>
      <c r="K117" s="303"/>
      <c r="L117" s="303"/>
      <c r="M117" s="303"/>
      <c r="N117" s="303"/>
      <c r="O117" s="302"/>
      <c r="P117" s="302"/>
      <c r="Q117" s="302"/>
    </row>
    <row r="118" spans="1:17" ht="15">
      <c r="A118" s="305"/>
      <c r="B118" s="325" t="s">
        <v>260</v>
      </c>
      <c r="C118" s="302" t="s">
        <v>259</v>
      </c>
      <c r="D118" s="302">
        <v>0</v>
      </c>
      <c r="E118" s="302">
        <v>0</v>
      </c>
      <c r="F118" s="302">
        <v>1</v>
      </c>
      <c r="G118" s="303">
        <f t="shared" si="6"/>
        <v>0</v>
      </c>
      <c r="H118" s="304"/>
      <c r="I118" s="303"/>
      <c r="J118" s="303"/>
      <c r="K118" s="303"/>
      <c r="L118" s="303"/>
      <c r="M118" s="303"/>
      <c r="N118" s="303"/>
      <c r="O118" s="302"/>
      <c r="P118" s="302"/>
      <c r="Q118" s="302"/>
    </row>
    <row r="119" spans="1:17" ht="15">
      <c r="A119" s="305"/>
      <c r="B119" s="325" t="s">
        <v>288</v>
      </c>
      <c r="C119" s="302" t="s">
        <v>265</v>
      </c>
      <c r="D119" s="302">
        <v>0</v>
      </c>
      <c r="E119" s="302">
        <v>0</v>
      </c>
      <c r="F119" s="302">
        <v>1</v>
      </c>
      <c r="G119" s="303">
        <f t="shared" si="6"/>
        <v>0</v>
      </c>
      <c r="H119" s="304"/>
      <c r="I119" s="303"/>
      <c r="J119" s="303"/>
      <c r="K119" s="303"/>
      <c r="L119" s="303"/>
      <c r="M119" s="303"/>
      <c r="N119" s="303"/>
      <c r="O119" s="302"/>
      <c r="P119" s="302"/>
      <c r="Q119" s="302"/>
    </row>
    <row r="120" spans="1:17" ht="15">
      <c r="A120" s="305"/>
      <c r="B120" s="325" t="s">
        <v>289</v>
      </c>
      <c r="C120" s="302" t="s">
        <v>255</v>
      </c>
      <c r="D120" s="302">
        <v>0</v>
      </c>
      <c r="E120" s="302">
        <v>0</v>
      </c>
      <c r="F120" s="302">
        <v>1</v>
      </c>
      <c r="G120" s="303">
        <f t="shared" si="6"/>
        <v>0</v>
      </c>
      <c r="H120" s="304"/>
      <c r="I120" s="303"/>
      <c r="J120" s="303"/>
      <c r="K120" s="303"/>
      <c r="L120" s="303"/>
      <c r="M120" s="303"/>
      <c r="N120" s="303"/>
      <c r="O120" s="302"/>
      <c r="P120" s="302"/>
      <c r="Q120" s="302"/>
    </row>
    <row r="121" spans="1:17" ht="15">
      <c r="A121" s="305"/>
      <c r="B121" s="325" t="s">
        <v>290</v>
      </c>
      <c r="C121" s="302" t="s">
        <v>253</v>
      </c>
      <c r="D121" s="302">
        <v>0</v>
      </c>
      <c r="E121" s="302">
        <v>0</v>
      </c>
      <c r="F121" s="302">
        <v>3</v>
      </c>
      <c r="G121" s="303">
        <f t="shared" si="6"/>
        <v>0</v>
      </c>
      <c r="H121" s="304"/>
      <c r="I121" s="303"/>
      <c r="J121" s="303"/>
      <c r="K121" s="303"/>
      <c r="L121" s="303"/>
      <c r="M121" s="303"/>
      <c r="N121" s="303"/>
      <c r="O121" s="302"/>
      <c r="P121" s="302"/>
      <c r="Q121" s="302"/>
    </row>
    <row r="122" spans="1:17" ht="30.75">
      <c r="A122" s="305"/>
      <c r="B122" s="325" t="s">
        <v>323</v>
      </c>
      <c r="C122" s="302" t="s">
        <v>324</v>
      </c>
      <c r="D122" s="302">
        <v>0</v>
      </c>
      <c r="E122" s="302">
        <v>0</v>
      </c>
      <c r="F122" s="302">
        <v>2</v>
      </c>
      <c r="G122" s="303">
        <f t="shared" si="6"/>
        <v>0</v>
      </c>
      <c r="H122" s="304"/>
      <c r="I122" s="303"/>
      <c r="J122" s="303"/>
      <c r="K122" s="303"/>
      <c r="L122" s="303"/>
      <c r="M122" s="303"/>
      <c r="N122" s="303"/>
      <c r="O122" s="302"/>
      <c r="P122" s="302"/>
      <c r="Q122" s="302"/>
    </row>
    <row r="123" spans="1:17" ht="15">
      <c r="A123" s="307"/>
      <c r="B123" s="311" t="s">
        <v>325</v>
      </c>
      <c r="C123" s="309"/>
      <c r="D123" s="309"/>
      <c r="E123" s="309"/>
      <c r="F123" s="309"/>
      <c r="G123" s="313">
        <f>SUM(G114:G122)</f>
        <v>0</v>
      </c>
      <c r="H123" s="304"/>
      <c r="I123" s="303"/>
      <c r="J123" s="303"/>
      <c r="K123" s="303"/>
      <c r="L123" s="303"/>
      <c r="M123" s="303"/>
      <c r="N123" s="303"/>
      <c r="O123" s="302"/>
      <c r="P123" s="302"/>
      <c r="Q123" s="302"/>
    </row>
    <row r="124" spans="1:17" ht="46.5">
      <c r="A124" s="305"/>
      <c r="B124" s="328" t="s">
        <v>326</v>
      </c>
      <c r="C124" s="302"/>
      <c r="D124" s="302"/>
      <c r="E124" s="302"/>
      <c r="F124" s="302"/>
      <c r="G124" s="303"/>
      <c r="H124" s="304"/>
      <c r="I124" s="303"/>
      <c r="J124" s="303"/>
      <c r="K124" s="303"/>
      <c r="L124" s="303"/>
      <c r="M124" s="303"/>
      <c r="N124" s="303"/>
      <c r="O124" s="302"/>
      <c r="P124" s="302"/>
      <c r="Q124" s="302"/>
    </row>
    <row r="125" spans="1:17" ht="15">
      <c r="A125" s="305"/>
      <c r="B125" s="325" t="s">
        <v>146</v>
      </c>
      <c r="C125" s="302" t="s">
        <v>252</v>
      </c>
      <c r="D125" s="302">
        <v>0</v>
      </c>
      <c r="E125" s="302">
        <v>0</v>
      </c>
      <c r="F125" s="302">
        <v>0</v>
      </c>
      <c r="G125" s="303">
        <f>F125*E125*D125</f>
        <v>0</v>
      </c>
      <c r="H125" s="304"/>
      <c r="I125" s="303"/>
      <c r="J125" s="303"/>
      <c r="K125" s="303"/>
      <c r="L125" s="303"/>
      <c r="M125" s="303"/>
      <c r="N125" s="303"/>
      <c r="O125" s="302"/>
      <c r="P125" s="302"/>
      <c r="Q125" s="302"/>
    </row>
    <row r="126" spans="1:17" ht="15">
      <c r="A126" s="305"/>
      <c r="B126" s="325" t="s">
        <v>561</v>
      </c>
      <c r="C126" s="302" t="s">
        <v>263</v>
      </c>
      <c r="D126" s="302">
        <v>0</v>
      </c>
      <c r="E126" s="302">
        <v>0</v>
      </c>
      <c r="F126" s="302">
        <v>0</v>
      </c>
      <c r="G126" s="303">
        <f aca="true" t="shared" si="7" ref="G126:G135">F126*E126*D126</f>
        <v>0</v>
      </c>
      <c r="H126" s="304"/>
      <c r="I126" s="303"/>
      <c r="J126" s="303"/>
      <c r="K126" s="303"/>
      <c r="L126" s="303"/>
      <c r="M126" s="303"/>
      <c r="N126" s="303"/>
      <c r="O126" s="302"/>
      <c r="P126" s="302"/>
      <c r="Q126" s="302"/>
    </row>
    <row r="127" spans="1:17" ht="15">
      <c r="A127" s="305"/>
      <c r="B127" s="325" t="s">
        <v>562</v>
      </c>
      <c r="C127" s="302" t="s">
        <v>283</v>
      </c>
      <c r="D127" s="302">
        <v>0</v>
      </c>
      <c r="E127" s="302">
        <v>0</v>
      </c>
      <c r="F127" s="302">
        <v>0</v>
      </c>
      <c r="G127" s="303">
        <f t="shared" si="7"/>
        <v>0</v>
      </c>
      <c r="H127" s="304"/>
      <c r="I127" s="303"/>
      <c r="J127" s="303"/>
      <c r="K127" s="303"/>
      <c r="L127" s="303"/>
      <c r="M127" s="303"/>
      <c r="N127" s="303"/>
      <c r="O127" s="302"/>
      <c r="P127" s="302"/>
      <c r="Q127" s="302"/>
    </row>
    <row r="128" spans="1:17" ht="15">
      <c r="A128" s="305"/>
      <c r="B128" s="325" t="s">
        <v>327</v>
      </c>
      <c r="C128" s="302" t="s">
        <v>149</v>
      </c>
      <c r="D128" s="302">
        <v>0</v>
      </c>
      <c r="E128" s="302">
        <v>0</v>
      </c>
      <c r="F128" s="302">
        <v>0</v>
      </c>
      <c r="G128" s="303">
        <f t="shared" si="7"/>
        <v>0</v>
      </c>
      <c r="H128" s="304"/>
      <c r="I128" s="303"/>
      <c r="J128" s="303"/>
      <c r="K128" s="303"/>
      <c r="L128" s="303"/>
      <c r="M128" s="303"/>
      <c r="N128" s="303"/>
      <c r="O128" s="302"/>
      <c r="P128" s="302"/>
      <c r="Q128" s="302"/>
    </row>
    <row r="129" spans="1:17" ht="15">
      <c r="A129" s="305"/>
      <c r="B129" s="325" t="s">
        <v>563</v>
      </c>
      <c r="C129" s="302" t="s">
        <v>149</v>
      </c>
      <c r="D129" s="302">
        <v>0</v>
      </c>
      <c r="E129" s="302">
        <v>0</v>
      </c>
      <c r="F129" s="302">
        <v>0</v>
      </c>
      <c r="G129" s="303">
        <f t="shared" si="7"/>
        <v>0</v>
      </c>
      <c r="H129" s="304"/>
      <c r="I129" s="303"/>
      <c r="J129" s="303"/>
      <c r="K129" s="303"/>
      <c r="L129" s="303"/>
      <c r="M129" s="303"/>
      <c r="N129" s="303"/>
      <c r="O129" s="302"/>
      <c r="P129" s="302"/>
      <c r="Q129" s="302"/>
    </row>
    <row r="130" spans="1:17" ht="15">
      <c r="A130" s="305"/>
      <c r="B130" s="325" t="s">
        <v>299</v>
      </c>
      <c r="C130" s="302" t="s">
        <v>255</v>
      </c>
      <c r="D130" s="302">
        <v>0</v>
      </c>
      <c r="E130" s="302">
        <v>0</v>
      </c>
      <c r="F130" s="302">
        <v>0</v>
      </c>
      <c r="G130" s="303">
        <f t="shared" si="7"/>
        <v>0</v>
      </c>
      <c r="H130" s="304"/>
      <c r="I130" s="303"/>
      <c r="J130" s="303"/>
      <c r="K130" s="303"/>
      <c r="L130" s="303"/>
      <c r="M130" s="303"/>
      <c r="N130" s="303"/>
      <c r="O130" s="302"/>
      <c r="P130" s="302"/>
      <c r="Q130" s="302"/>
    </row>
    <row r="131" spans="1:17" ht="15">
      <c r="A131" s="305"/>
      <c r="B131" s="325" t="s">
        <v>258</v>
      </c>
      <c r="C131" s="302" t="s">
        <v>259</v>
      </c>
      <c r="D131" s="302">
        <v>0</v>
      </c>
      <c r="E131" s="302">
        <v>0</v>
      </c>
      <c r="F131" s="302">
        <v>0</v>
      </c>
      <c r="G131" s="303">
        <f t="shared" si="7"/>
        <v>0</v>
      </c>
      <c r="H131" s="304"/>
      <c r="I131" s="303"/>
      <c r="J131" s="303"/>
      <c r="K131" s="303"/>
      <c r="L131" s="303"/>
      <c r="M131" s="303"/>
      <c r="N131" s="303"/>
      <c r="O131" s="302"/>
      <c r="P131" s="302"/>
      <c r="Q131" s="302"/>
    </row>
    <row r="132" spans="1:17" ht="15">
      <c r="A132" s="305"/>
      <c r="B132" s="325" t="s">
        <v>260</v>
      </c>
      <c r="C132" s="302" t="s">
        <v>259</v>
      </c>
      <c r="D132" s="302">
        <v>0</v>
      </c>
      <c r="E132" s="302">
        <v>0</v>
      </c>
      <c r="F132" s="302">
        <v>0</v>
      </c>
      <c r="G132" s="303">
        <f t="shared" si="7"/>
        <v>0</v>
      </c>
      <c r="H132" s="304"/>
      <c r="I132" s="303"/>
      <c r="J132" s="303"/>
      <c r="K132" s="303"/>
      <c r="L132" s="303"/>
      <c r="M132" s="303"/>
      <c r="N132" s="303"/>
      <c r="O132" s="302"/>
      <c r="P132" s="302"/>
      <c r="Q132" s="302"/>
    </row>
    <row r="133" spans="1:17" ht="15">
      <c r="A133" s="305"/>
      <c r="B133" s="325" t="s">
        <v>288</v>
      </c>
      <c r="C133" s="302" t="s">
        <v>265</v>
      </c>
      <c r="D133" s="302">
        <v>0</v>
      </c>
      <c r="E133" s="302">
        <v>0</v>
      </c>
      <c r="F133" s="302">
        <v>0</v>
      </c>
      <c r="G133" s="303">
        <f t="shared" si="7"/>
        <v>0</v>
      </c>
      <c r="H133" s="304"/>
      <c r="I133" s="303"/>
      <c r="J133" s="303"/>
      <c r="K133" s="303"/>
      <c r="L133" s="303"/>
      <c r="M133" s="303"/>
      <c r="N133" s="303"/>
      <c r="O133" s="302"/>
      <c r="P133" s="302"/>
      <c r="Q133" s="302"/>
    </row>
    <row r="134" spans="1:17" ht="30.75">
      <c r="A134" s="305"/>
      <c r="B134" s="325" t="s">
        <v>328</v>
      </c>
      <c r="C134" s="302" t="s">
        <v>329</v>
      </c>
      <c r="D134" s="302">
        <v>0</v>
      </c>
      <c r="E134" s="302">
        <v>0</v>
      </c>
      <c r="F134" s="302">
        <v>0</v>
      </c>
      <c r="G134" s="303">
        <f t="shared" si="7"/>
        <v>0</v>
      </c>
      <c r="H134" s="304"/>
      <c r="I134" s="303"/>
      <c r="J134" s="303"/>
      <c r="K134" s="303"/>
      <c r="L134" s="303"/>
      <c r="M134" s="303"/>
      <c r="N134" s="303"/>
      <c r="O134" s="302"/>
      <c r="P134" s="302"/>
      <c r="Q134" s="302"/>
    </row>
    <row r="135" spans="1:17" ht="15">
      <c r="A135" s="305"/>
      <c r="B135" s="325" t="s">
        <v>564</v>
      </c>
      <c r="C135" s="302" t="s">
        <v>253</v>
      </c>
      <c r="D135" s="302">
        <v>0</v>
      </c>
      <c r="E135" s="302">
        <v>0</v>
      </c>
      <c r="F135" s="302">
        <v>0</v>
      </c>
      <c r="G135" s="303">
        <f t="shared" si="7"/>
        <v>0</v>
      </c>
      <c r="H135" s="304"/>
      <c r="I135" s="303"/>
      <c r="J135" s="303"/>
      <c r="K135" s="303"/>
      <c r="L135" s="303"/>
      <c r="M135" s="303"/>
      <c r="N135" s="303"/>
      <c r="O135" s="302"/>
      <c r="P135" s="302"/>
      <c r="Q135" s="302"/>
    </row>
    <row r="136" spans="1:17" ht="15">
      <c r="A136" s="307"/>
      <c r="B136" s="311" t="s">
        <v>330</v>
      </c>
      <c r="C136" s="309"/>
      <c r="D136" s="309"/>
      <c r="E136" s="309"/>
      <c r="F136" s="309"/>
      <c r="G136" s="313">
        <f>SUM(G125:G135)</f>
        <v>0</v>
      </c>
      <c r="H136" s="304"/>
      <c r="I136" s="303"/>
      <c r="J136" s="303"/>
      <c r="K136" s="303"/>
      <c r="L136" s="303"/>
      <c r="M136" s="303"/>
      <c r="N136" s="303"/>
      <c r="O136" s="302"/>
      <c r="P136" s="302"/>
      <c r="Q136" s="302"/>
    </row>
    <row r="137" spans="1:17" ht="14.25">
      <c r="A137" s="305"/>
      <c r="B137" s="331" t="s">
        <v>331</v>
      </c>
      <c r="C137" s="331"/>
      <c r="D137" s="331"/>
      <c r="E137" s="331"/>
      <c r="F137" s="331"/>
      <c r="G137" s="331"/>
      <c r="H137" s="331" t="e">
        <f>SUM(#REF!)</f>
        <v>#REF!</v>
      </c>
      <c r="I137" s="331"/>
      <c r="J137" s="332" t="e">
        <f>SUM(#REF!)</f>
        <v>#REF!</v>
      </c>
      <c r="K137" s="332" t="e">
        <f>SUM(#REF!)</f>
        <v>#REF!</v>
      </c>
      <c r="L137" s="332" t="e">
        <f>SUM(#REF!)</f>
        <v>#REF!</v>
      </c>
      <c r="M137" s="332" t="e">
        <f>SUM(#REF!)</f>
        <v>#REF!</v>
      </c>
      <c r="N137" s="332" t="e">
        <f>SUM(#REF!)</f>
        <v>#REF!</v>
      </c>
      <c r="O137" s="332" t="e">
        <f>SUM(#REF!)</f>
        <v>#REF!</v>
      </c>
      <c r="P137" s="302"/>
      <c r="Q137" s="302"/>
    </row>
    <row r="138" spans="1:17" ht="15" customHeight="1">
      <c r="A138" s="305"/>
      <c r="B138" s="831" t="s">
        <v>120</v>
      </c>
      <c r="C138" s="831"/>
      <c r="D138" s="831"/>
      <c r="E138" s="831"/>
      <c r="F138" s="831"/>
      <c r="G138" s="831"/>
      <c r="H138" s="831"/>
      <c r="I138" s="831"/>
      <c r="J138" s="831"/>
      <c r="K138" s="831"/>
      <c r="L138" s="831"/>
      <c r="M138" s="831"/>
      <c r="N138" s="831"/>
      <c r="O138" s="831"/>
      <c r="P138" s="831"/>
      <c r="Q138" s="831"/>
    </row>
    <row r="139" spans="1:17" ht="57.75">
      <c r="A139" s="305"/>
      <c r="B139" s="333" t="s">
        <v>332</v>
      </c>
      <c r="C139" s="302"/>
      <c r="D139" s="302"/>
      <c r="E139" s="302"/>
      <c r="F139" s="302"/>
      <c r="G139" s="303"/>
      <c r="H139" s="304"/>
      <c r="I139" s="303"/>
      <c r="J139" s="303"/>
      <c r="K139" s="303">
        <f>G139</f>
        <v>0</v>
      </c>
      <c r="L139" s="303"/>
      <c r="M139" s="303"/>
      <c r="N139" s="303"/>
      <c r="O139" s="302"/>
      <c r="P139" s="302"/>
      <c r="Q139" s="302"/>
    </row>
    <row r="140" spans="1:17" ht="42" customHeight="1">
      <c r="A140" s="305"/>
      <c r="B140" s="334" t="s">
        <v>333</v>
      </c>
      <c r="C140" s="302"/>
      <c r="D140" s="302"/>
      <c r="E140" s="302"/>
      <c r="F140" s="302"/>
      <c r="G140" s="303"/>
      <c r="H140" s="304"/>
      <c r="I140" s="303"/>
      <c r="J140" s="303"/>
      <c r="K140" s="303"/>
      <c r="L140" s="303"/>
      <c r="M140" s="303"/>
      <c r="N140" s="303"/>
      <c r="O140" s="302"/>
      <c r="P140" s="302"/>
      <c r="Q140" s="302"/>
    </row>
    <row r="141" spans="1:17" ht="15">
      <c r="A141" s="305"/>
      <c r="B141" s="325" t="s">
        <v>334</v>
      </c>
      <c r="C141" s="302" t="s">
        <v>149</v>
      </c>
      <c r="D141" s="302">
        <v>25</v>
      </c>
      <c r="E141" s="302">
        <v>5</v>
      </c>
      <c r="F141" s="302">
        <v>6</v>
      </c>
      <c r="G141" s="303">
        <v>900</v>
      </c>
      <c r="H141" s="304"/>
      <c r="I141" s="303"/>
      <c r="J141" s="303"/>
      <c r="K141" s="303"/>
      <c r="L141" s="303"/>
      <c r="M141" s="303"/>
      <c r="N141" s="303"/>
      <c r="O141" s="302"/>
      <c r="P141" s="302"/>
      <c r="Q141" s="302"/>
    </row>
    <row r="142" spans="1:17" ht="15">
      <c r="A142" s="307"/>
      <c r="B142" s="311" t="s">
        <v>335</v>
      </c>
      <c r="C142" s="309"/>
      <c r="D142" s="309"/>
      <c r="E142" s="309"/>
      <c r="F142" s="309"/>
      <c r="G142" s="313">
        <f>G141</f>
        <v>900</v>
      </c>
      <c r="H142" s="304"/>
      <c r="I142" s="303"/>
      <c r="J142" s="303"/>
      <c r="K142" s="303"/>
      <c r="L142" s="303"/>
      <c r="M142" s="303"/>
      <c r="N142" s="303"/>
      <c r="O142" s="302"/>
      <c r="P142" s="302"/>
      <c r="Q142" s="302"/>
    </row>
    <row r="143" spans="1:17" ht="15">
      <c r="A143" s="305"/>
      <c r="B143" s="325" t="s">
        <v>336</v>
      </c>
      <c r="C143" s="302"/>
      <c r="D143" s="302"/>
      <c r="E143" s="302"/>
      <c r="F143" s="302"/>
      <c r="G143" s="303"/>
      <c r="H143" s="304"/>
      <c r="I143" s="303"/>
      <c r="J143" s="303"/>
      <c r="K143" s="303"/>
      <c r="L143" s="303"/>
      <c r="M143" s="303"/>
      <c r="N143" s="303"/>
      <c r="O143" s="302"/>
      <c r="P143" s="302"/>
      <c r="Q143" s="302"/>
    </row>
    <row r="144" spans="1:17" ht="61.5">
      <c r="A144" s="305"/>
      <c r="B144" s="334" t="s">
        <v>337</v>
      </c>
      <c r="C144" s="302"/>
      <c r="D144" s="302"/>
      <c r="E144" s="302"/>
      <c r="F144" s="302"/>
      <c r="G144" s="303"/>
      <c r="H144" s="304"/>
      <c r="I144" s="303"/>
      <c r="J144" s="303"/>
      <c r="K144" s="303"/>
      <c r="L144" s="303"/>
      <c r="M144" s="303"/>
      <c r="N144" s="303"/>
      <c r="O144" s="302"/>
      <c r="P144" s="302"/>
      <c r="Q144" s="302"/>
    </row>
    <row r="145" spans="1:17" ht="15">
      <c r="A145" s="305"/>
      <c r="B145" s="325" t="s">
        <v>338</v>
      </c>
      <c r="C145" s="302" t="s">
        <v>265</v>
      </c>
      <c r="D145" s="302">
        <v>1</v>
      </c>
      <c r="E145" s="302">
        <v>7000</v>
      </c>
      <c r="F145" s="302">
        <v>7000</v>
      </c>
      <c r="G145" s="303">
        <v>7000</v>
      </c>
      <c r="H145" s="304"/>
      <c r="I145" s="303"/>
      <c r="J145" s="303"/>
      <c r="K145" s="303"/>
      <c r="L145" s="303"/>
      <c r="M145" s="303"/>
      <c r="N145" s="303"/>
      <c r="O145" s="302"/>
      <c r="P145" s="302"/>
      <c r="Q145" s="302"/>
    </row>
    <row r="146" spans="1:17" ht="15">
      <c r="A146" s="307"/>
      <c r="B146" s="311" t="s">
        <v>335</v>
      </c>
      <c r="C146" s="309"/>
      <c r="D146" s="309"/>
      <c r="E146" s="309"/>
      <c r="F146" s="309"/>
      <c r="G146" s="313">
        <f>G145</f>
        <v>7000</v>
      </c>
      <c r="H146" s="324"/>
      <c r="I146" s="324"/>
      <c r="J146" s="324"/>
      <c r="K146" s="324"/>
      <c r="L146" s="324"/>
      <c r="M146" s="324"/>
      <c r="N146" s="324"/>
      <c r="O146" s="323"/>
      <c r="P146" s="323"/>
      <c r="Q146" s="323"/>
    </row>
    <row r="147" spans="1:17" ht="14.25">
      <c r="A147" s="305"/>
      <c r="B147" s="302" t="s">
        <v>339</v>
      </c>
      <c r="C147" s="302"/>
      <c r="D147" s="302"/>
      <c r="E147" s="302"/>
      <c r="F147" s="302"/>
      <c r="G147" s="303"/>
      <c r="H147" s="304"/>
      <c r="I147" s="303"/>
      <c r="J147" s="303"/>
      <c r="K147" s="303"/>
      <c r="L147" s="303"/>
      <c r="M147" s="303"/>
      <c r="N147" s="303"/>
      <c r="O147" s="302"/>
      <c r="P147" s="302"/>
      <c r="Q147" s="302"/>
    </row>
    <row r="148" spans="1:17" ht="46.5">
      <c r="A148" s="305"/>
      <c r="B148" s="334" t="s">
        <v>340</v>
      </c>
      <c r="C148" s="335"/>
      <c r="D148" s="302"/>
      <c r="E148" s="302"/>
      <c r="F148" s="302"/>
      <c r="G148" s="303"/>
      <c r="H148" s="304"/>
      <c r="I148" s="303"/>
      <c r="J148" s="303"/>
      <c r="K148" s="303"/>
      <c r="L148" s="303"/>
      <c r="M148" s="303"/>
      <c r="N148" s="303"/>
      <c r="O148" s="302"/>
      <c r="P148" s="302"/>
      <c r="Q148" s="302"/>
    </row>
    <row r="149" spans="1:17" ht="15">
      <c r="A149" s="305"/>
      <c r="B149" s="325" t="s">
        <v>146</v>
      </c>
      <c r="C149" s="302" t="s">
        <v>252</v>
      </c>
      <c r="D149" s="302">
        <v>1</v>
      </c>
      <c r="E149" s="302">
        <v>50</v>
      </c>
      <c r="F149" s="302">
        <v>2</v>
      </c>
      <c r="G149" s="303">
        <f>F149*E149*D149</f>
        <v>100</v>
      </c>
      <c r="H149" s="304"/>
      <c r="I149" s="303"/>
      <c r="J149" s="303"/>
      <c r="K149" s="303"/>
      <c r="L149" s="303"/>
      <c r="M149" s="303"/>
      <c r="N149" s="303"/>
      <c r="O149" s="302"/>
      <c r="P149" s="302"/>
      <c r="Q149" s="302"/>
    </row>
    <row r="150" spans="1:17" ht="15">
      <c r="A150" s="305"/>
      <c r="B150" s="325" t="s">
        <v>293</v>
      </c>
      <c r="C150" s="302" t="s">
        <v>263</v>
      </c>
      <c r="D150" s="302">
        <v>13</v>
      </c>
      <c r="E150" s="302">
        <v>10</v>
      </c>
      <c r="F150" s="302">
        <v>3</v>
      </c>
      <c r="G150" s="303">
        <f aca="true" t="shared" si="8" ref="G150:G162">F150*E150*D150</f>
        <v>390</v>
      </c>
      <c r="H150" s="304"/>
      <c r="I150" s="303"/>
      <c r="J150" s="303"/>
      <c r="K150" s="303"/>
      <c r="L150" s="303"/>
      <c r="M150" s="303"/>
      <c r="N150" s="303"/>
      <c r="O150" s="302"/>
      <c r="P150" s="302"/>
      <c r="Q150" s="302"/>
    </row>
    <row r="151" spans="1:17" ht="15">
      <c r="A151" s="305"/>
      <c r="B151" s="325" t="s">
        <v>294</v>
      </c>
      <c r="C151" s="302" t="s">
        <v>305</v>
      </c>
      <c r="D151" s="302">
        <v>30</v>
      </c>
      <c r="E151" s="318">
        <f>25*60%</f>
        <v>15</v>
      </c>
      <c r="F151" s="302">
        <v>3</v>
      </c>
      <c r="G151" s="303">
        <f t="shared" si="8"/>
        <v>1350</v>
      </c>
      <c r="H151" s="304"/>
      <c r="I151" s="303"/>
      <c r="J151" s="303"/>
      <c r="K151" s="303"/>
      <c r="L151" s="303"/>
      <c r="M151" s="303"/>
      <c r="N151" s="303"/>
      <c r="O151" s="302"/>
      <c r="P151" s="302"/>
      <c r="Q151" s="302"/>
    </row>
    <row r="152" spans="1:17" ht="15">
      <c r="A152" s="305"/>
      <c r="B152" s="325" t="s">
        <v>565</v>
      </c>
      <c r="C152" s="302" t="s">
        <v>296</v>
      </c>
      <c r="D152" s="302">
        <v>10</v>
      </c>
      <c r="E152" s="302">
        <v>5</v>
      </c>
      <c r="F152" s="302">
        <v>2</v>
      </c>
      <c r="G152" s="303">
        <f t="shared" si="8"/>
        <v>100</v>
      </c>
      <c r="H152" s="304"/>
      <c r="I152" s="303"/>
      <c r="J152" s="303"/>
      <c r="K152" s="303"/>
      <c r="L152" s="303"/>
      <c r="M152" s="303"/>
      <c r="N152" s="303"/>
      <c r="O152" s="302"/>
      <c r="P152" s="302"/>
      <c r="Q152" s="302"/>
    </row>
    <row r="153" spans="1:17" ht="15">
      <c r="A153" s="305"/>
      <c r="B153" s="325" t="s">
        <v>341</v>
      </c>
      <c r="C153" s="302" t="s">
        <v>255</v>
      </c>
      <c r="D153" s="302">
        <v>10</v>
      </c>
      <c r="E153" s="302">
        <v>30</v>
      </c>
      <c r="F153" s="302">
        <v>2</v>
      </c>
      <c r="G153" s="303">
        <f t="shared" si="8"/>
        <v>600</v>
      </c>
      <c r="H153" s="304"/>
      <c r="I153" s="303"/>
      <c r="J153" s="303"/>
      <c r="K153" s="303"/>
      <c r="L153" s="303"/>
      <c r="M153" s="303"/>
      <c r="N153" s="303"/>
      <c r="O153" s="302"/>
      <c r="P153" s="302"/>
      <c r="Q153" s="302"/>
    </row>
    <row r="154" spans="1:17" ht="15">
      <c r="A154" s="305"/>
      <c r="B154" s="325" t="s">
        <v>566</v>
      </c>
      <c r="C154" s="302" t="s">
        <v>255</v>
      </c>
      <c r="D154" s="302">
        <v>10</v>
      </c>
      <c r="E154" s="302">
        <v>10</v>
      </c>
      <c r="F154" s="302">
        <v>2</v>
      </c>
      <c r="G154" s="303">
        <f t="shared" si="8"/>
        <v>200</v>
      </c>
      <c r="H154" s="304"/>
      <c r="I154" s="303"/>
      <c r="J154" s="303"/>
      <c r="K154" s="303"/>
      <c r="L154" s="303"/>
      <c r="M154" s="303"/>
      <c r="N154" s="303"/>
      <c r="O154" s="302"/>
      <c r="P154" s="302"/>
      <c r="Q154" s="302"/>
    </row>
    <row r="155" spans="1:17" ht="15">
      <c r="A155" s="305"/>
      <c r="B155" s="325" t="s">
        <v>342</v>
      </c>
      <c r="C155" s="302" t="s">
        <v>343</v>
      </c>
      <c r="D155" s="302">
        <v>3</v>
      </c>
      <c r="E155" s="302">
        <v>150</v>
      </c>
      <c r="F155" s="302">
        <v>2</v>
      </c>
      <c r="G155" s="303">
        <f t="shared" si="8"/>
        <v>900</v>
      </c>
      <c r="H155" s="304"/>
      <c r="I155" s="303"/>
      <c r="J155" s="303"/>
      <c r="K155" s="303"/>
      <c r="L155" s="303"/>
      <c r="M155" s="303"/>
      <c r="N155" s="303"/>
      <c r="O155" s="302"/>
      <c r="P155" s="302"/>
      <c r="Q155" s="302"/>
    </row>
    <row r="156" spans="1:17" ht="15">
      <c r="A156" s="305"/>
      <c r="B156" s="325" t="s">
        <v>344</v>
      </c>
      <c r="C156" s="302" t="s">
        <v>255</v>
      </c>
      <c r="D156" s="302">
        <v>1</v>
      </c>
      <c r="E156" s="302">
        <v>100</v>
      </c>
      <c r="F156" s="302">
        <v>2</v>
      </c>
      <c r="G156" s="303">
        <f t="shared" si="8"/>
        <v>200</v>
      </c>
      <c r="H156" s="304"/>
      <c r="I156" s="303"/>
      <c r="J156" s="303"/>
      <c r="K156" s="303"/>
      <c r="L156" s="303"/>
      <c r="M156" s="303"/>
      <c r="N156" s="303"/>
      <c r="O156" s="302"/>
      <c r="P156" s="302"/>
      <c r="Q156" s="302"/>
    </row>
    <row r="157" spans="1:17" ht="15">
      <c r="A157" s="305"/>
      <c r="B157" s="325" t="s">
        <v>567</v>
      </c>
      <c r="C157" s="302" t="s">
        <v>149</v>
      </c>
      <c r="D157" s="302">
        <v>8</v>
      </c>
      <c r="E157" s="302">
        <v>141</v>
      </c>
      <c r="F157" s="302">
        <v>3</v>
      </c>
      <c r="G157" s="303">
        <f t="shared" si="8"/>
        <v>3384</v>
      </c>
      <c r="H157" s="304"/>
      <c r="I157" s="303"/>
      <c r="J157" s="303"/>
      <c r="K157" s="303"/>
      <c r="L157" s="303"/>
      <c r="M157" s="303"/>
      <c r="N157" s="303"/>
      <c r="O157" s="302"/>
      <c r="P157" s="302"/>
      <c r="Q157" s="302"/>
    </row>
    <row r="158" spans="1:17" ht="15">
      <c r="A158" s="305"/>
      <c r="B158" s="325" t="s">
        <v>345</v>
      </c>
      <c r="C158" s="302" t="s">
        <v>346</v>
      </c>
      <c r="D158" s="318">
        <v>3</v>
      </c>
      <c r="E158" s="302">
        <v>50</v>
      </c>
      <c r="F158" s="302">
        <v>1</v>
      </c>
      <c r="G158" s="303">
        <f t="shared" si="8"/>
        <v>150</v>
      </c>
      <c r="H158" s="304"/>
      <c r="I158" s="303"/>
      <c r="J158" s="303"/>
      <c r="K158" s="303"/>
      <c r="L158" s="303"/>
      <c r="M158" s="303"/>
      <c r="N158" s="303"/>
      <c r="O158" s="302"/>
      <c r="P158" s="302"/>
      <c r="Q158" s="302"/>
    </row>
    <row r="159" spans="1:17" ht="15">
      <c r="A159" s="305"/>
      <c r="B159" s="325" t="s">
        <v>258</v>
      </c>
      <c r="C159" s="302" t="s">
        <v>259</v>
      </c>
      <c r="D159" s="302">
        <v>50</v>
      </c>
      <c r="E159" s="302">
        <v>7</v>
      </c>
      <c r="F159" s="302">
        <v>2</v>
      </c>
      <c r="G159" s="303">
        <f t="shared" si="8"/>
        <v>700</v>
      </c>
      <c r="H159" s="304"/>
      <c r="I159" s="303"/>
      <c r="J159" s="303"/>
      <c r="K159" s="303"/>
      <c r="L159" s="303"/>
      <c r="M159" s="303"/>
      <c r="N159" s="303"/>
      <c r="O159" s="302"/>
      <c r="P159" s="302"/>
      <c r="Q159" s="302"/>
    </row>
    <row r="160" spans="1:17" ht="15">
      <c r="A160" s="305"/>
      <c r="B160" s="325" t="s">
        <v>260</v>
      </c>
      <c r="C160" s="302" t="s">
        <v>259</v>
      </c>
      <c r="D160" s="302">
        <v>50</v>
      </c>
      <c r="E160" s="302">
        <v>3</v>
      </c>
      <c r="F160" s="302">
        <v>2</v>
      </c>
      <c r="G160" s="303">
        <f t="shared" si="8"/>
        <v>300</v>
      </c>
      <c r="H160" s="304"/>
      <c r="I160" s="303"/>
      <c r="J160" s="303"/>
      <c r="K160" s="303"/>
      <c r="L160" s="303"/>
      <c r="M160" s="303"/>
      <c r="N160" s="303"/>
      <c r="O160" s="302"/>
      <c r="P160" s="302"/>
      <c r="Q160" s="302"/>
    </row>
    <row r="161" spans="1:17" ht="15">
      <c r="A161" s="305"/>
      <c r="B161" s="325" t="s">
        <v>264</v>
      </c>
      <c r="C161" s="302" t="s">
        <v>265</v>
      </c>
      <c r="D161" s="302">
        <v>1</v>
      </c>
      <c r="E161" s="302">
        <v>200</v>
      </c>
      <c r="F161" s="302">
        <v>1</v>
      </c>
      <c r="G161" s="303">
        <f t="shared" si="8"/>
        <v>200</v>
      </c>
      <c r="H161" s="304"/>
      <c r="I161" s="303"/>
      <c r="J161" s="303"/>
      <c r="K161" s="303"/>
      <c r="L161" s="303"/>
      <c r="M161" s="303"/>
      <c r="N161" s="303"/>
      <c r="O161" s="302"/>
      <c r="P161" s="302"/>
      <c r="Q161" s="302"/>
    </row>
    <row r="162" spans="1:17" ht="15">
      <c r="A162" s="305"/>
      <c r="B162" s="325" t="s">
        <v>347</v>
      </c>
      <c r="C162" s="302" t="s">
        <v>253</v>
      </c>
      <c r="D162" s="302">
        <v>1</v>
      </c>
      <c r="E162" s="302">
        <v>150</v>
      </c>
      <c r="F162" s="318">
        <v>4</v>
      </c>
      <c r="G162" s="303">
        <f t="shared" si="8"/>
        <v>600</v>
      </c>
      <c r="H162" s="304"/>
      <c r="I162" s="303"/>
      <c r="J162" s="303"/>
      <c r="K162" s="303"/>
      <c r="L162" s="303"/>
      <c r="M162" s="303"/>
      <c r="N162" s="303"/>
      <c r="O162" s="302"/>
      <c r="P162" s="302"/>
      <c r="Q162" s="302"/>
    </row>
    <row r="163" spans="1:17" ht="15">
      <c r="A163" s="307"/>
      <c r="B163" s="336" t="s">
        <v>348</v>
      </c>
      <c r="C163" s="309"/>
      <c r="D163" s="309"/>
      <c r="E163" s="309"/>
      <c r="F163" s="309"/>
      <c r="G163" s="313">
        <f>SUM(G149:G162)</f>
        <v>9174</v>
      </c>
      <c r="H163" s="304"/>
      <c r="I163" s="303"/>
      <c r="J163" s="303"/>
      <c r="K163" s="303"/>
      <c r="L163" s="303"/>
      <c r="M163" s="303"/>
      <c r="N163" s="303"/>
      <c r="O163" s="302"/>
      <c r="P163" s="302"/>
      <c r="Q163" s="302"/>
    </row>
    <row r="164" spans="1:17" ht="46.5">
      <c r="A164" s="305"/>
      <c r="B164" s="306" t="s">
        <v>349</v>
      </c>
      <c r="C164" s="302"/>
      <c r="D164" s="302"/>
      <c r="E164" s="302"/>
      <c r="F164" s="302"/>
      <c r="G164" s="303"/>
      <c r="H164" s="304"/>
      <c r="I164" s="303"/>
      <c r="J164" s="303"/>
      <c r="K164" s="303"/>
      <c r="L164" s="303"/>
      <c r="M164" s="303"/>
      <c r="N164" s="303"/>
      <c r="O164" s="302"/>
      <c r="P164" s="302"/>
      <c r="Q164" s="302"/>
    </row>
    <row r="165" spans="1:17" ht="30.75">
      <c r="A165" s="305"/>
      <c r="B165" s="325" t="s">
        <v>350</v>
      </c>
      <c r="C165" s="302" t="s">
        <v>351</v>
      </c>
      <c r="D165" s="302">
        <v>4</v>
      </c>
      <c r="E165" s="302">
        <v>306</v>
      </c>
      <c r="F165" s="302">
        <v>2</v>
      </c>
      <c r="G165" s="337">
        <v>2448</v>
      </c>
      <c r="H165" s="304"/>
      <c r="I165" s="337">
        <v>1224</v>
      </c>
      <c r="J165" s="337"/>
      <c r="K165" s="337"/>
      <c r="L165" s="337">
        <v>1224</v>
      </c>
      <c r="M165" s="303"/>
      <c r="N165" s="303"/>
      <c r="O165" s="302"/>
      <c r="P165" s="302"/>
      <c r="Q165" s="302"/>
    </row>
    <row r="166" spans="1:17" ht="15">
      <c r="A166" s="307"/>
      <c r="B166" s="311" t="s">
        <v>352</v>
      </c>
      <c r="C166" s="312"/>
      <c r="D166" s="312"/>
      <c r="E166" s="312"/>
      <c r="F166" s="312"/>
      <c r="G166" s="313">
        <f>G165</f>
        <v>2448</v>
      </c>
      <c r="H166" s="294"/>
      <c r="I166" s="314">
        <v>1224</v>
      </c>
      <c r="J166" s="314"/>
      <c r="K166" s="314"/>
      <c r="L166" s="314">
        <v>1224</v>
      </c>
      <c r="M166" s="303"/>
      <c r="N166" s="303"/>
      <c r="O166" s="302"/>
      <c r="P166" s="302"/>
      <c r="Q166" s="302"/>
    </row>
    <row r="167" spans="1:17" ht="30.75">
      <c r="A167" s="305"/>
      <c r="B167" s="306" t="s">
        <v>568</v>
      </c>
      <c r="C167" s="302"/>
      <c r="D167" s="302"/>
      <c r="E167" s="302"/>
      <c r="F167" s="302"/>
      <c r="G167" s="303"/>
      <c r="H167" s="304"/>
      <c r="I167" s="303"/>
      <c r="J167" s="303"/>
      <c r="K167" s="303"/>
      <c r="L167" s="303"/>
      <c r="M167" s="303"/>
      <c r="N167" s="303"/>
      <c r="O167" s="302"/>
      <c r="P167" s="302"/>
      <c r="Q167" s="302"/>
    </row>
    <row r="168" spans="1:17" ht="14.25">
      <c r="A168" s="305"/>
      <c r="B168" s="302" t="s">
        <v>353</v>
      </c>
      <c r="C168" s="302" t="s">
        <v>265</v>
      </c>
      <c r="D168" s="302">
        <v>4</v>
      </c>
      <c r="E168" s="302">
        <v>1000</v>
      </c>
      <c r="F168" s="302">
        <v>1</v>
      </c>
      <c r="G168" s="303">
        <v>4000</v>
      </c>
      <c r="H168" s="304"/>
      <c r="I168" s="303"/>
      <c r="J168" s="303"/>
      <c r="K168" s="303"/>
      <c r="L168" s="303"/>
      <c r="M168" s="303"/>
      <c r="N168" s="303"/>
      <c r="O168" s="302"/>
      <c r="P168" s="302"/>
      <c r="Q168" s="302"/>
    </row>
    <row r="169" spans="1:17" ht="14.25">
      <c r="A169" s="307"/>
      <c r="B169" s="206" t="s">
        <v>354</v>
      </c>
      <c r="C169" s="309"/>
      <c r="D169" s="309"/>
      <c r="E169" s="309"/>
      <c r="F169" s="309"/>
      <c r="G169" s="313">
        <f>G168</f>
        <v>4000</v>
      </c>
      <c r="H169" s="294"/>
      <c r="I169" s="314">
        <v>4000</v>
      </c>
      <c r="J169" s="303"/>
      <c r="K169" s="303"/>
      <c r="L169" s="303"/>
      <c r="M169" s="303"/>
      <c r="N169" s="303"/>
      <c r="O169" s="302"/>
      <c r="P169" s="302"/>
      <c r="Q169" s="302"/>
    </row>
    <row r="170" spans="1:17" ht="30.75">
      <c r="A170" s="305"/>
      <c r="B170" s="306" t="s">
        <v>569</v>
      </c>
      <c r="C170" s="302"/>
      <c r="D170" s="302"/>
      <c r="E170" s="302"/>
      <c r="F170" s="302"/>
      <c r="G170" s="303"/>
      <c r="H170" s="304"/>
      <c r="I170" s="303"/>
      <c r="J170" s="303"/>
      <c r="K170" s="303"/>
      <c r="L170" s="303"/>
      <c r="M170" s="303"/>
      <c r="N170" s="303"/>
      <c r="O170" s="302"/>
      <c r="P170" s="302"/>
      <c r="Q170" s="302"/>
    </row>
    <row r="171" spans="1:17" ht="14.25">
      <c r="A171" s="305"/>
      <c r="B171" s="302" t="s">
        <v>355</v>
      </c>
      <c r="C171" s="302" t="s">
        <v>356</v>
      </c>
      <c r="D171" s="302">
        <v>2</v>
      </c>
      <c r="E171" s="302">
        <v>2000</v>
      </c>
      <c r="F171" s="302">
        <v>1</v>
      </c>
      <c r="G171" s="303">
        <f>D171*E171*F171</f>
        <v>4000</v>
      </c>
      <c r="H171" s="304"/>
      <c r="I171" s="303">
        <v>6000</v>
      </c>
      <c r="J171" s="303"/>
      <c r="K171" s="303"/>
      <c r="L171" s="303">
        <v>6000</v>
      </c>
      <c r="M171" s="303"/>
      <c r="N171" s="303"/>
      <c r="O171" s="302"/>
      <c r="P171" s="302"/>
      <c r="Q171" s="302"/>
    </row>
    <row r="172" spans="1:17" s="203" customFormat="1" ht="15">
      <c r="A172" s="338"/>
      <c r="B172" s="311" t="s">
        <v>357</v>
      </c>
      <c r="C172" s="312"/>
      <c r="D172" s="312"/>
      <c r="E172" s="312"/>
      <c r="F172" s="312"/>
      <c r="G172" s="207">
        <f>G171</f>
        <v>4000</v>
      </c>
      <c r="I172" s="203">
        <v>6000</v>
      </c>
      <c r="J172" s="314"/>
      <c r="K172" s="314"/>
      <c r="L172" s="314">
        <v>6000</v>
      </c>
      <c r="M172" s="314"/>
      <c r="N172" s="314"/>
      <c r="O172" s="320"/>
      <c r="P172" s="320"/>
      <c r="Q172" s="320"/>
    </row>
    <row r="173" spans="1:17" s="203" customFormat="1" ht="14.25">
      <c r="A173" s="321"/>
      <c r="B173" s="320" t="s">
        <v>358</v>
      </c>
      <c r="C173" s="320"/>
      <c r="D173" s="320"/>
      <c r="E173" s="320"/>
      <c r="F173" s="320"/>
      <c r="G173" s="319"/>
      <c r="H173" s="294"/>
      <c r="I173" s="332" t="e">
        <f>SUM(#REF!)</f>
        <v>#REF!</v>
      </c>
      <c r="J173" s="332" t="e">
        <f>SUM(#REF!)</f>
        <v>#REF!</v>
      </c>
      <c r="K173" s="332" t="e">
        <f>SUM(#REF!)</f>
        <v>#REF!</v>
      </c>
      <c r="L173" s="332" t="e">
        <f>SUM(#REF!)</f>
        <v>#REF!</v>
      </c>
      <c r="M173" s="332" t="e">
        <f>SUM(#REF!)</f>
        <v>#REF!</v>
      </c>
      <c r="N173" s="332" t="e">
        <f>SUM(#REF!)</f>
        <v>#REF!</v>
      </c>
      <c r="O173" s="320"/>
      <c r="P173" s="320"/>
      <c r="Q173" s="320"/>
    </row>
    <row r="174" spans="1:17" ht="14.25">
      <c r="A174" s="339"/>
      <c r="B174" s="340" t="s">
        <v>221</v>
      </c>
      <c r="C174" s="340"/>
      <c r="D174" s="340"/>
      <c r="E174" s="340"/>
      <c r="F174" s="340"/>
      <c r="G174" s="340">
        <f>G172+G169+G166+G163+G146+G136+G123+G111+G108+G103+G99+G82+G65+G50+G38+G26+G12+G11+G142</f>
        <v>105022</v>
      </c>
      <c r="H174" s="294"/>
      <c r="I174" s="341" t="e">
        <f>#REF!+#REF!</f>
        <v>#REF!</v>
      </c>
      <c r="J174" s="341" t="e">
        <f>#REF!+#REF!</f>
        <v>#REF!</v>
      </c>
      <c r="K174" s="341" t="e">
        <f>#REF!+#REF!</f>
        <v>#REF!</v>
      </c>
      <c r="L174" s="341" t="e">
        <f>#REF!+#REF!</f>
        <v>#REF!</v>
      </c>
      <c r="M174" s="341" t="e">
        <f>#REF!+#REF!</f>
        <v>#REF!</v>
      </c>
      <c r="N174" s="341" t="e">
        <f>#REF!+#REF!</f>
        <v>#REF!</v>
      </c>
      <c r="O174" s="302"/>
      <c r="P174" s="302"/>
      <c r="Q174" s="302"/>
    </row>
    <row r="175" spans="1:17" ht="14.25">
      <c r="A175" s="342"/>
      <c r="B175" s="343" t="s">
        <v>222</v>
      </c>
      <c r="C175" s="343"/>
      <c r="D175" s="343"/>
      <c r="E175" s="343"/>
      <c r="F175" s="343"/>
      <c r="G175" s="344"/>
      <c r="H175" s="294"/>
      <c r="I175" s="344"/>
      <c r="J175" s="344"/>
      <c r="K175" s="344"/>
      <c r="L175" s="344"/>
      <c r="M175" s="344"/>
      <c r="N175" s="344"/>
      <c r="O175" s="302"/>
      <c r="P175" s="302"/>
      <c r="Q175" s="302"/>
    </row>
    <row r="176" spans="1:17" ht="14.25">
      <c r="A176" s="345"/>
      <c r="B176" s="346" t="s">
        <v>223</v>
      </c>
      <c r="C176" s="346"/>
      <c r="D176" s="346"/>
      <c r="E176" s="346"/>
      <c r="F176" s="346"/>
      <c r="G176" s="347"/>
      <c r="H176" s="304"/>
      <c r="I176" s="347"/>
      <c r="J176" s="347"/>
      <c r="K176" s="347"/>
      <c r="L176" s="347"/>
      <c r="M176" s="347"/>
      <c r="N176" s="347"/>
      <c r="O176" s="302"/>
      <c r="P176" s="302"/>
      <c r="Q176" s="302"/>
    </row>
    <row r="177" spans="1:17" ht="14.25">
      <c r="A177" s="305"/>
      <c r="B177" s="302" t="s">
        <v>359</v>
      </c>
      <c r="C177" s="302" t="s">
        <v>14</v>
      </c>
      <c r="D177" s="302">
        <v>1</v>
      </c>
      <c r="E177" s="302">
        <v>900</v>
      </c>
      <c r="F177" s="302">
        <v>6</v>
      </c>
      <c r="G177" s="303">
        <f>D177*E177*F177</f>
        <v>5400</v>
      </c>
      <c r="H177" s="304"/>
      <c r="I177" s="348"/>
      <c r="J177" s="348"/>
      <c r="K177" s="348"/>
      <c r="L177" s="348"/>
      <c r="M177" s="348"/>
      <c r="N177" s="348"/>
      <c r="O177" s="302"/>
      <c r="P177" s="302"/>
      <c r="Q177" s="302"/>
    </row>
    <row r="178" spans="1:17" ht="14.25">
      <c r="A178" s="305"/>
      <c r="B178" s="302" t="s">
        <v>360</v>
      </c>
      <c r="C178" s="302" t="s">
        <v>14</v>
      </c>
      <c r="D178" s="302">
        <v>1</v>
      </c>
      <c r="E178" s="302">
        <v>600</v>
      </c>
      <c r="F178" s="302">
        <v>6</v>
      </c>
      <c r="G178" s="303">
        <f aca="true" t="shared" si="9" ref="G178:G183">D178*E178*F178</f>
        <v>3600</v>
      </c>
      <c r="H178" s="304"/>
      <c r="I178" s="348"/>
      <c r="J178" s="348"/>
      <c r="K178" s="348"/>
      <c r="L178" s="348"/>
      <c r="M178" s="348"/>
      <c r="N178" s="348"/>
      <c r="O178" s="302"/>
      <c r="P178" s="302"/>
      <c r="Q178" s="302"/>
    </row>
    <row r="179" spans="1:17" ht="14.25">
      <c r="A179" s="305"/>
      <c r="B179" s="302" t="s">
        <v>361</v>
      </c>
      <c r="C179" s="302" t="s">
        <v>14</v>
      </c>
      <c r="D179" s="302">
        <v>1</v>
      </c>
      <c r="E179" s="302">
        <v>500</v>
      </c>
      <c r="F179" s="302">
        <v>6</v>
      </c>
      <c r="G179" s="303">
        <f t="shared" si="9"/>
        <v>3000</v>
      </c>
      <c r="H179" s="304"/>
      <c r="I179" s="303"/>
      <c r="J179" s="303"/>
      <c r="K179" s="303"/>
      <c r="L179" s="303"/>
      <c r="M179" s="303"/>
      <c r="N179" s="303"/>
      <c r="O179" s="302"/>
      <c r="P179" s="302"/>
      <c r="Q179" s="302"/>
    </row>
    <row r="180" spans="1:17" ht="14.25">
      <c r="A180" s="305"/>
      <c r="B180" s="302" t="s">
        <v>362</v>
      </c>
      <c r="C180" s="302" t="s">
        <v>14</v>
      </c>
      <c r="D180" s="302">
        <v>1</v>
      </c>
      <c r="E180" s="302">
        <v>300</v>
      </c>
      <c r="F180" s="302">
        <v>6</v>
      </c>
      <c r="G180" s="303">
        <f t="shared" si="9"/>
        <v>1800</v>
      </c>
      <c r="H180" s="304"/>
      <c r="I180" s="303"/>
      <c r="J180" s="303"/>
      <c r="K180" s="303"/>
      <c r="L180" s="303"/>
      <c r="M180" s="303"/>
      <c r="N180" s="303"/>
      <c r="O180" s="302"/>
      <c r="P180" s="302"/>
      <c r="Q180" s="302"/>
    </row>
    <row r="181" spans="1:17" ht="14.25">
      <c r="A181" s="305"/>
      <c r="B181" s="302" t="s">
        <v>363</v>
      </c>
      <c r="C181" s="302" t="s">
        <v>14</v>
      </c>
      <c r="D181" s="302">
        <v>1</v>
      </c>
      <c r="E181" s="302">
        <v>300</v>
      </c>
      <c r="F181" s="302">
        <v>6</v>
      </c>
      <c r="G181" s="303">
        <f t="shared" si="9"/>
        <v>1800</v>
      </c>
      <c r="H181" s="304"/>
      <c r="I181" s="303"/>
      <c r="J181" s="303"/>
      <c r="K181" s="303"/>
      <c r="L181" s="303"/>
      <c r="M181" s="303"/>
      <c r="N181" s="303"/>
      <c r="O181" s="302"/>
      <c r="P181" s="302"/>
      <c r="Q181" s="302"/>
    </row>
    <row r="182" spans="1:17" ht="14.25">
      <c r="A182" s="305"/>
      <c r="B182" s="302" t="s">
        <v>364</v>
      </c>
      <c r="C182" s="302" t="s">
        <v>14</v>
      </c>
      <c r="D182" s="302">
        <v>1</v>
      </c>
      <c r="E182" s="302">
        <v>300</v>
      </c>
      <c r="F182" s="302">
        <v>6</v>
      </c>
      <c r="G182" s="303">
        <f t="shared" si="9"/>
        <v>1800</v>
      </c>
      <c r="H182" s="304"/>
      <c r="I182" s="303"/>
      <c r="J182" s="303"/>
      <c r="K182" s="303"/>
      <c r="L182" s="303"/>
      <c r="M182" s="303"/>
      <c r="N182" s="303"/>
      <c r="O182" s="302"/>
      <c r="P182" s="302"/>
      <c r="Q182" s="302"/>
    </row>
    <row r="183" spans="1:17" ht="14.25">
      <c r="A183" s="305"/>
      <c r="B183" s="302" t="s">
        <v>365</v>
      </c>
      <c r="C183" s="302" t="s">
        <v>14</v>
      </c>
      <c r="D183" s="302">
        <v>1</v>
      </c>
      <c r="E183" s="302">
        <v>150</v>
      </c>
      <c r="F183" s="302">
        <v>6</v>
      </c>
      <c r="G183" s="303">
        <f t="shared" si="9"/>
        <v>900</v>
      </c>
      <c r="H183" s="304"/>
      <c r="I183" s="303"/>
      <c r="J183" s="303"/>
      <c r="K183" s="303"/>
      <c r="L183" s="303"/>
      <c r="M183" s="303"/>
      <c r="N183" s="303"/>
      <c r="O183" s="302"/>
      <c r="P183" s="302"/>
      <c r="Q183" s="302"/>
    </row>
    <row r="184" spans="1:17" ht="14.25">
      <c r="A184" s="307"/>
      <c r="B184" s="309" t="s">
        <v>233</v>
      </c>
      <c r="C184" s="309"/>
      <c r="D184" s="309"/>
      <c r="E184" s="349">
        <f>SUM(E177:E183)</f>
        <v>3050</v>
      </c>
      <c r="F184" s="349"/>
      <c r="G184" s="349">
        <f>SUM(G177:G183)</f>
        <v>18300</v>
      </c>
      <c r="H184" s="304"/>
      <c r="I184" s="350"/>
      <c r="J184" s="350"/>
      <c r="K184" s="350"/>
      <c r="L184" s="350"/>
      <c r="M184" s="350"/>
      <c r="N184" s="350"/>
      <c r="O184" s="302"/>
      <c r="P184" s="302"/>
      <c r="Q184" s="302"/>
    </row>
    <row r="185" spans="1:17" ht="14.25">
      <c r="A185" s="351"/>
      <c r="B185" s="352" t="s">
        <v>234</v>
      </c>
      <c r="C185" s="352"/>
      <c r="D185" s="352"/>
      <c r="E185" s="352"/>
      <c r="F185" s="352"/>
      <c r="G185" s="353"/>
      <c r="H185" s="294"/>
      <c r="I185" s="353"/>
      <c r="J185" s="353"/>
      <c r="K185" s="353"/>
      <c r="L185" s="353"/>
      <c r="M185" s="353"/>
      <c r="N185" s="353"/>
      <c r="O185" s="302"/>
      <c r="P185" s="302"/>
      <c r="Q185" s="302"/>
    </row>
    <row r="186" spans="1:17" ht="14.25">
      <c r="A186" s="305"/>
      <c r="B186" s="302" t="s">
        <v>570</v>
      </c>
      <c r="C186" s="302" t="s">
        <v>14</v>
      </c>
      <c r="D186" s="302">
        <v>1</v>
      </c>
      <c r="E186" s="302">
        <v>150</v>
      </c>
      <c r="F186" s="302">
        <v>6</v>
      </c>
      <c r="G186" s="303">
        <f>F186*E186*D186</f>
        <v>900</v>
      </c>
      <c r="H186" s="304"/>
      <c r="I186" s="303"/>
      <c r="J186" s="303"/>
      <c r="K186" s="303"/>
      <c r="L186" s="303"/>
      <c r="M186" s="303"/>
      <c r="N186" s="303"/>
      <c r="O186" s="302"/>
      <c r="P186" s="302"/>
      <c r="Q186" s="302"/>
    </row>
    <row r="187" spans="1:17" ht="14.25">
      <c r="A187" s="305"/>
      <c r="B187" s="302" t="s">
        <v>367</v>
      </c>
      <c r="C187" s="302" t="s">
        <v>14</v>
      </c>
      <c r="D187" s="302">
        <v>1</v>
      </c>
      <c r="E187" s="302">
        <v>50</v>
      </c>
      <c r="F187" s="302">
        <v>6</v>
      </c>
      <c r="G187" s="303">
        <f aca="true" t="shared" si="10" ref="G187:G192">F187*E187*D187</f>
        <v>300</v>
      </c>
      <c r="H187" s="304"/>
      <c r="I187" s="303"/>
      <c r="J187" s="303"/>
      <c r="K187" s="303"/>
      <c r="L187" s="303"/>
      <c r="M187" s="303"/>
      <c r="N187" s="303"/>
      <c r="O187" s="302"/>
      <c r="P187" s="302"/>
      <c r="Q187" s="302"/>
    </row>
    <row r="188" spans="1:17" ht="14.25">
      <c r="A188" s="305"/>
      <c r="B188" s="302" t="s">
        <v>368</v>
      </c>
      <c r="C188" s="302" t="s">
        <v>14</v>
      </c>
      <c r="D188" s="302">
        <v>1</v>
      </c>
      <c r="E188" s="302">
        <v>30</v>
      </c>
      <c r="F188" s="302">
        <v>6</v>
      </c>
      <c r="G188" s="303">
        <f t="shared" si="10"/>
        <v>180</v>
      </c>
      <c r="H188" s="304"/>
      <c r="I188" s="303"/>
      <c r="J188" s="303"/>
      <c r="K188" s="303"/>
      <c r="L188" s="303"/>
      <c r="M188" s="303"/>
      <c r="N188" s="303"/>
      <c r="O188" s="302"/>
      <c r="P188" s="302"/>
      <c r="Q188" s="302"/>
    </row>
    <row r="189" spans="1:17" ht="14.25">
      <c r="A189" s="305"/>
      <c r="B189" s="302" t="s">
        <v>369</v>
      </c>
      <c r="C189" s="302" t="s">
        <v>14</v>
      </c>
      <c r="D189" s="302">
        <v>1</v>
      </c>
      <c r="E189" s="302">
        <v>30</v>
      </c>
      <c r="F189" s="302">
        <v>6</v>
      </c>
      <c r="G189" s="303">
        <f t="shared" si="10"/>
        <v>180</v>
      </c>
      <c r="H189" s="304"/>
      <c r="I189" s="303"/>
      <c r="J189" s="303"/>
      <c r="K189" s="303"/>
      <c r="L189" s="303"/>
      <c r="M189" s="303"/>
      <c r="N189" s="303"/>
      <c r="O189" s="302"/>
      <c r="P189" s="302"/>
      <c r="Q189" s="302"/>
    </row>
    <row r="190" spans="1:17" ht="14.25">
      <c r="A190" s="305"/>
      <c r="B190" s="302" t="s">
        <v>370</v>
      </c>
      <c r="C190" s="302" t="s">
        <v>14</v>
      </c>
      <c r="D190" s="302">
        <v>2</v>
      </c>
      <c r="E190" s="302">
        <v>300</v>
      </c>
      <c r="F190" s="302">
        <v>6</v>
      </c>
      <c r="G190" s="303">
        <f t="shared" si="10"/>
        <v>3600</v>
      </c>
      <c r="H190" s="304"/>
      <c r="I190" s="303"/>
      <c r="J190" s="303"/>
      <c r="K190" s="303"/>
      <c r="L190" s="303"/>
      <c r="M190" s="303"/>
      <c r="N190" s="303"/>
      <c r="O190" s="302"/>
      <c r="P190" s="302"/>
      <c r="Q190" s="302"/>
    </row>
    <row r="191" spans="1:17" ht="14.25">
      <c r="A191" s="305"/>
      <c r="B191" s="302" t="s">
        <v>371</v>
      </c>
      <c r="C191" s="302" t="s">
        <v>14</v>
      </c>
      <c r="D191" s="302">
        <v>1</v>
      </c>
      <c r="E191" s="302">
        <v>100</v>
      </c>
      <c r="F191" s="302">
        <v>6</v>
      </c>
      <c r="G191" s="303">
        <f t="shared" si="10"/>
        <v>600</v>
      </c>
      <c r="H191" s="304"/>
      <c r="I191" s="303"/>
      <c r="J191" s="303"/>
      <c r="K191" s="303"/>
      <c r="L191" s="303"/>
      <c r="M191" s="303"/>
      <c r="N191" s="303"/>
      <c r="O191" s="302"/>
      <c r="P191" s="302"/>
      <c r="Q191" s="302"/>
    </row>
    <row r="192" spans="1:17" ht="14.25">
      <c r="A192" s="305"/>
      <c r="B192" s="302" t="s">
        <v>372</v>
      </c>
      <c r="C192" s="302" t="s">
        <v>373</v>
      </c>
      <c r="D192" s="302">
        <v>1</v>
      </c>
      <c r="E192" s="302">
        <v>100</v>
      </c>
      <c r="F192" s="302">
        <v>6</v>
      </c>
      <c r="G192" s="303">
        <f t="shared" si="10"/>
        <v>600</v>
      </c>
      <c r="H192" s="304"/>
      <c r="I192" s="303"/>
      <c r="J192" s="303"/>
      <c r="K192" s="303"/>
      <c r="L192" s="303"/>
      <c r="M192" s="303"/>
      <c r="N192" s="303"/>
      <c r="O192" s="302"/>
      <c r="P192" s="302"/>
      <c r="Q192" s="302"/>
    </row>
    <row r="193" spans="1:17" ht="14.25">
      <c r="A193" s="307"/>
      <c r="B193" s="309" t="s">
        <v>240</v>
      </c>
      <c r="C193" s="309"/>
      <c r="D193" s="309"/>
      <c r="E193" s="309"/>
      <c r="F193" s="309"/>
      <c r="G193" s="310">
        <f>SUM(G186:G192)</f>
        <v>6360</v>
      </c>
      <c r="H193" s="354"/>
      <c r="I193" s="354"/>
      <c r="J193" s="354"/>
      <c r="K193" s="354"/>
      <c r="L193" s="354"/>
      <c r="M193" s="354"/>
      <c r="N193" s="354"/>
      <c r="O193" s="302"/>
      <c r="P193" s="302"/>
      <c r="Q193" s="302"/>
    </row>
    <row r="194" spans="1:17" ht="14.25">
      <c r="A194" s="305"/>
      <c r="B194" s="302" t="s">
        <v>374</v>
      </c>
      <c r="C194" s="302"/>
      <c r="D194" s="302">
        <v>1</v>
      </c>
      <c r="E194" s="302">
        <v>800</v>
      </c>
      <c r="F194" s="302">
        <v>6</v>
      </c>
      <c r="G194" s="303">
        <f>F194*E194*D194</f>
        <v>4800</v>
      </c>
      <c r="H194" s="304"/>
      <c r="I194" s="347"/>
      <c r="J194" s="347"/>
      <c r="K194" s="347"/>
      <c r="L194" s="347"/>
      <c r="M194" s="347"/>
      <c r="N194" s="347"/>
      <c r="O194" s="302"/>
      <c r="P194" s="302"/>
      <c r="Q194" s="302"/>
    </row>
    <row r="195" spans="1:17" ht="14.25">
      <c r="A195" s="305"/>
      <c r="B195" s="302" t="s">
        <v>375</v>
      </c>
      <c r="C195" s="302" t="s">
        <v>14</v>
      </c>
      <c r="D195" s="302">
        <v>1</v>
      </c>
      <c r="E195" s="302">
        <v>250</v>
      </c>
      <c r="F195" s="302">
        <v>6</v>
      </c>
      <c r="G195" s="348">
        <f>F195*E195*D195</f>
        <v>1500</v>
      </c>
      <c r="H195" s="348"/>
      <c r="I195" s="348"/>
      <c r="J195" s="348"/>
      <c r="K195" s="348"/>
      <c r="L195" s="348"/>
      <c r="M195" s="348"/>
      <c r="N195" s="348"/>
      <c r="O195" s="302"/>
      <c r="P195" s="302"/>
      <c r="Q195" s="302"/>
    </row>
    <row r="196" spans="1:17" ht="14.25">
      <c r="A196" s="355"/>
      <c r="B196" s="356"/>
      <c r="C196" s="356"/>
      <c r="D196" s="356"/>
      <c r="E196" s="356"/>
      <c r="F196" s="356"/>
      <c r="G196" s="354"/>
      <c r="H196" s="304"/>
      <c r="I196" s="354"/>
      <c r="J196" s="354"/>
      <c r="K196" s="354"/>
      <c r="L196" s="354"/>
      <c r="M196" s="354"/>
      <c r="N196" s="354"/>
      <c r="O196" s="302"/>
      <c r="P196" s="302"/>
      <c r="Q196" s="302"/>
    </row>
    <row r="197" spans="1:17" ht="14.25">
      <c r="A197" s="357"/>
      <c r="B197" s="358" t="s">
        <v>241</v>
      </c>
      <c r="C197" s="358"/>
      <c r="D197" s="358"/>
      <c r="E197" s="358"/>
      <c r="F197" s="358"/>
      <c r="G197" s="340">
        <f>G195+G194+G193+G184</f>
        <v>30960</v>
      </c>
      <c r="H197" s="304"/>
      <c r="I197" s="303"/>
      <c r="J197" s="303"/>
      <c r="K197" s="303"/>
      <c r="L197" s="303"/>
      <c r="M197" s="303"/>
      <c r="N197" s="303"/>
      <c r="O197" s="302"/>
      <c r="P197" s="302"/>
      <c r="Q197" s="302"/>
    </row>
    <row r="198" spans="1:17" ht="14.25">
      <c r="A198" s="359"/>
      <c r="B198" s="360" t="s">
        <v>242</v>
      </c>
      <c r="C198" s="360"/>
      <c r="D198" s="360"/>
      <c r="E198" s="360"/>
      <c r="F198" s="360"/>
      <c r="G198" s="361">
        <f>G197+G174</f>
        <v>135982</v>
      </c>
      <c r="H198" s="361"/>
      <c r="I198" s="362" t="e">
        <f aca="true" t="shared" si="11" ref="I198:N198">I197+I174</f>
        <v>#REF!</v>
      </c>
      <c r="J198" s="362" t="e">
        <f t="shared" si="11"/>
        <v>#REF!</v>
      </c>
      <c r="K198" s="362" t="e">
        <f t="shared" si="11"/>
        <v>#REF!</v>
      </c>
      <c r="L198" s="362" t="e">
        <f t="shared" si="11"/>
        <v>#REF!</v>
      </c>
      <c r="M198" s="362" t="e">
        <f t="shared" si="11"/>
        <v>#REF!</v>
      </c>
      <c r="N198" s="362" t="e">
        <f t="shared" si="11"/>
        <v>#REF!</v>
      </c>
      <c r="O198" s="302"/>
      <c r="P198" s="302"/>
      <c r="Q198" s="302"/>
    </row>
  </sheetData>
  <sheetProtection/>
  <mergeCells count="3">
    <mergeCell ref="I5:N5"/>
    <mergeCell ref="B8:P8"/>
    <mergeCell ref="B138:Q138"/>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2:S118"/>
  <sheetViews>
    <sheetView zoomScalePageLayoutView="0" workbookViewId="0" topLeftCell="A101">
      <selection activeCell="R58" sqref="R58"/>
    </sheetView>
  </sheetViews>
  <sheetFormatPr defaultColWidth="11.421875" defaultRowHeight="15"/>
  <cols>
    <col min="1" max="1" width="11.421875" style="0" customWidth="1"/>
    <col min="2" max="2" width="54.00390625" style="110" customWidth="1"/>
    <col min="3" max="3" width="13.140625" style="0" bestFit="1" customWidth="1"/>
    <col min="4" max="4" width="11.421875" style="0" customWidth="1"/>
    <col min="5" max="5" width="10.421875" style="0" bestFit="1" customWidth="1"/>
    <col min="6" max="6" width="10.8515625" style="0" bestFit="1" customWidth="1"/>
    <col min="7" max="7" width="11.8515625" style="109" bestFit="1" customWidth="1"/>
    <col min="8" max="8" width="1.8515625" style="109" customWidth="1"/>
    <col min="9" max="9" width="16.421875" style="109" hidden="1" customWidth="1"/>
    <col min="10" max="10" width="12.421875" style="109" hidden="1" customWidth="1"/>
    <col min="11" max="11" width="11.8515625" style="109" hidden="1" customWidth="1"/>
    <col min="12" max="12" width="14.00390625" style="109" hidden="1" customWidth="1"/>
    <col min="13" max="13" width="12.421875" style="109" hidden="1" customWidth="1"/>
    <col min="14" max="14" width="11.421875" style="109" hidden="1" customWidth="1"/>
    <col min="15" max="15" width="12.421875" style="109" hidden="1" customWidth="1"/>
    <col min="16" max="16" width="11.421875" style="109" hidden="1" customWidth="1"/>
    <col min="17" max="17" width="0" style="0" hidden="1" customWidth="1"/>
  </cols>
  <sheetData>
    <row r="1" ht="15"/>
    <row r="2" ht="30">
      <c r="B2" s="108" t="s">
        <v>133</v>
      </c>
    </row>
    <row r="3" ht="15">
      <c r="B3" s="110" t="s">
        <v>134</v>
      </c>
    </row>
    <row r="4" ht="15.75" thickBot="1">
      <c r="B4" s="111" t="s">
        <v>135</v>
      </c>
    </row>
    <row r="5" spans="1:16" ht="15">
      <c r="A5" s="112" t="s">
        <v>11</v>
      </c>
      <c r="B5" s="113" t="s">
        <v>136</v>
      </c>
      <c r="C5" s="112" t="s">
        <v>137</v>
      </c>
      <c r="D5" s="112" t="s">
        <v>4</v>
      </c>
      <c r="E5" s="112" t="s">
        <v>138</v>
      </c>
      <c r="F5" s="112" t="s">
        <v>139</v>
      </c>
      <c r="G5" s="114" t="s">
        <v>21</v>
      </c>
      <c r="H5" s="115"/>
      <c r="I5" s="826" t="s">
        <v>140</v>
      </c>
      <c r="J5" s="827"/>
      <c r="K5" s="827"/>
      <c r="L5" s="827"/>
      <c r="M5" s="827"/>
      <c r="N5" s="828"/>
      <c r="O5"/>
      <c r="P5"/>
    </row>
    <row r="6" spans="1:16" ht="15">
      <c r="A6" s="112"/>
      <c r="B6" s="113"/>
      <c r="C6" s="112"/>
      <c r="D6" s="112"/>
      <c r="E6" s="112"/>
      <c r="F6" s="112"/>
      <c r="G6" s="114"/>
      <c r="H6" s="116"/>
      <c r="I6" s="117"/>
      <c r="J6" s="118"/>
      <c r="K6" s="118"/>
      <c r="L6" s="118"/>
      <c r="M6" s="118"/>
      <c r="N6" s="119"/>
      <c r="O6" s="119"/>
      <c r="P6" s="119"/>
    </row>
    <row r="7" spans="1:16" ht="15">
      <c r="A7" s="120"/>
      <c r="B7" s="121" t="s">
        <v>141</v>
      </c>
      <c r="C7" s="120"/>
      <c r="D7" s="120"/>
      <c r="E7" s="120"/>
      <c r="F7" s="120"/>
      <c r="G7" s="122"/>
      <c r="H7" s="123"/>
      <c r="I7" s="124">
        <v>44013</v>
      </c>
      <c r="J7" s="125">
        <v>44044</v>
      </c>
      <c r="K7" s="125">
        <v>44075</v>
      </c>
      <c r="L7" s="125">
        <v>44105</v>
      </c>
      <c r="M7" s="125">
        <v>44136</v>
      </c>
      <c r="N7" s="125">
        <v>44166</v>
      </c>
      <c r="O7" s="125" t="s">
        <v>142</v>
      </c>
      <c r="P7" s="125" t="s">
        <v>143</v>
      </c>
    </row>
    <row r="8" spans="1:16" ht="14.25" customHeight="1">
      <c r="A8" s="126"/>
      <c r="B8" s="837" t="s">
        <v>121</v>
      </c>
      <c r="C8" s="838"/>
      <c r="D8" s="838"/>
      <c r="E8" s="838"/>
      <c r="F8" s="838"/>
      <c r="G8" s="838"/>
      <c r="H8" s="838"/>
      <c r="I8" s="838"/>
      <c r="J8" s="838"/>
      <c r="K8" s="838"/>
      <c r="L8" s="838"/>
      <c r="M8" s="838"/>
      <c r="N8" s="838"/>
      <c r="O8" s="127"/>
      <c r="P8" s="127"/>
    </row>
    <row r="9" spans="1:16" ht="58.5" customHeight="1">
      <c r="A9" s="126"/>
      <c r="B9" s="128" t="s">
        <v>144</v>
      </c>
      <c r="C9" s="129"/>
      <c r="D9" s="129"/>
      <c r="E9" s="129"/>
      <c r="F9" s="129"/>
      <c r="G9" s="130"/>
      <c r="H9" s="131"/>
      <c r="I9" s="129"/>
      <c r="J9" s="129"/>
      <c r="K9" s="129"/>
      <c r="L9" s="129"/>
      <c r="M9" s="129"/>
      <c r="N9" s="129"/>
      <c r="O9" s="129">
        <f>SUM(I9:N9)</f>
        <v>0</v>
      </c>
      <c r="P9" s="129">
        <f>G9-O9</f>
        <v>0</v>
      </c>
    </row>
    <row r="10" spans="1:16" ht="37.5" customHeight="1">
      <c r="A10" s="126"/>
      <c r="B10" s="132" t="s">
        <v>118</v>
      </c>
      <c r="C10" s="129"/>
      <c r="D10" s="133"/>
      <c r="E10" s="129"/>
      <c r="F10" s="129"/>
      <c r="G10" s="134"/>
      <c r="H10" s="131"/>
      <c r="I10" s="129"/>
      <c r="J10" s="129"/>
      <c r="K10" s="129"/>
      <c r="L10" s="129"/>
      <c r="M10" s="129"/>
      <c r="N10" s="129"/>
      <c r="O10" s="129">
        <f aca="true" t="shared" si="0" ref="O10:O96">SUM(I10:N10)</f>
        <v>0</v>
      </c>
      <c r="P10" s="129">
        <f aca="true" t="shared" si="1" ref="P10:P96">G10-O10</f>
        <v>0</v>
      </c>
    </row>
    <row r="11" spans="1:16" s="141" customFormat="1" ht="21" customHeight="1">
      <c r="A11" s="135"/>
      <c r="B11" s="136" t="s">
        <v>145</v>
      </c>
      <c r="C11" s="137"/>
      <c r="D11" s="138"/>
      <c r="E11" s="137"/>
      <c r="F11" s="137"/>
      <c r="G11" s="139">
        <f>SUM(G12:G20)</f>
        <v>1248</v>
      </c>
      <c r="H11" s="131"/>
      <c r="I11" s="140">
        <f aca="true" t="shared" si="2" ref="I11:O11">SUM(I12:I20)</f>
        <v>624</v>
      </c>
      <c r="J11" s="140">
        <f t="shared" si="2"/>
        <v>0</v>
      </c>
      <c r="K11" s="140">
        <f t="shared" si="2"/>
        <v>0</v>
      </c>
      <c r="L11" s="140">
        <f t="shared" si="2"/>
        <v>624</v>
      </c>
      <c r="M11" s="140">
        <f t="shared" si="2"/>
        <v>0</v>
      </c>
      <c r="N11" s="140">
        <f t="shared" si="2"/>
        <v>0</v>
      </c>
      <c r="O11" s="140">
        <f t="shared" si="2"/>
        <v>1248</v>
      </c>
      <c r="P11" s="140">
        <f t="shared" si="1"/>
        <v>0</v>
      </c>
    </row>
    <row r="12" spans="1:16" ht="14.25" customHeight="1">
      <c r="A12" s="126"/>
      <c r="B12" s="142" t="s">
        <v>146</v>
      </c>
      <c r="C12" s="143" t="s">
        <v>147</v>
      </c>
      <c r="D12" s="129">
        <v>1</v>
      </c>
      <c r="E12" s="129">
        <v>100</v>
      </c>
      <c r="F12" s="129">
        <f>1*2</f>
        <v>2</v>
      </c>
      <c r="G12" s="130">
        <f>D12*E12*F12</f>
        <v>200</v>
      </c>
      <c r="H12" s="131"/>
      <c r="I12" s="129">
        <f>$G$12/2</f>
        <v>100</v>
      </c>
      <c r="J12" s="129"/>
      <c r="K12" s="129"/>
      <c r="L12" s="129">
        <f>$G$12/2</f>
        <v>100</v>
      </c>
      <c r="M12" s="129"/>
      <c r="N12" s="129"/>
      <c r="O12" s="129">
        <f t="shared" si="0"/>
        <v>200</v>
      </c>
      <c r="P12" s="129">
        <f t="shared" si="1"/>
        <v>0</v>
      </c>
    </row>
    <row r="13" spans="1:16" ht="14.25" customHeight="1">
      <c r="A13" s="126"/>
      <c r="B13" s="142" t="s">
        <v>148</v>
      </c>
      <c r="C13" s="143" t="s">
        <v>149</v>
      </c>
      <c r="D13" s="129">
        <v>12</v>
      </c>
      <c r="E13" s="129">
        <v>20</v>
      </c>
      <c r="F13" s="129">
        <f aca="true" t="shared" si="3" ref="F13:F20">1*2</f>
        <v>2</v>
      </c>
      <c r="G13" s="130">
        <f aca="true" t="shared" si="4" ref="G13:G24">D13*E13*F13</f>
        <v>480</v>
      </c>
      <c r="H13" s="131"/>
      <c r="I13" s="129">
        <f>$G$13/2</f>
        <v>240</v>
      </c>
      <c r="J13" s="129"/>
      <c r="K13" s="129"/>
      <c r="L13" s="129">
        <f>$G$13/2</f>
        <v>240</v>
      </c>
      <c r="M13" s="129"/>
      <c r="N13" s="129"/>
      <c r="O13" s="129">
        <f t="shared" si="0"/>
        <v>480</v>
      </c>
      <c r="P13" s="129">
        <f t="shared" si="1"/>
        <v>0</v>
      </c>
    </row>
    <row r="14" spans="1:16" ht="14.25" customHeight="1">
      <c r="A14" s="126"/>
      <c r="B14" s="142" t="s">
        <v>150</v>
      </c>
      <c r="C14" s="143" t="s">
        <v>151</v>
      </c>
      <c r="D14" s="129">
        <v>12</v>
      </c>
      <c r="E14" s="129">
        <v>20</v>
      </c>
      <c r="F14" s="129">
        <f t="shared" si="3"/>
        <v>2</v>
      </c>
      <c r="G14" s="130">
        <f t="shared" si="4"/>
        <v>480</v>
      </c>
      <c r="H14" s="131"/>
      <c r="I14" s="129">
        <f>$G$14/2</f>
        <v>240</v>
      </c>
      <c r="J14" s="129"/>
      <c r="K14" s="129"/>
      <c r="L14" s="129">
        <f>$G$14/2</f>
        <v>240</v>
      </c>
      <c r="M14" s="129"/>
      <c r="N14" s="129"/>
      <c r="O14" s="129">
        <f t="shared" si="0"/>
        <v>480</v>
      </c>
      <c r="P14" s="129">
        <f t="shared" si="1"/>
        <v>0</v>
      </c>
    </row>
    <row r="15" spans="1:16" ht="14.25" customHeight="1">
      <c r="A15" s="126"/>
      <c r="B15" s="142" t="s">
        <v>152</v>
      </c>
      <c r="C15" s="143" t="s">
        <v>153</v>
      </c>
      <c r="D15" s="129">
        <v>1</v>
      </c>
      <c r="E15" s="129">
        <v>13</v>
      </c>
      <c r="F15" s="129">
        <f t="shared" si="3"/>
        <v>2</v>
      </c>
      <c r="G15" s="130">
        <f t="shared" si="4"/>
        <v>26</v>
      </c>
      <c r="H15" s="131"/>
      <c r="I15" s="129">
        <f>$G$15/2</f>
        <v>13</v>
      </c>
      <c r="J15" s="129"/>
      <c r="K15" s="129"/>
      <c r="L15" s="129">
        <f>$G$15/2</f>
        <v>13</v>
      </c>
      <c r="M15" s="129"/>
      <c r="N15" s="129"/>
      <c r="O15" s="129">
        <f t="shared" si="0"/>
        <v>26</v>
      </c>
      <c r="P15" s="129">
        <f t="shared" si="1"/>
        <v>0</v>
      </c>
    </row>
    <row r="16" spans="1:16" ht="14.25" customHeight="1">
      <c r="A16" s="126"/>
      <c r="B16" s="142" t="s">
        <v>154</v>
      </c>
      <c r="C16" s="143" t="s">
        <v>155</v>
      </c>
      <c r="D16" s="129">
        <v>1</v>
      </c>
      <c r="E16" s="129">
        <v>5</v>
      </c>
      <c r="F16" s="129">
        <f t="shared" si="3"/>
        <v>2</v>
      </c>
      <c r="G16" s="130">
        <f t="shared" si="4"/>
        <v>10</v>
      </c>
      <c r="H16" s="131"/>
      <c r="I16" s="129">
        <f>$G$16/2</f>
        <v>5</v>
      </c>
      <c r="J16" s="129"/>
      <c r="K16" s="129"/>
      <c r="L16" s="129">
        <f>$G$16/2</f>
        <v>5</v>
      </c>
      <c r="M16" s="129"/>
      <c r="N16" s="129"/>
      <c r="O16" s="129">
        <f t="shared" si="0"/>
        <v>10</v>
      </c>
      <c r="P16" s="129">
        <f t="shared" si="1"/>
        <v>0</v>
      </c>
    </row>
    <row r="17" spans="1:16" ht="14.25" customHeight="1">
      <c r="A17" s="126"/>
      <c r="B17" s="142" t="s">
        <v>156</v>
      </c>
      <c r="C17" s="143" t="s">
        <v>153</v>
      </c>
      <c r="D17" s="129">
        <v>12</v>
      </c>
      <c r="E17" s="129">
        <v>1</v>
      </c>
      <c r="F17" s="129">
        <f t="shared" si="3"/>
        <v>2</v>
      </c>
      <c r="G17" s="130">
        <f t="shared" si="4"/>
        <v>24</v>
      </c>
      <c r="H17" s="131"/>
      <c r="I17" s="129">
        <f>$G$17/2</f>
        <v>12</v>
      </c>
      <c r="J17" s="129"/>
      <c r="K17" s="129"/>
      <c r="L17" s="129">
        <f>$G$17/2</f>
        <v>12</v>
      </c>
      <c r="M17" s="129"/>
      <c r="N17" s="129"/>
      <c r="O17" s="129">
        <f t="shared" si="0"/>
        <v>24</v>
      </c>
      <c r="P17" s="129">
        <f t="shared" si="1"/>
        <v>0</v>
      </c>
    </row>
    <row r="18" spans="1:16" ht="14.25" customHeight="1">
      <c r="A18" s="126"/>
      <c r="B18" s="144" t="s">
        <v>157</v>
      </c>
      <c r="C18" s="143" t="s">
        <v>153</v>
      </c>
      <c r="D18" s="129">
        <v>1</v>
      </c>
      <c r="E18" s="129">
        <v>6</v>
      </c>
      <c r="F18" s="129">
        <f t="shared" si="3"/>
        <v>2</v>
      </c>
      <c r="G18" s="130">
        <f t="shared" si="4"/>
        <v>12</v>
      </c>
      <c r="H18" s="131"/>
      <c r="I18" s="129">
        <f>$G$18/2</f>
        <v>6</v>
      </c>
      <c r="J18" s="129"/>
      <c r="K18" s="129"/>
      <c r="L18" s="129">
        <f>$G$18/2</f>
        <v>6</v>
      </c>
      <c r="M18" s="129"/>
      <c r="N18" s="129"/>
      <c r="O18" s="129">
        <f t="shared" si="0"/>
        <v>12</v>
      </c>
      <c r="P18" s="129">
        <f t="shared" si="1"/>
        <v>0</v>
      </c>
    </row>
    <row r="19" spans="1:16" ht="14.25" customHeight="1">
      <c r="A19" s="126"/>
      <c r="B19" s="142" t="s">
        <v>158</v>
      </c>
      <c r="C19" s="143" t="s">
        <v>153</v>
      </c>
      <c r="D19" s="129">
        <v>1</v>
      </c>
      <c r="E19" s="129">
        <v>6</v>
      </c>
      <c r="F19" s="129">
        <f t="shared" si="3"/>
        <v>2</v>
      </c>
      <c r="G19" s="130">
        <f t="shared" si="4"/>
        <v>12</v>
      </c>
      <c r="H19" s="131"/>
      <c r="I19" s="129">
        <f>$G$19/2</f>
        <v>6</v>
      </c>
      <c r="J19" s="129"/>
      <c r="K19" s="129"/>
      <c r="L19" s="129">
        <f>$G$19/2</f>
        <v>6</v>
      </c>
      <c r="M19" s="129"/>
      <c r="N19" s="129"/>
      <c r="O19" s="129">
        <f t="shared" si="0"/>
        <v>12</v>
      </c>
      <c r="P19" s="129">
        <f t="shared" si="1"/>
        <v>0</v>
      </c>
    </row>
    <row r="20" spans="1:16" ht="14.25" customHeight="1">
      <c r="A20" s="126"/>
      <c r="B20" s="142" t="s">
        <v>159</v>
      </c>
      <c r="C20" s="143" t="s">
        <v>153</v>
      </c>
      <c r="D20" s="129">
        <v>1</v>
      </c>
      <c r="E20" s="129">
        <v>2</v>
      </c>
      <c r="F20" s="129">
        <f t="shared" si="3"/>
        <v>2</v>
      </c>
      <c r="G20" s="130">
        <f t="shared" si="4"/>
        <v>4</v>
      </c>
      <c r="H20" s="131"/>
      <c r="I20" s="129">
        <f>$G$20/2</f>
        <v>2</v>
      </c>
      <c r="J20" s="129"/>
      <c r="K20" s="129"/>
      <c r="L20" s="129">
        <f>$G$20/2</f>
        <v>2</v>
      </c>
      <c r="M20" s="129"/>
      <c r="N20" s="129"/>
      <c r="O20" s="129">
        <f t="shared" si="0"/>
        <v>4</v>
      </c>
      <c r="P20" s="129">
        <f t="shared" si="1"/>
        <v>0</v>
      </c>
    </row>
    <row r="21" spans="1:16" ht="32.25" customHeight="1">
      <c r="A21" s="126"/>
      <c r="B21" s="136" t="s">
        <v>160</v>
      </c>
      <c r="C21" s="143"/>
      <c r="D21" s="129"/>
      <c r="E21" s="129"/>
      <c r="F21" s="129"/>
      <c r="G21" s="134">
        <f>SUM(G22:G24)</f>
        <v>2672</v>
      </c>
      <c r="H21" s="131"/>
      <c r="I21" s="145">
        <f aca="true" t="shared" si="5" ref="I21:N21">SUM(I22:I24)</f>
        <v>1336</v>
      </c>
      <c r="J21" s="145">
        <f t="shared" si="5"/>
        <v>0</v>
      </c>
      <c r="K21" s="145">
        <f t="shared" si="5"/>
        <v>0</v>
      </c>
      <c r="L21" s="145">
        <f t="shared" si="5"/>
        <v>1336</v>
      </c>
      <c r="M21" s="145">
        <f t="shared" si="5"/>
        <v>0</v>
      </c>
      <c r="N21" s="145">
        <f t="shared" si="5"/>
        <v>0</v>
      </c>
      <c r="O21" s="145">
        <f t="shared" si="0"/>
        <v>2672</v>
      </c>
      <c r="P21" s="145">
        <f t="shared" si="1"/>
        <v>0</v>
      </c>
    </row>
    <row r="22" spans="1:16" ht="14.25" customHeight="1">
      <c r="A22" s="126"/>
      <c r="B22" s="144" t="s">
        <v>161</v>
      </c>
      <c r="C22" s="143" t="s">
        <v>147</v>
      </c>
      <c r="D22" s="129">
        <v>1</v>
      </c>
      <c r="E22" s="129">
        <v>150</v>
      </c>
      <c r="F22" s="129">
        <f>3*2</f>
        <v>6</v>
      </c>
      <c r="G22" s="130">
        <f t="shared" si="4"/>
        <v>900</v>
      </c>
      <c r="H22" s="131"/>
      <c r="I22" s="129">
        <f>$G$22/2</f>
        <v>450</v>
      </c>
      <c r="J22" s="129"/>
      <c r="K22" s="129"/>
      <c r="L22" s="129">
        <f>$G$22/2</f>
        <v>450</v>
      </c>
      <c r="M22" s="129"/>
      <c r="N22" s="129"/>
      <c r="O22" s="129">
        <f t="shared" si="0"/>
        <v>900</v>
      </c>
      <c r="P22" s="129">
        <f t="shared" si="1"/>
        <v>0</v>
      </c>
    </row>
    <row r="23" spans="1:16" ht="14.25" customHeight="1">
      <c r="A23" s="126"/>
      <c r="B23" s="144" t="s">
        <v>162</v>
      </c>
      <c r="C23" s="143" t="s">
        <v>147</v>
      </c>
      <c r="D23" s="129">
        <v>2</v>
      </c>
      <c r="E23" s="129">
        <v>141</v>
      </c>
      <c r="F23" s="129">
        <f>3*2</f>
        <v>6</v>
      </c>
      <c r="G23" s="130">
        <f t="shared" si="4"/>
        <v>1692</v>
      </c>
      <c r="H23" s="131"/>
      <c r="I23" s="129">
        <f>$G$23/2</f>
        <v>846</v>
      </c>
      <c r="J23" s="129"/>
      <c r="K23" s="129"/>
      <c r="L23" s="129">
        <f>$G$23/2</f>
        <v>846</v>
      </c>
      <c r="M23" s="129"/>
      <c r="N23" s="129"/>
      <c r="O23" s="129">
        <f t="shared" si="0"/>
        <v>1692</v>
      </c>
      <c r="P23" s="129">
        <f t="shared" si="1"/>
        <v>0</v>
      </c>
    </row>
    <row r="24" spans="1:16" ht="14.25" customHeight="1">
      <c r="A24" s="126"/>
      <c r="B24" s="144" t="s">
        <v>163</v>
      </c>
      <c r="C24" s="143" t="s">
        <v>164</v>
      </c>
      <c r="D24" s="129">
        <v>2</v>
      </c>
      <c r="E24" s="129">
        <v>10</v>
      </c>
      <c r="F24" s="129">
        <f>2*2</f>
        <v>4</v>
      </c>
      <c r="G24" s="130">
        <f t="shared" si="4"/>
        <v>80</v>
      </c>
      <c r="H24" s="131"/>
      <c r="I24" s="129">
        <f>$G$24/2</f>
        <v>40</v>
      </c>
      <c r="J24" s="129"/>
      <c r="K24" s="129"/>
      <c r="L24" s="129">
        <f>$G$24/2</f>
        <v>40</v>
      </c>
      <c r="M24" s="129"/>
      <c r="N24" s="129"/>
      <c r="O24" s="129">
        <f t="shared" si="0"/>
        <v>80</v>
      </c>
      <c r="P24" s="129">
        <f t="shared" si="1"/>
        <v>0</v>
      </c>
    </row>
    <row r="25" spans="1:16" ht="14.25" customHeight="1">
      <c r="A25" s="126"/>
      <c r="B25" s="146" t="s">
        <v>165</v>
      </c>
      <c r="C25" s="129"/>
      <c r="D25" s="129"/>
      <c r="E25" s="129"/>
      <c r="F25" s="129"/>
      <c r="G25" s="147">
        <f>G21+G11</f>
        <v>3920</v>
      </c>
      <c r="H25" s="131"/>
      <c r="I25" s="148">
        <f aca="true" t="shared" si="6" ref="I25:N25">I21+I11</f>
        <v>1960</v>
      </c>
      <c r="J25" s="148">
        <f t="shared" si="6"/>
        <v>0</v>
      </c>
      <c r="K25" s="148">
        <f t="shared" si="6"/>
        <v>0</v>
      </c>
      <c r="L25" s="148">
        <f t="shared" si="6"/>
        <v>1960</v>
      </c>
      <c r="M25" s="148">
        <f t="shared" si="6"/>
        <v>0</v>
      </c>
      <c r="N25" s="148">
        <f t="shared" si="6"/>
        <v>0</v>
      </c>
      <c r="O25" s="148">
        <f t="shared" si="0"/>
        <v>3920</v>
      </c>
      <c r="P25" s="148">
        <f t="shared" si="1"/>
        <v>0</v>
      </c>
    </row>
    <row r="26" spans="1:16" ht="60">
      <c r="A26" s="149"/>
      <c r="B26" s="150" t="s">
        <v>166</v>
      </c>
      <c r="C26" s="143"/>
      <c r="D26" s="143"/>
      <c r="E26" s="143"/>
      <c r="F26" s="143"/>
      <c r="G26" s="130"/>
      <c r="H26" s="131"/>
      <c r="I26" s="151"/>
      <c r="J26" s="151"/>
      <c r="K26" s="151">
        <f>G26</f>
        <v>0</v>
      </c>
      <c r="L26" s="151"/>
      <c r="M26" s="151"/>
      <c r="N26" s="151"/>
      <c r="O26" s="151">
        <f t="shared" si="0"/>
        <v>0</v>
      </c>
      <c r="P26" s="151">
        <f t="shared" si="1"/>
        <v>0</v>
      </c>
    </row>
    <row r="27" spans="1:16" ht="63">
      <c r="A27" s="143"/>
      <c r="B27" s="132" t="s">
        <v>167</v>
      </c>
      <c r="C27" s="143"/>
      <c r="D27" s="143"/>
      <c r="E27" s="143"/>
      <c r="F27" s="143"/>
      <c r="G27" s="130"/>
      <c r="H27" s="131"/>
      <c r="I27" s="151"/>
      <c r="J27" s="151"/>
      <c r="K27" s="151"/>
      <c r="L27" s="151"/>
      <c r="M27" s="151"/>
      <c r="N27" s="151"/>
      <c r="O27" s="151">
        <f t="shared" si="0"/>
        <v>0</v>
      </c>
      <c r="P27" s="151">
        <f t="shared" si="1"/>
        <v>0</v>
      </c>
    </row>
    <row r="28" spans="1:16" ht="14.25" customHeight="1">
      <c r="A28" s="126"/>
      <c r="B28" s="142" t="s">
        <v>146</v>
      </c>
      <c r="C28" s="143" t="s">
        <v>147</v>
      </c>
      <c r="D28" s="129">
        <v>1</v>
      </c>
      <c r="E28" s="129">
        <v>50</v>
      </c>
      <c r="F28" s="129">
        <f>1*2*5</f>
        <v>10</v>
      </c>
      <c r="G28" s="130">
        <f>D28*E28*F28</f>
        <v>500</v>
      </c>
      <c r="H28" s="131"/>
      <c r="I28" s="129">
        <f>$G$28/3</f>
        <v>166.66666666666666</v>
      </c>
      <c r="J28" s="129"/>
      <c r="K28" s="129">
        <f>$G$28/3</f>
        <v>166.66666666666666</v>
      </c>
      <c r="L28" s="129"/>
      <c r="M28" s="129">
        <f>$G$28/3</f>
        <v>166.66666666666666</v>
      </c>
      <c r="N28" s="129"/>
      <c r="O28" s="129">
        <f t="shared" si="0"/>
        <v>500</v>
      </c>
      <c r="P28" s="129">
        <f t="shared" si="1"/>
        <v>0</v>
      </c>
    </row>
    <row r="29" spans="1:16" ht="14.25" customHeight="1">
      <c r="A29" s="126"/>
      <c r="B29" s="142" t="s">
        <v>168</v>
      </c>
      <c r="C29" s="143" t="s">
        <v>149</v>
      </c>
      <c r="D29" s="129">
        <v>50</v>
      </c>
      <c r="E29" s="129">
        <v>7</v>
      </c>
      <c r="F29" s="129">
        <f aca="true" t="shared" si="7" ref="F29:F36">1*2*5</f>
        <v>10</v>
      </c>
      <c r="G29" s="130">
        <f aca="true" t="shared" si="8" ref="G29:G36">D29*E29*F29</f>
        <v>3500</v>
      </c>
      <c r="H29" s="131"/>
      <c r="I29" s="129">
        <f>$G$29/3</f>
        <v>1166.6666666666667</v>
      </c>
      <c r="J29" s="129"/>
      <c r="K29" s="129">
        <f>$G$29/3</f>
        <v>1166.6666666666667</v>
      </c>
      <c r="L29" s="129"/>
      <c r="M29" s="129">
        <f>$G$29/3</f>
        <v>1166.6666666666667</v>
      </c>
      <c r="N29" s="129"/>
      <c r="O29" s="129">
        <f t="shared" si="0"/>
        <v>3500</v>
      </c>
      <c r="P29" s="129">
        <f t="shared" si="1"/>
        <v>0</v>
      </c>
    </row>
    <row r="30" spans="1:16" ht="14.25" customHeight="1">
      <c r="A30" s="126"/>
      <c r="B30" s="142" t="s">
        <v>169</v>
      </c>
      <c r="C30" s="143" t="s">
        <v>149</v>
      </c>
      <c r="D30" s="129">
        <v>50</v>
      </c>
      <c r="E30" s="129">
        <v>5</v>
      </c>
      <c r="F30" s="129">
        <f t="shared" si="7"/>
        <v>10</v>
      </c>
      <c r="G30" s="130">
        <f t="shared" si="8"/>
        <v>2500</v>
      </c>
      <c r="H30" s="131"/>
      <c r="I30" s="129">
        <f>$G$30/3</f>
        <v>833.3333333333334</v>
      </c>
      <c r="J30" s="129"/>
      <c r="K30" s="129">
        <f>$G$30/3</f>
        <v>833.3333333333334</v>
      </c>
      <c r="L30" s="129"/>
      <c r="M30" s="129">
        <f>$G$30/3</f>
        <v>833.3333333333334</v>
      </c>
      <c r="N30" s="129"/>
      <c r="O30" s="129">
        <f t="shared" si="0"/>
        <v>2500</v>
      </c>
      <c r="P30" s="129">
        <f t="shared" si="1"/>
        <v>0</v>
      </c>
    </row>
    <row r="31" spans="1:16" ht="14.25" customHeight="1">
      <c r="A31" s="126"/>
      <c r="B31" s="142" t="s">
        <v>152</v>
      </c>
      <c r="C31" s="143" t="s">
        <v>153</v>
      </c>
      <c r="D31" s="129">
        <v>2</v>
      </c>
      <c r="E31" s="129">
        <v>13</v>
      </c>
      <c r="F31" s="129">
        <f t="shared" si="7"/>
        <v>10</v>
      </c>
      <c r="G31" s="130">
        <f t="shared" si="8"/>
        <v>260</v>
      </c>
      <c r="H31" s="131"/>
      <c r="I31" s="129">
        <f>$G$31/3</f>
        <v>86.66666666666667</v>
      </c>
      <c r="J31" s="129"/>
      <c r="K31" s="129">
        <f>$G$31/3</f>
        <v>86.66666666666667</v>
      </c>
      <c r="L31" s="129"/>
      <c r="M31" s="129">
        <f>$G$31/3</f>
        <v>86.66666666666667</v>
      </c>
      <c r="N31" s="129"/>
      <c r="O31" s="129">
        <f t="shared" si="0"/>
        <v>260</v>
      </c>
      <c r="P31" s="129">
        <f t="shared" si="1"/>
        <v>0</v>
      </c>
    </row>
    <row r="32" spans="1:16" ht="14.25" customHeight="1">
      <c r="A32" s="126"/>
      <c r="B32" s="142" t="s">
        <v>154</v>
      </c>
      <c r="C32" s="143" t="s">
        <v>155</v>
      </c>
      <c r="D32" s="129">
        <v>1</v>
      </c>
      <c r="E32" s="129">
        <v>5</v>
      </c>
      <c r="F32" s="129">
        <f t="shared" si="7"/>
        <v>10</v>
      </c>
      <c r="G32" s="130">
        <f t="shared" si="8"/>
        <v>50</v>
      </c>
      <c r="H32" s="131"/>
      <c r="I32" s="129">
        <f>$G$32/3</f>
        <v>16.666666666666668</v>
      </c>
      <c r="J32" s="129"/>
      <c r="K32" s="129">
        <f>$G$32/3</f>
        <v>16.666666666666668</v>
      </c>
      <c r="L32" s="129"/>
      <c r="M32" s="129">
        <f>$G$32/3</f>
        <v>16.666666666666668</v>
      </c>
      <c r="N32" s="129"/>
      <c r="O32" s="129">
        <f t="shared" si="0"/>
        <v>50</v>
      </c>
      <c r="P32" s="129">
        <f t="shared" si="1"/>
        <v>0</v>
      </c>
    </row>
    <row r="33" spans="1:16" ht="14.25" customHeight="1">
      <c r="A33" s="126"/>
      <c r="B33" s="142" t="s">
        <v>156</v>
      </c>
      <c r="C33" s="143" t="s">
        <v>153</v>
      </c>
      <c r="D33" s="129">
        <v>60</v>
      </c>
      <c r="E33" s="129">
        <v>1</v>
      </c>
      <c r="F33" s="129">
        <f t="shared" si="7"/>
        <v>10</v>
      </c>
      <c r="G33" s="130">
        <f t="shared" si="8"/>
        <v>600</v>
      </c>
      <c r="H33" s="131"/>
      <c r="I33" s="129">
        <f>$G$33/3</f>
        <v>200</v>
      </c>
      <c r="J33" s="129"/>
      <c r="K33" s="129">
        <f>$G$33/3</f>
        <v>200</v>
      </c>
      <c r="L33" s="129"/>
      <c r="M33" s="129">
        <f>$G$33/3</f>
        <v>200</v>
      </c>
      <c r="N33" s="129"/>
      <c r="O33" s="129">
        <f t="shared" si="0"/>
        <v>600</v>
      </c>
      <c r="P33" s="129">
        <f t="shared" si="1"/>
        <v>0</v>
      </c>
    </row>
    <row r="34" spans="1:16" ht="14.25" customHeight="1">
      <c r="A34" s="126"/>
      <c r="B34" s="144" t="s">
        <v>157</v>
      </c>
      <c r="C34" s="143" t="s">
        <v>153</v>
      </c>
      <c r="D34" s="129">
        <v>1</v>
      </c>
      <c r="E34" s="129">
        <v>6</v>
      </c>
      <c r="F34" s="129">
        <f t="shared" si="7"/>
        <v>10</v>
      </c>
      <c r="G34" s="130">
        <f t="shared" si="8"/>
        <v>60</v>
      </c>
      <c r="H34" s="131"/>
      <c r="I34" s="129">
        <f>$G$34/3</f>
        <v>20</v>
      </c>
      <c r="J34" s="129"/>
      <c r="K34" s="129">
        <f>$G$34/3</f>
        <v>20</v>
      </c>
      <c r="L34" s="129"/>
      <c r="M34" s="129">
        <f>$G$34/3</f>
        <v>20</v>
      </c>
      <c r="N34" s="129"/>
      <c r="O34" s="129">
        <f t="shared" si="0"/>
        <v>60</v>
      </c>
      <c r="P34" s="129">
        <f t="shared" si="1"/>
        <v>0</v>
      </c>
    </row>
    <row r="35" spans="1:16" ht="14.25" customHeight="1">
      <c r="A35" s="126"/>
      <c r="B35" s="142" t="s">
        <v>158</v>
      </c>
      <c r="C35" s="143" t="s">
        <v>153</v>
      </c>
      <c r="D35" s="129">
        <v>1</v>
      </c>
      <c r="E35" s="129">
        <v>6</v>
      </c>
      <c r="F35" s="129">
        <f t="shared" si="7"/>
        <v>10</v>
      </c>
      <c r="G35" s="130">
        <f t="shared" si="8"/>
        <v>60</v>
      </c>
      <c r="H35" s="131"/>
      <c r="I35" s="129">
        <f>$G$35/3</f>
        <v>20</v>
      </c>
      <c r="J35" s="129"/>
      <c r="K35" s="129">
        <f>$G$35/3</f>
        <v>20</v>
      </c>
      <c r="L35" s="129"/>
      <c r="M35" s="129">
        <f>$G$35/3</f>
        <v>20</v>
      </c>
      <c r="N35" s="129"/>
      <c r="O35" s="129">
        <f t="shared" si="0"/>
        <v>60</v>
      </c>
      <c r="P35" s="129">
        <f t="shared" si="1"/>
        <v>0</v>
      </c>
    </row>
    <row r="36" spans="1:16" ht="14.25" customHeight="1">
      <c r="A36" s="126"/>
      <c r="B36" s="142" t="s">
        <v>159</v>
      </c>
      <c r="C36" s="143" t="s">
        <v>153</v>
      </c>
      <c r="D36" s="129">
        <v>1</v>
      </c>
      <c r="E36" s="129">
        <v>2</v>
      </c>
      <c r="F36" s="129">
        <f t="shared" si="7"/>
        <v>10</v>
      </c>
      <c r="G36" s="130">
        <f t="shared" si="8"/>
        <v>20</v>
      </c>
      <c r="H36" s="131"/>
      <c r="I36" s="129">
        <f>$G$36/3</f>
        <v>6.666666666666667</v>
      </c>
      <c r="J36" s="129"/>
      <c r="K36" s="129">
        <f>$G$36/3</f>
        <v>6.666666666666667</v>
      </c>
      <c r="L36" s="129"/>
      <c r="M36" s="129">
        <f>$G$36/3</f>
        <v>6.666666666666667</v>
      </c>
      <c r="N36" s="129"/>
      <c r="O36" s="129">
        <f t="shared" si="0"/>
        <v>20</v>
      </c>
      <c r="P36" s="129">
        <f t="shared" si="1"/>
        <v>0</v>
      </c>
    </row>
    <row r="37" spans="1:16" ht="14.25" customHeight="1">
      <c r="A37" s="126"/>
      <c r="B37" s="144" t="s">
        <v>170</v>
      </c>
      <c r="C37" s="143" t="s">
        <v>147</v>
      </c>
      <c r="D37" s="129">
        <v>1</v>
      </c>
      <c r="E37" s="129">
        <v>150</v>
      </c>
      <c r="F37" s="129">
        <f>1*3*5</f>
        <v>15</v>
      </c>
      <c r="G37" s="130">
        <f>D37*E37*F37</f>
        <v>2250</v>
      </c>
      <c r="H37" s="131"/>
      <c r="I37" s="129">
        <f>$G$37/3</f>
        <v>750</v>
      </c>
      <c r="J37" s="129"/>
      <c r="K37" s="129">
        <f>$G$37/3</f>
        <v>750</v>
      </c>
      <c r="L37" s="129"/>
      <c r="M37" s="129">
        <f>$G$37/3</f>
        <v>750</v>
      </c>
      <c r="N37" s="129"/>
      <c r="O37" s="129">
        <f t="shared" si="0"/>
        <v>2250</v>
      </c>
      <c r="P37" s="129">
        <f t="shared" si="1"/>
        <v>0</v>
      </c>
    </row>
    <row r="38" spans="1:16" ht="14.25" customHeight="1">
      <c r="A38" s="126"/>
      <c r="B38" s="144" t="s">
        <v>171</v>
      </c>
      <c r="C38" s="143" t="s">
        <v>172</v>
      </c>
      <c r="D38" s="129">
        <v>1</v>
      </c>
      <c r="E38" s="129">
        <v>20</v>
      </c>
      <c r="F38" s="129">
        <f>1*3*5</f>
        <v>15</v>
      </c>
      <c r="G38" s="130">
        <f>D38*E38*F38</f>
        <v>300</v>
      </c>
      <c r="H38" s="131"/>
      <c r="I38" s="129">
        <f>$G$38/3</f>
        <v>100</v>
      </c>
      <c r="J38" s="129"/>
      <c r="K38" s="129">
        <f>$G$38/3</f>
        <v>100</v>
      </c>
      <c r="L38" s="129"/>
      <c r="M38" s="129">
        <f>$G$38/3</f>
        <v>100</v>
      </c>
      <c r="N38" s="129"/>
      <c r="O38" s="129">
        <f t="shared" si="0"/>
        <v>300</v>
      </c>
      <c r="P38" s="129">
        <f t="shared" si="1"/>
        <v>0</v>
      </c>
    </row>
    <row r="39" spans="1:16" ht="14.25" customHeight="1">
      <c r="A39" s="126"/>
      <c r="B39" s="144" t="s">
        <v>173</v>
      </c>
      <c r="C39" s="143" t="s">
        <v>164</v>
      </c>
      <c r="D39" s="129">
        <v>1</v>
      </c>
      <c r="E39" s="129">
        <v>10</v>
      </c>
      <c r="F39" s="129">
        <f>1*3*5</f>
        <v>15</v>
      </c>
      <c r="G39" s="130">
        <f>D39*E39*F39</f>
        <v>150</v>
      </c>
      <c r="H39" s="131"/>
      <c r="I39" s="129">
        <f>$G$39/3</f>
        <v>50</v>
      </c>
      <c r="J39" s="129"/>
      <c r="K39" s="129">
        <f>$G$39/3</f>
        <v>50</v>
      </c>
      <c r="L39" s="129"/>
      <c r="M39" s="129">
        <f>$G$39/3</f>
        <v>50</v>
      </c>
      <c r="N39" s="129"/>
      <c r="O39" s="129">
        <f t="shared" si="0"/>
        <v>150</v>
      </c>
      <c r="P39" s="129">
        <f t="shared" si="1"/>
        <v>0</v>
      </c>
    </row>
    <row r="40" spans="1:16" ht="15.75">
      <c r="A40" s="143"/>
      <c r="B40" s="146" t="s">
        <v>174</v>
      </c>
      <c r="C40" s="143"/>
      <c r="D40" s="143"/>
      <c r="E40" s="143"/>
      <c r="F40" s="143"/>
      <c r="G40" s="147">
        <f>SUM(G28:G39)</f>
        <v>10250</v>
      </c>
      <c r="H40" s="131"/>
      <c r="I40" s="148">
        <f aca="true" t="shared" si="9" ref="I40:N40">SUM(I28:I39)</f>
        <v>3416.6666666666665</v>
      </c>
      <c r="J40" s="148">
        <f t="shared" si="9"/>
        <v>0</v>
      </c>
      <c r="K40" s="148">
        <f t="shared" si="9"/>
        <v>3416.6666666666665</v>
      </c>
      <c r="L40" s="148">
        <f t="shared" si="9"/>
        <v>0</v>
      </c>
      <c r="M40" s="148">
        <f t="shared" si="9"/>
        <v>3416.6666666666665</v>
      </c>
      <c r="N40" s="148">
        <f t="shared" si="9"/>
        <v>0</v>
      </c>
      <c r="O40" s="148">
        <f t="shared" si="0"/>
        <v>10250</v>
      </c>
      <c r="P40" s="148">
        <f t="shared" si="1"/>
        <v>0</v>
      </c>
    </row>
    <row r="41" spans="1:16" ht="47.25">
      <c r="A41" s="143"/>
      <c r="B41" s="132" t="s">
        <v>175</v>
      </c>
      <c r="C41" s="143"/>
      <c r="D41" s="143"/>
      <c r="E41" s="143"/>
      <c r="F41" s="143"/>
      <c r="G41" s="130"/>
      <c r="H41" s="152"/>
      <c r="I41" s="151"/>
      <c r="J41" s="151"/>
      <c r="K41" s="151"/>
      <c r="L41" s="153"/>
      <c r="M41" s="151"/>
      <c r="N41" s="151"/>
      <c r="O41" s="151">
        <f t="shared" si="0"/>
        <v>0</v>
      </c>
      <c r="P41" s="151">
        <f t="shared" si="1"/>
        <v>0</v>
      </c>
    </row>
    <row r="42" spans="1:16" s="157" customFormat="1" ht="15.75">
      <c r="A42" s="154"/>
      <c r="B42" s="136" t="s">
        <v>176</v>
      </c>
      <c r="C42" s="154"/>
      <c r="D42" s="154"/>
      <c r="E42" s="154"/>
      <c r="F42" s="154"/>
      <c r="G42" s="155">
        <f>SUM(G43:G48)</f>
        <v>3330</v>
      </c>
      <c r="H42" s="152"/>
      <c r="I42" s="156">
        <f aca="true" t="shared" si="10" ref="I42:N42">SUM(I43:I48)</f>
        <v>555</v>
      </c>
      <c r="J42" s="156">
        <f t="shared" si="10"/>
        <v>555</v>
      </c>
      <c r="K42" s="156">
        <f t="shared" si="10"/>
        <v>555</v>
      </c>
      <c r="L42" s="156">
        <f t="shared" si="10"/>
        <v>555</v>
      </c>
      <c r="M42" s="156">
        <f t="shared" si="10"/>
        <v>555</v>
      </c>
      <c r="N42" s="156">
        <f t="shared" si="10"/>
        <v>555</v>
      </c>
      <c r="O42" s="156">
        <f t="shared" si="0"/>
        <v>3330</v>
      </c>
      <c r="P42" s="156">
        <f t="shared" si="1"/>
        <v>0</v>
      </c>
    </row>
    <row r="43" spans="1:16" ht="14.25" customHeight="1">
      <c r="A43" s="126"/>
      <c r="B43" s="142" t="s">
        <v>152</v>
      </c>
      <c r="C43" s="143" t="s">
        <v>153</v>
      </c>
      <c r="D43" s="129">
        <v>2</v>
      </c>
      <c r="E43" s="129">
        <v>13</v>
      </c>
      <c r="F43" s="129">
        <f>5*6</f>
        <v>30</v>
      </c>
      <c r="G43" s="130">
        <f aca="true" t="shared" si="11" ref="G43:G52">D43*E43*F43</f>
        <v>780</v>
      </c>
      <c r="H43" s="152"/>
      <c r="I43" s="129">
        <f aca="true" t="shared" si="12" ref="I43:N43">$G$43/6</f>
        <v>130</v>
      </c>
      <c r="J43" s="129">
        <f t="shared" si="12"/>
        <v>130</v>
      </c>
      <c r="K43" s="129">
        <f t="shared" si="12"/>
        <v>130</v>
      </c>
      <c r="L43" s="129">
        <f t="shared" si="12"/>
        <v>130</v>
      </c>
      <c r="M43" s="129">
        <f t="shared" si="12"/>
        <v>130</v>
      </c>
      <c r="N43" s="129">
        <f t="shared" si="12"/>
        <v>130</v>
      </c>
      <c r="O43" s="129">
        <f t="shared" si="0"/>
        <v>780</v>
      </c>
      <c r="P43" s="129">
        <f t="shared" si="1"/>
        <v>0</v>
      </c>
    </row>
    <row r="44" spans="1:16" ht="14.25" customHeight="1">
      <c r="A44" s="126"/>
      <c r="B44" s="142" t="s">
        <v>154</v>
      </c>
      <c r="C44" s="143" t="s">
        <v>155</v>
      </c>
      <c r="D44" s="129">
        <v>1</v>
      </c>
      <c r="E44" s="129">
        <v>5</v>
      </c>
      <c r="F44" s="129">
        <f aca="true" t="shared" si="13" ref="F44:F52">5*6</f>
        <v>30</v>
      </c>
      <c r="G44" s="130">
        <f t="shared" si="11"/>
        <v>150</v>
      </c>
      <c r="H44" s="152"/>
      <c r="I44" s="129">
        <f aca="true" t="shared" si="14" ref="I44:N44">$G$44/6</f>
        <v>25</v>
      </c>
      <c r="J44" s="129">
        <f t="shared" si="14"/>
        <v>25</v>
      </c>
      <c r="K44" s="129">
        <f t="shared" si="14"/>
        <v>25</v>
      </c>
      <c r="L44" s="129">
        <f t="shared" si="14"/>
        <v>25</v>
      </c>
      <c r="M44" s="129">
        <f t="shared" si="14"/>
        <v>25</v>
      </c>
      <c r="N44" s="129">
        <f t="shared" si="14"/>
        <v>25</v>
      </c>
      <c r="O44" s="129">
        <f t="shared" si="0"/>
        <v>150</v>
      </c>
      <c r="P44" s="129">
        <f t="shared" si="1"/>
        <v>0</v>
      </c>
    </row>
    <row r="45" spans="1:16" ht="14.25" customHeight="1">
      <c r="A45" s="126"/>
      <c r="B45" s="142" t="s">
        <v>156</v>
      </c>
      <c r="C45" s="143" t="s">
        <v>153</v>
      </c>
      <c r="D45" s="129">
        <v>60</v>
      </c>
      <c r="E45" s="129">
        <v>1</v>
      </c>
      <c r="F45" s="129">
        <f t="shared" si="13"/>
        <v>30</v>
      </c>
      <c r="G45" s="130">
        <f t="shared" si="11"/>
        <v>1800</v>
      </c>
      <c r="H45" s="152"/>
      <c r="I45" s="129">
        <f aca="true" t="shared" si="15" ref="I45:N45">$G$45/6</f>
        <v>300</v>
      </c>
      <c r="J45" s="129">
        <f t="shared" si="15"/>
        <v>300</v>
      </c>
      <c r="K45" s="129">
        <f t="shared" si="15"/>
        <v>300</v>
      </c>
      <c r="L45" s="129">
        <f t="shared" si="15"/>
        <v>300</v>
      </c>
      <c r="M45" s="129">
        <f t="shared" si="15"/>
        <v>300</v>
      </c>
      <c r="N45" s="129">
        <f t="shared" si="15"/>
        <v>300</v>
      </c>
      <c r="O45" s="129">
        <f t="shared" si="0"/>
        <v>1800</v>
      </c>
      <c r="P45" s="129">
        <f t="shared" si="1"/>
        <v>0</v>
      </c>
    </row>
    <row r="46" spans="1:16" ht="14.25" customHeight="1">
      <c r="A46" s="126"/>
      <c r="B46" s="144" t="s">
        <v>157</v>
      </c>
      <c r="C46" s="143" t="s">
        <v>153</v>
      </c>
      <c r="D46" s="129">
        <v>2</v>
      </c>
      <c r="E46" s="129">
        <v>6</v>
      </c>
      <c r="F46" s="129">
        <f t="shared" si="13"/>
        <v>30</v>
      </c>
      <c r="G46" s="130">
        <f t="shared" si="11"/>
        <v>360</v>
      </c>
      <c r="H46" s="152"/>
      <c r="I46" s="129">
        <f aca="true" t="shared" si="16" ref="I46:N46">$G$46/6</f>
        <v>60</v>
      </c>
      <c r="J46" s="129">
        <f t="shared" si="16"/>
        <v>60</v>
      </c>
      <c r="K46" s="129">
        <f t="shared" si="16"/>
        <v>60</v>
      </c>
      <c r="L46" s="129">
        <f t="shared" si="16"/>
        <v>60</v>
      </c>
      <c r="M46" s="129">
        <f t="shared" si="16"/>
        <v>60</v>
      </c>
      <c r="N46" s="129">
        <f t="shared" si="16"/>
        <v>60</v>
      </c>
      <c r="O46" s="129">
        <f t="shared" si="0"/>
        <v>360</v>
      </c>
      <c r="P46" s="129">
        <f t="shared" si="1"/>
        <v>0</v>
      </c>
    </row>
    <row r="47" spans="1:16" ht="14.25" customHeight="1">
      <c r="A47" s="126"/>
      <c r="B47" s="142" t="s">
        <v>158</v>
      </c>
      <c r="C47" s="143" t="s">
        <v>153</v>
      </c>
      <c r="D47" s="129">
        <v>1</v>
      </c>
      <c r="E47" s="129">
        <v>6</v>
      </c>
      <c r="F47" s="129">
        <f t="shared" si="13"/>
        <v>30</v>
      </c>
      <c r="G47" s="130">
        <f t="shared" si="11"/>
        <v>180</v>
      </c>
      <c r="H47" s="152"/>
      <c r="I47" s="129">
        <f aca="true" t="shared" si="17" ref="I47:N47">$G$47/6</f>
        <v>30</v>
      </c>
      <c r="J47" s="129">
        <f t="shared" si="17"/>
        <v>30</v>
      </c>
      <c r="K47" s="129">
        <f t="shared" si="17"/>
        <v>30</v>
      </c>
      <c r="L47" s="129">
        <f t="shared" si="17"/>
        <v>30</v>
      </c>
      <c r="M47" s="129">
        <f t="shared" si="17"/>
        <v>30</v>
      </c>
      <c r="N47" s="129">
        <f t="shared" si="17"/>
        <v>30</v>
      </c>
      <c r="O47" s="129">
        <f t="shared" si="0"/>
        <v>180</v>
      </c>
      <c r="P47" s="129">
        <f t="shared" si="1"/>
        <v>0</v>
      </c>
    </row>
    <row r="48" spans="1:16" ht="14.25" customHeight="1">
      <c r="A48" s="126"/>
      <c r="B48" s="142" t="s">
        <v>159</v>
      </c>
      <c r="C48" s="143" t="s">
        <v>153</v>
      </c>
      <c r="D48" s="129">
        <v>1</v>
      </c>
      <c r="E48" s="129">
        <v>2</v>
      </c>
      <c r="F48" s="129">
        <f t="shared" si="13"/>
        <v>30</v>
      </c>
      <c r="G48" s="130">
        <f t="shared" si="11"/>
        <v>60</v>
      </c>
      <c r="H48" s="152"/>
      <c r="I48" s="129">
        <f aca="true" t="shared" si="18" ref="I48:N48">$G$48/6</f>
        <v>10</v>
      </c>
      <c r="J48" s="129">
        <f t="shared" si="18"/>
        <v>10</v>
      </c>
      <c r="K48" s="129">
        <f t="shared" si="18"/>
        <v>10</v>
      </c>
      <c r="L48" s="129">
        <f t="shared" si="18"/>
        <v>10</v>
      </c>
      <c r="M48" s="129">
        <f t="shared" si="18"/>
        <v>10</v>
      </c>
      <c r="N48" s="129">
        <f t="shared" si="18"/>
        <v>10</v>
      </c>
      <c r="O48" s="129">
        <f t="shared" si="0"/>
        <v>60</v>
      </c>
      <c r="P48" s="129">
        <f t="shared" si="1"/>
        <v>0</v>
      </c>
    </row>
    <row r="49" spans="1:16" s="157" customFormat="1" ht="15.75">
      <c r="A49" s="154"/>
      <c r="B49" s="158" t="s">
        <v>177</v>
      </c>
      <c r="C49" s="154"/>
      <c r="D49" s="154"/>
      <c r="E49" s="154"/>
      <c r="F49" s="154"/>
      <c r="G49" s="155">
        <f>SUM(G50:G52)</f>
        <v>8550</v>
      </c>
      <c r="H49" s="152"/>
      <c r="I49" s="137">
        <f aca="true" t="shared" si="19" ref="I49:N49">$G$49/6</f>
        <v>1425</v>
      </c>
      <c r="J49" s="137">
        <f t="shared" si="19"/>
        <v>1425</v>
      </c>
      <c r="K49" s="137">
        <f t="shared" si="19"/>
        <v>1425</v>
      </c>
      <c r="L49" s="137">
        <f t="shared" si="19"/>
        <v>1425</v>
      </c>
      <c r="M49" s="137">
        <f t="shared" si="19"/>
        <v>1425</v>
      </c>
      <c r="N49" s="137">
        <f t="shared" si="19"/>
        <v>1425</v>
      </c>
      <c r="O49" s="137">
        <f t="shared" si="0"/>
        <v>8550</v>
      </c>
      <c r="P49" s="137">
        <f t="shared" si="1"/>
        <v>0</v>
      </c>
    </row>
    <row r="50" spans="1:16" ht="15.75">
      <c r="A50" s="143"/>
      <c r="B50" s="146" t="s">
        <v>178</v>
      </c>
      <c r="C50" s="143" t="s">
        <v>179</v>
      </c>
      <c r="D50" s="143">
        <v>95</v>
      </c>
      <c r="E50" s="143">
        <v>1</v>
      </c>
      <c r="F50" s="129">
        <f t="shared" si="13"/>
        <v>30</v>
      </c>
      <c r="G50" s="130">
        <f t="shared" si="11"/>
        <v>2850</v>
      </c>
      <c r="H50" s="152"/>
      <c r="I50" s="129">
        <f aca="true" t="shared" si="20" ref="I50:N50">$G$50/6</f>
        <v>475</v>
      </c>
      <c r="J50" s="129">
        <f t="shared" si="20"/>
        <v>475</v>
      </c>
      <c r="K50" s="129">
        <f t="shared" si="20"/>
        <v>475</v>
      </c>
      <c r="L50" s="129">
        <f t="shared" si="20"/>
        <v>475</v>
      </c>
      <c r="M50" s="129">
        <f t="shared" si="20"/>
        <v>475</v>
      </c>
      <c r="N50" s="129">
        <f t="shared" si="20"/>
        <v>475</v>
      </c>
      <c r="O50" s="129">
        <f t="shared" si="0"/>
        <v>2850</v>
      </c>
      <c r="P50" s="129">
        <f t="shared" si="1"/>
        <v>0</v>
      </c>
    </row>
    <row r="51" spans="1:16" ht="15.75">
      <c r="A51" s="143"/>
      <c r="B51" s="146" t="s">
        <v>180</v>
      </c>
      <c r="C51" s="143" t="s">
        <v>181</v>
      </c>
      <c r="D51" s="143">
        <v>95</v>
      </c>
      <c r="E51" s="143">
        <v>1</v>
      </c>
      <c r="F51" s="129">
        <f t="shared" si="13"/>
        <v>30</v>
      </c>
      <c r="G51" s="130">
        <f t="shared" si="11"/>
        <v>2850</v>
      </c>
      <c r="H51" s="152"/>
      <c r="I51" s="129">
        <f aca="true" t="shared" si="21" ref="I51:N51">$G$51/6</f>
        <v>475</v>
      </c>
      <c r="J51" s="129">
        <f t="shared" si="21"/>
        <v>475</v>
      </c>
      <c r="K51" s="129">
        <f t="shared" si="21"/>
        <v>475</v>
      </c>
      <c r="L51" s="129">
        <f t="shared" si="21"/>
        <v>475</v>
      </c>
      <c r="M51" s="129">
        <f t="shared" si="21"/>
        <v>475</v>
      </c>
      <c r="N51" s="129">
        <f t="shared" si="21"/>
        <v>475</v>
      </c>
      <c r="O51" s="129">
        <f t="shared" si="0"/>
        <v>2850</v>
      </c>
      <c r="P51" s="129">
        <f t="shared" si="1"/>
        <v>0</v>
      </c>
    </row>
    <row r="52" spans="1:16" ht="15.75">
      <c r="A52" s="143"/>
      <c r="B52" s="146" t="s">
        <v>182</v>
      </c>
      <c r="C52" s="143" t="s">
        <v>179</v>
      </c>
      <c r="D52" s="143">
        <v>95</v>
      </c>
      <c r="E52" s="143">
        <v>1</v>
      </c>
      <c r="F52" s="129">
        <f t="shared" si="13"/>
        <v>30</v>
      </c>
      <c r="G52" s="130">
        <f t="shared" si="11"/>
        <v>2850</v>
      </c>
      <c r="H52" s="152"/>
      <c r="I52" s="129">
        <f aca="true" t="shared" si="22" ref="I52:N52">$G$52/6</f>
        <v>475</v>
      </c>
      <c r="J52" s="129">
        <f t="shared" si="22"/>
        <v>475</v>
      </c>
      <c r="K52" s="129">
        <f t="shared" si="22"/>
        <v>475</v>
      </c>
      <c r="L52" s="129">
        <f t="shared" si="22"/>
        <v>475</v>
      </c>
      <c r="M52" s="129">
        <f t="shared" si="22"/>
        <v>475</v>
      </c>
      <c r="N52" s="129">
        <f t="shared" si="22"/>
        <v>475</v>
      </c>
      <c r="O52" s="129">
        <f t="shared" si="0"/>
        <v>2850</v>
      </c>
      <c r="P52" s="129">
        <f t="shared" si="1"/>
        <v>0</v>
      </c>
    </row>
    <row r="53" spans="1:16" s="157" customFormat="1" ht="31.5">
      <c r="A53" s="154"/>
      <c r="B53" s="136" t="s">
        <v>183</v>
      </c>
      <c r="C53" s="154"/>
      <c r="D53" s="154"/>
      <c r="E53" s="154"/>
      <c r="F53" s="154"/>
      <c r="G53" s="155">
        <f>G54</f>
        <v>960</v>
      </c>
      <c r="H53" s="152"/>
      <c r="I53" s="129">
        <f aca="true" t="shared" si="23" ref="I53:N53">$G$53/6</f>
        <v>160</v>
      </c>
      <c r="J53" s="129">
        <f t="shared" si="23"/>
        <v>160</v>
      </c>
      <c r="K53" s="129">
        <f t="shared" si="23"/>
        <v>160</v>
      </c>
      <c r="L53" s="129">
        <f t="shared" si="23"/>
        <v>160</v>
      </c>
      <c r="M53" s="129">
        <f t="shared" si="23"/>
        <v>160</v>
      </c>
      <c r="N53" s="129">
        <f t="shared" si="23"/>
        <v>160</v>
      </c>
      <c r="O53" s="129">
        <f t="shared" si="0"/>
        <v>960</v>
      </c>
      <c r="P53" s="129">
        <f t="shared" si="1"/>
        <v>0</v>
      </c>
    </row>
    <row r="54" spans="1:16" ht="14.25" customHeight="1">
      <c r="A54" s="126"/>
      <c r="B54" s="142" t="s">
        <v>184</v>
      </c>
      <c r="C54" s="143" t="s">
        <v>185</v>
      </c>
      <c r="D54" s="129">
        <v>32</v>
      </c>
      <c r="E54" s="129">
        <v>5</v>
      </c>
      <c r="F54" s="129">
        <f>1*6</f>
        <v>6</v>
      </c>
      <c r="G54" s="130">
        <f>D54*E54*F54</f>
        <v>960</v>
      </c>
      <c r="H54" s="131"/>
      <c r="I54" s="129">
        <f aca="true" t="shared" si="24" ref="I54:N54">$G$54/6</f>
        <v>160</v>
      </c>
      <c r="J54" s="129">
        <f t="shared" si="24"/>
        <v>160</v>
      </c>
      <c r="K54" s="129">
        <f t="shared" si="24"/>
        <v>160</v>
      </c>
      <c r="L54" s="129">
        <f t="shared" si="24"/>
        <v>160</v>
      </c>
      <c r="M54" s="129">
        <f t="shared" si="24"/>
        <v>160</v>
      </c>
      <c r="N54" s="129">
        <f t="shared" si="24"/>
        <v>160</v>
      </c>
      <c r="O54" s="129">
        <f t="shared" si="0"/>
        <v>960</v>
      </c>
      <c r="P54" s="129">
        <f t="shared" si="1"/>
        <v>0</v>
      </c>
    </row>
    <row r="55" spans="1:16" ht="15.75">
      <c r="A55" s="143"/>
      <c r="B55" s="146" t="s">
        <v>186</v>
      </c>
      <c r="C55" s="143"/>
      <c r="D55" s="143"/>
      <c r="E55" s="143"/>
      <c r="F55" s="143"/>
      <c r="G55" s="147">
        <f>G53+G49+G42</f>
        <v>12840</v>
      </c>
      <c r="H55" s="152"/>
      <c r="I55" s="148">
        <f aca="true" t="shared" si="25" ref="I55:N55">I53+I49+I42</f>
        <v>2140</v>
      </c>
      <c r="J55" s="148">
        <f t="shared" si="25"/>
        <v>2140</v>
      </c>
      <c r="K55" s="148">
        <f t="shared" si="25"/>
        <v>2140</v>
      </c>
      <c r="L55" s="148">
        <f t="shared" si="25"/>
        <v>2140</v>
      </c>
      <c r="M55" s="148">
        <f t="shared" si="25"/>
        <v>2140</v>
      </c>
      <c r="N55" s="148">
        <f t="shared" si="25"/>
        <v>2140</v>
      </c>
      <c r="O55" s="148">
        <f t="shared" si="0"/>
        <v>12840</v>
      </c>
      <c r="P55" s="148">
        <f t="shared" si="1"/>
        <v>0</v>
      </c>
    </row>
    <row r="56" spans="1:16" ht="31.5">
      <c r="A56" s="143"/>
      <c r="B56" s="132" t="s">
        <v>187</v>
      </c>
      <c r="C56" s="143"/>
      <c r="D56" s="143">
        <v>6</v>
      </c>
      <c r="E56" s="143">
        <v>13200</v>
      </c>
      <c r="F56" s="143">
        <v>1</v>
      </c>
      <c r="G56" s="130"/>
      <c r="H56" s="152"/>
      <c r="I56" s="151"/>
      <c r="J56" s="151"/>
      <c r="K56" s="151"/>
      <c r="L56" s="151"/>
      <c r="M56" s="151"/>
      <c r="N56" s="151"/>
      <c r="O56" s="151">
        <f t="shared" si="0"/>
        <v>0</v>
      </c>
      <c r="P56" s="151">
        <f t="shared" si="1"/>
        <v>0</v>
      </c>
    </row>
    <row r="57" spans="1:16" ht="31.5">
      <c r="A57" s="143"/>
      <c r="B57" s="159" t="s">
        <v>188</v>
      </c>
      <c r="C57" s="143"/>
      <c r="D57" s="143">
        <v>6</v>
      </c>
      <c r="E57" s="143">
        <v>0</v>
      </c>
      <c r="F57" s="143">
        <v>1</v>
      </c>
      <c r="G57" s="130">
        <f>D57*E57*F57</f>
        <v>0</v>
      </c>
      <c r="H57" s="152"/>
      <c r="I57" s="151">
        <v>0</v>
      </c>
      <c r="J57" s="151">
        <v>0</v>
      </c>
      <c r="K57" s="151">
        <v>0</v>
      </c>
      <c r="L57" s="151">
        <v>0</v>
      </c>
      <c r="M57" s="151">
        <v>0</v>
      </c>
      <c r="N57" s="151">
        <v>0</v>
      </c>
      <c r="O57" s="151">
        <v>0</v>
      </c>
      <c r="P57" s="151"/>
    </row>
    <row r="58" spans="1:16" ht="15.75">
      <c r="A58" s="143"/>
      <c r="B58" s="146" t="s">
        <v>189</v>
      </c>
      <c r="C58" s="143" t="s">
        <v>190</v>
      </c>
      <c r="D58" s="143">
        <v>1</v>
      </c>
      <c r="E58" s="143">
        <v>1850</v>
      </c>
      <c r="F58" s="143">
        <f>6</f>
        <v>6</v>
      </c>
      <c r="G58" s="130">
        <f>D58*E58*F58</f>
        <v>11100</v>
      </c>
      <c r="H58" s="152"/>
      <c r="I58" s="151">
        <f aca="true" t="shared" si="26" ref="I58:N58">$G$58/6</f>
        <v>1850</v>
      </c>
      <c r="J58" s="151">
        <f t="shared" si="26"/>
        <v>1850</v>
      </c>
      <c r="K58" s="151">
        <f t="shared" si="26"/>
        <v>1850</v>
      </c>
      <c r="L58" s="151">
        <f t="shared" si="26"/>
        <v>1850</v>
      </c>
      <c r="M58" s="151">
        <f t="shared" si="26"/>
        <v>1850</v>
      </c>
      <c r="N58" s="151">
        <f t="shared" si="26"/>
        <v>1850</v>
      </c>
      <c r="O58" s="151">
        <f t="shared" si="0"/>
        <v>11100</v>
      </c>
      <c r="P58" s="151">
        <f t="shared" si="1"/>
        <v>0</v>
      </c>
    </row>
    <row r="59" spans="1:16" ht="15.75">
      <c r="A59" s="143"/>
      <c r="B59" s="146" t="s">
        <v>191</v>
      </c>
      <c r="C59" s="143"/>
      <c r="D59" s="143"/>
      <c r="E59" s="143"/>
      <c r="F59" s="143"/>
      <c r="G59" s="147">
        <f>G58</f>
        <v>11100</v>
      </c>
      <c r="H59" s="152"/>
      <c r="I59" s="148">
        <f aca="true" t="shared" si="27" ref="I59:N59">I58</f>
        <v>1850</v>
      </c>
      <c r="J59" s="148">
        <f t="shared" si="27"/>
        <v>1850</v>
      </c>
      <c r="K59" s="148">
        <f t="shared" si="27"/>
        <v>1850</v>
      </c>
      <c r="L59" s="148">
        <f t="shared" si="27"/>
        <v>1850</v>
      </c>
      <c r="M59" s="148">
        <f t="shared" si="27"/>
        <v>1850</v>
      </c>
      <c r="N59" s="148">
        <f t="shared" si="27"/>
        <v>1850</v>
      </c>
      <c r="O59" s="148">
        <f t="shared" si="0"/>
        <v>11100</v>
      </c>
      <c r="P59" s="148">
        <f t="shared" si="1"/>
        <v>0</v>
      </c>
    </row>
    <row r="60" spans="1:16" ht="63">
      <c r="A60" s="143"/>
      <c r="B60" s="132" t="s">
        <v>192</v>
      </c>
      <c r="C60" s="143"/>
      <c r="D60" s="143"/>
      <c r="E60" s="143"/>
      <c r="F60" s="143"/>
      <c r="G60" s="160"/>
      <c r="H60" s="152"/>
      <c r="I60" s="151"/>
      <c r="J60" s="151"/>
      <c r="K60" s="151"/>
      <c r="L60" s="151"/>
      <c r="M60" s="151"/>
      <c r="N60" s="151"/>
      <c r="O60" s="151">
        <f t="shared" si="0"/>
        <v>0</v>
      </c>
      <c r="P60" s="151">
        <f t="shared" si="1"/>
        <v>0</v>
      </c>
    </row>
    <row r="61" spans="1:16" ht="14.25" customHeight="1">
      <c r="A61" s="161"/>
      <c r="B61" s="142" t="s">
        <v>146</v>
      </c>
      <c r="C61" s="143" t="s">
        <v>147</v>
      </c>
      <c r="D61" s="129">
        <v>1</v>
      </c>
      <c r="E61" s="129">
        <v>50</v>
      </c>
      <c r="F61" s="162">
        <v>2</v>
      </c>
      <c r="G61" s="130">
        <f>D61*E61*F61</f>
        <v>100</v>
      </c>
      <c r="H61" s="131"/>
      <c r="I61" s="129">
        <f>$G$61/3</f>
        <v>33.333333333333336</v>
      </c>
      <c r="J61" s="129"/>
      <c r="K61" s="129">
        <f>$G$61/3</f>
        <v>33.333333333333336</v>
      </c>
      <c r="L61" s="129"/>
      <c r="M61" s="129">
        <f>$G$61/3</f>
        <v>33.333333333333336</v>
      </c>
      <c r="N61" s="129"/>
      <c r="O61" s="129">
        <f t="shared" si="0"/>
        <v>100</v>
      </c>
      <c r="P61" s="129">
        <f t="shared" si="1"/>
        <v>0</v>
      </c>
    </row>
    <row r="62" spans="1:16" ht="14.25" customHeight="1">
      <c r="A62" s="161"/>
      <c r="B62" s="142" t="s">
        <v>193</v>
      </c>
      <c r="C62" s="143" t="s">
        <v>149</v>
      </c>
      <c r="D62" s="129">
        <v>64</v>
      </c>
      <c r="E62" s="129">
        <v>7</v>
      </c>
      <c r="F62" s="162">
        <v>2</v>
      </c>
      <c r="G62" s="130">
        <f aca="true" t="shared" si="28" ref="G62:G91">D62*E62*F62</f>
        <v>896</v>
      </c>
      <c r="H62" s="131"/>
      <c r="I62" s="129">
        <f>$G$62/3</f>
        <v>298.6666666666667</v>
      </c>
      <c r="J62" s="129"/>
      <c r="K62" s="129">
        <f>$G$62/3</f>
        <v>298.6666666666667</v>
      </c>
      <c r="L62" s="129"/>
      <c r="M62" s="129">
        <f>$G$62/3</f>
        <v>298.6666666666667</v>
      </c>
      <c r="N62" s="129"/>
      <c r="O62" s="129">
        <f t="shared" si="0"/>
        <v>896</v>
      </c>
      <c r="P62" s="129">
        <f t="shared" si="1"/>
        <v>0</v>
      </c>
    </row>
    <row r="63" spans="1:16" ht="14.25" customHeight="1">
      <c r="A63" s="161"/>
      <c r="B63" s="142" t="s">
        <v>194</v>
      </c>
      <c r="C63" s="143" t="s">
        <v>149</v>
      </c>
      <c r="D63" s="129">
        <v>11</v>
      </c>
      <c r="E63" s="129">
        <v>5</v>
      </c>
      <c r="F63" s="162">
        <v>2</v>
      </c>
      <c r="G63" s="130">
        <f t="shared" si="28"/>
        <v>110</v>
      </c>
      <c r="H63" s="131"/>
      <c r="I63" s="129">
        <f>$G$63/3</f>
        <v>36.666666666666664</v>
      </c>
      <c r="J63" s="129"/>
      <c r="K63" s="129">
        <f>$G$63/3</f>
        <v>36.666666666666664</v>
      </c>
      <c r="L63" s="129"/>
      <c r="M63" s="129">
        <f>$G$63/3</f>
        <v>36.666666666666664</v>
      </c>
      <c r="N63" s="129"/>
      <c r="O63" s="129">
        <f t="shared" si="0"/>
        <v>110</v>
      </c>
      <c r="P63" s="129">
        <f t="shared" si="1"/>
        <v>0</v>
      </c>
    </row>
    <row r="64" spans="1:16" ht="14.25" customHeight="1">
      <c r="A64" s="161"/>
      <c r="B64" s="142" t="s">
        <v>195</v>
      </c>
      <c r="C64" s="143" t="s">
        <v>149</v>
      </c>
      <c r="D64" s="129">
        <v>10</v>
      </c>
      <c r="E64" s="129">
        <v>40</v>
      </c>
      <c r="F64" s="162">
        <v>2</v>
      </c>
      <c r="G64" s="130">
        <f t="shared" si="28"/>
        <v>800</v>
      </c>
      <c r="H64" s="131"/>
      <c r="I64" s="129">
        <f>$G$64/3</f>
        <v>266.6666666666667</v>
      </c>
      <c r="J64" s="129"/>
      <c r="K64" s="129">
        <f>$G$64/3</f>
        <v>266.6666666666667</v>
      </c>
      <c r="L64" s="129"/>
      <c r="M64" s="129">
        <f>$G$64/3</f>
        <v>266.6666666666667</v>
      </c>
      <c r="N64" s="129"/>
      <c r="O64" s="129">
        <f aca="true" t="shared" si="29" ref="O64:O83">SUM(I64:N64)</f>
        <v>800</v>
      </c>
      <c r="P64" s="129">
        <f t="shared" si="1"/>
        <v>0</v>
      </c>
    </row>
    <row r="65" spans="1:16" ht="14.25" customHeight="1">
      <c r="A65" s="161"/>
      <c r="B65" s="142" t="s">
        <v>196</v>
      </c>
      <c r="C65" s="143" t="s">
        <v>149</v>
      </c>
      <c r="D65" s="129">
        <v>8</v>
      </c>
      <c r="E65" s="129">
        <v>20</v>
      </c>
      <c r="F65" s="162">
        <v>2</v>
      </c>
      <c r="G65" s="130">
        <f t="shared" si="28"/>
        <v>320</v>
      </c>
      <c r="H65" s="131"/>
      <c r="I65" s="129">
        <f>$G$65/3</f>
        <v>106.66666666666667</v>
      </c>
      <c r="J65" s="129"/>
      <c r="K65" s="129">
        <f>$G$65/3</f>
        <v>106.66666666666667</v>
      </c>
      <c r="L65" s="129"/>
      <c r="M65" s="129">
        <f>$G$65/3</f>
        <v>106.66666666666667</v>
      </c>
      <c r="N65" s="129"/>
      <c r="O65" s="129">
        <f t="shared" si="29"/>
        <v>320</v>
      </c>
      <c r="P65" s="129">
        <f t="shared" si="1"/>
        <v>0</v>
      </c>
    </row>
    <row r="66" spans="1:16" ht="14.25" customHeight="1">
      <c r="A66" s="161"/>
      <c r="B66" s="142" t="s">
        <v>197</v>
      </c>
      <c r="C66" s="143" t="s">
        <v>149</v>
      </c>
      <c r="D66" s="129">
        <v>8</v>
      </c>
      <c r="E66" s="129">
        <v>30</v>
      </c>
      <c r="F66" s="162">
        <v>2</v>
      </c>
      <c r="G66" s="130">
        <f t="shared" si="28"/>
        <v>480</v>
      </c>
      <c r="H66" s="131"/>
      <c r="I66" s="129">
        <f>$G$66/3</f>
        <v>160</v>
      </c>
      <c r="J66" s="129"/>
      <c r="K66" s="129">
        <f>$G$66/3</f>
        <v>160</v>
      </c>
      <c r="L66" s="129"/>
      <c r="M66" s="129">
        <f>$G$66/3</f>
        <v>160</v>
      </c>
      <c r="N66" s="129"/>
      <c r="O66" s="129">
        <f t="shared" si="29"/>
        <v>480</v>
      </c>
      <c r="P66" s="129">
        <f t="shared" si="1"/>
        <v>0</v>
      </c>
    </row>
    <row r="67" spans="1:16" ht="14.25" customHeight="1">
      <c r="A67" s="161"/>
      <c r="B67" s="142" t="s">
        <v>198</v>
      </c>
      <c r="C67" s="143" t="s">
        <v>149</v>
      </c>
      <c r="D67" s="129">
        <v>11</v>
      </c>
      <c r="E67" s="129">
        <v>50</v>
      </c>
      <c r="F67" s="162">
        <v>2</v>
      </c>
      <c r="G67" s="130">
        <f t="shared" si="28"/>
        <v>1100</v>
      </c>
      <c r="H67" s="131"/>
      <c r="I67" s="129">
        <f>$G$67/3</f>
        <v>366.6666666666667</v>
      </c>
      <c r="J67" s="129"/>
      <c r="K67" s="129">
        <f>$G$67/3</f>
        <v>366.6666666666667</v>
      </c>
      <c r="L67" s="129"/>
      <c r="M67" s="129">
        <f>$G$67/3</f>
        <v>366.6666666666667</v>
      </c>
      <c r="N67" s="129"/>
      <c r="O67" s="129">
        <f t="shared" si="29"/>
        <v>1100</v>
      </c>
      <c r="P67" s="129">
        <f t="shared" si="1"/>
        <v>0</v>
      </c>
    </row>
    <row r="68" spans="1:16" ht="15" customHeight="1">
      <c r="A68" s="161"/>
      <c r="B68" s="142" t="s">
        <v>199</v>
      </c>
      <c r="C68" s="143" t="s">
        <v>149</v>
      </c>
      <c r="D68" s="129">
        <v>8</v>
      </c>
      <c r="E68" s="129">
        <v>20</v>
      </c>
      <c r="F68" s="162">
        <v>2</v>
      </c>
      <c r="G68" s="130">
        <f t="shared" si="28"/>
        <v>320</v>
      </c>
      <c r="H68" s="131"/>
      <c r="I68" s="129">
        <f>$G$68/3</f>
        <v>106.66666666666667</v>
      </c>
      <c r="J68" s="129"/>
      <c r="K68" s="129">
        <f>$G$68/3</f>
        <v>106.66666666666667</v>
      </c>
      <c r="L68" s="129"/>
      <c r="M68" s="129">
        <f>$G$68/3</f>
        <v>106.66666666666667</v>
      </c>
      <c r="N68" s="129"/>
      <c r="O68" s="129">
        <f t="shared" si="29"/>
        <v>320</v>
      </c>
      <c r="P68" s="129">
        <f t="shared" si="1"/>
        <v>0</v>
      </c>
    </row>
    <row r="69" spans="1:16" ht="14.25" customHeight="1">
      <c r="A69" s="161"/>
      <c r="B69" s="142" t="s">
        <v>200</v>
      </c>
      <c r="C69" s="143" t="s">
        <v>149</v>
      </c>
      <c r="D69" s="129">
        <v>8</v>
      </c>
      <c r="E69" s="129">
        <v>30</v>
      </c>
      <c r="F69" s="162">
        <v>2</v>
      </c>
      <c r="G69" s="130">
        <f t="shared" si="28"/>
        <v>480</v>
      </c>
      <c r="H69" s="131"/>
      <c r="I69" s="129">
        <f>$G$69/3</f>
        <v>160</v>
      </c>
      <c r="J69" s="129"/>
      <c r="K69" s="129">
        <f>$G$69/3</f>
        <v>160</v>
      </c>
      <c r="L69" s="129"/>
      <c r="M69" s="129">
        <f>$G$69/3</f>
        <v>160</v>
      </c>
      <c r="N69" s="129"/>
      <c r="O69" s="129">
        <f t="shared" si="29"/>
        <v>480</v>
      </c>
      <c r="P69" s="129">
        <f t="shared" si="1"/>
        <v>0</v>
      </c>
    </row>
    <row r="70" spans="1:16" ht="14.25" customHeight="1">
      <c r="A70" s="161"/>
      <c r="B70" s="163" t="s">
        <v>201</v>
      </c>
      <c r="C70" s="143"/>
      <c r="D70" s="129"/>
      <c r="E70" s="129"/>
      <c r="F70" s="162"/>
      <c r="G70" s="130"/>
      <c r="H70" s="131"/>
      <c r="I70" s="129"/>
      <c r="J70" s="129"/>
      <c r="K70" s="129"/>
      <c r="L70" s="129"/>
      <c r="M70" s="129"/>
      <c r="N70" s="129"/>
      <c r="O70" s="129">
        <f t="shared" si="29"/>
        <v>0</v>
      </c>
      <c r="P70" s="129">
        <f t="shared" si="1"/>
        <v>0</v>
      </c>
    </row>
    <row r="71" spans="1:16" ht="14.25" customHeight="1">
      <c r="A71" s="161"/>
      <c r="B71" s="142" t="s">
        <v>202</v>
      </c>
      <c r="C71" s="143" t="s">
        <v>149</v>
      </c>
      <c r="D71" s="129">
        <v>10</v>
      </c>
      <c r="E71" s="129">
        <v>10</v>
      </c>
      <c r="F71" s="162">
        <v>5</v>
      </c>
      <c r="G71" s="130">
        <f t="shared" si="28"/>
        <v>500</v>
      </c>
      <c r="H71" s="131"/>
      <c r="I71" s="129">
        <f>$G$71/3</f>
        <v>166.66666666666666</v>
      </c>
      <c r="J71" s="129"/>
      <c r="K71" s="129">
        <f>$G$71/3</f>
        <v>166.66666666666666</v>
      </c>
      <c r="L71" s="129"/>
      <c r="M71" s="129">
        <f>$G$71/3</f>
        <v>166.66666666666666</v>
      </c>
      <c r="N71" s="129"/>
      <c r="O71" s="129">
        <f t="shared" si="29"/>
        <v>500</v>
      </c>
      <c r="P71" s="129">
        <f t="shared" si="1"/>
        <v>0</v>
      </c>
    </row>
    <row r="72" spans="1:16" ht="14.25" customHeight="1">
      <c r="A72" s="161"/>
      <c r="B72" s="142" t="s">
        <v>203</v>
      </c>
      <c r="C72" s="143" t="s">
        <v>149</v>
      </c>
      <c r="D72" s="129">
        <v>8</v>
      </c>
      <c r="E72" s="129">
        <v>10</v>
      </c>
      <c r="F72" s="162">
        <v>5</v>
      </c>
      <c r="G72" s="130">
        <f t="shared" si="28"/>
        <v>400</v>
      </c>
      <c r="H72" s="131"/>
      <c r="I72" s="129">
        <f>$G$72/3</f>
        <v>133.33333333333334</v>
      </c>
      <c r="J72" s="129"/>
      <c r="K72" s="129">
        <f>$G$72/3</f>
        <v>133.33333333333334</v>
      </c>
      <c r="L72" s="129"/>
      <c r="M72" s="129">
        <f>$G$72/3</f>
        <v>133.33333333333334</v>
      </c>
      <c r="N72" s="129"/>
      <c r="O72" s="129">
        <f t="shared" si="29"/>
        <v>400</v>
      </c>
      <c r="P72" s="129">
        <f t="shared" si="1"/>
        <v>0</v>
      </c>
    </row>
    <row r="73" spans="1:16" ht="14.25" customHeight="1">
      <c r="A73" s="161"/>
      <c r="B73" s="142" t="s">
        <v>204</v>
      </c>
      <c r="C73" s="143" t="s">
        <v>149</v>
      </c>
      <c r="D73" s="129">
        <v>8</v>
      </c>
      <c r="E73" s="129">
        <v>10</v>
      </c>
      <c r="F73" s="162">
        <v>5</v>
      </c>
      <c r="G73" s="130">
        <f t="shared" si="28"/>
        <v>400</v>
      </c>
      <c r="H73" s="131"/>
      <c r="I73" s="129">
        <f>$G$73/3</f>
        <v>133.33333333333334</v>
      </c>
      <c r="J73" s="129"/>
      <c r="K73" s="129">
        <f>$G$73/3</f>
        <v>133.33333333333334</v>
      </c>
      <c r="L73" s="129"/>
      <c r="M73" s="129">
        <f>$G$73/3</f>
        <v>133.33333333333334</v>
      </c>
      <c r="N73" s="129"/>
      <c r="O73" s="129">
        <f t="shared" si="29"/>
        <v>400</v>
      </c>
      <c r="P73" s="129">
        <f t="shared" si="1"/>
        <v>0</v>
      </c>
    </row>
    <row r="74" spans="1:16" ht="14.25" customHeight="1">
      <c r="A74" s="161"/>
      <c r="B74" s="142" t="s">
        <v>205</v>
      </c>
      <c r="C74" s="143" t="s">
        <v>149</v>
      </c>
      <c r="D74" s="129">
        <v>11</v>
      </c>
      <c r="E74" s="129">
        <v>10</v>
      </c>
      <c r="F74" s="162">
        <v>5</v>
      </c>
      <c r="G74" s="130">
        <f t="shared" si="28"/>
        <v>550</v>
      </c>
      <c r="H74" s="131"/>
      <c r="I74" s="129">
        <f>$G$74/3</f>
        <v>183.33333333333334</v>
      </c>
      <c r="J74" s="129"/>
      <c r="K74" s="129">
        <f>$G$74/3</f>
        <v>183.33333333333334</v>
      </c>
      <c r="L74" s="129"/>
      <c r="M74" s="129">
        <f>$G$74/3</f>
        <v>183.33333333333334</v>
      </c>
      <c r="N74" s="129"/>
      <c r="O74" s="129">
        <f t="shared" si="29"/>
        <v>550</v>
      </c>
      <c r="P74" s="129">
        <f t="shared" si="1"/>
        <v>0</v>
      </c>
    </row>
    <row r="75" spans="1:16" ht="15" customHeight="1">
      <c r="A75" s="161"/>
      <c r="B75" s="142" t="s">
        <v>206</v>
      </c>
      <c r="C75" s="143" t="s">
        <v>149</v>
      </c>
      <c r="D75" s="129">
        <v>8</v>
      </c>
      <c r="E75" s="129">
        <v>10</v>
      </c>
      <c r="F75" s="162">
        <v>5</v>
      </c>
      <c r="G75" s="130">
        <f t="shared" si="28"/>
        <v>400</v>
      </c>
      <c r="H75" s="131"/>
      <c r="I75" s="129">
        <f>$G$75/3</f>
        <v>133.33333333333334</v>
      </c>
      <c r="J75" s="129"/>
      <c r="K75" s="129">
        <f>$G$75/3</f>
        <v>133.33333333333334</v>
      </c>
      <c r="L75" s="129"/>
      <c r="M75" s="129">
        <f>$G$75/3</f>
        <v>133.33333333333334</v>
      </c>
      <c r="N75" s="129"/>
      <c r="O75" s="129">
        <f t="shared" si="29"/>
        <v>400</v>
      </c>
      <c r="P75" s="129">
        <f t="shared" si="1"/>
        <v>0</v>
      </c>
    </row>
    <row r="76" spans="1:16" ht="14.25" customHeight="1">
      <c r="A76" s="161"/>
      <c r="B76" s="142" t="s">
        <v>207</v>
      </c>
      <c r="C76" s="143" t="s">
        <v>149</v>
      </c>
      <c r="D76" s="129">
        <v>8</v>
      </c>
      <c r="E76" s="129">
        <v>10</v>
      </c>
      <c r="F76" s="162">
        <v>5</v>
      </c>
      <c r="G76" s="130">
        <f t="shared" si="28"/>
        <v>400</v>
      </c>
      <c r="H76" s="131"/>
      <c r="I76" s="129">
        <f>$G$76/3</f>
        <v>133.33333333333334</v>
      </c>
      <c r="J76" s="129"/>
      <c r="K76" s="129">
        <f>$G$76/3</f>
        <v>133.33333333333334</v>
      </c>
      <c r="L76" s="129"/>
      <c r="M76" s="129">
        <f>$G$76/3</f>
        <v>133.33333333333334</v>
      </c>
      <c r="N76" s="129"/>
      <c r="O76" s="129">
        <f t="shared" si="29"/>
        <v>400</v>
      </c>
      <c r="P76" s="129">
        <f t="shared" si="1"/>
        <v>0</v>
      </c>
    </row>
    <row r="77" spans="1:16" ht="14.25" customHeight="1">
      <c r="A77" s="161"/>
      <c r="B77" s="163" t="s">
        <v>208</v>
      </c>
      <c r="C77" s="143"/>
      <c r="D77" s="129"/>
      <c r="E77" s="129"/>
      <c r="F77" s="162"/>
      <c r="G77" s="130"/>
      <c r="H77" s="131"/>
      <c r="I77" s="129"/>
      <c r="J77" s="129"/>
      <c r="K77" s="129"/>
      <c r="L77" s="129"/>
      <c r="M77" s="129"/>
      <c r="N77" s="129"/>
      <c r="O77" s="129"/>
      <c r="P77" s="129"/>
    </row>
    <row r="78" spans="1:16" ht="30" customHeight="1">
      <c r="A78" s="161"/>
      <c r="B78" s="142" t="s">
        <v>209</v>
      </c>
      <c r="C78" s="143" t="s">
        <v>149</v>
      </c>
      <c r="D78" s="129">
        <v>10</v>
      </c>
      <c r="E78" s="129">
        <v>15</v>
      </c>
      <c r="F78" s="162">
        <v>8</v>
      </c>
      <c r="G78" s="130">
        <f t="shared" si="28"/>
        <v>1200</v>
      </c>
      <c r="H78" s="131"/>
      <c r="I78" s="129">
        <f>$G$78/3</f>
        <v>400</v>
      </c>
      <c r="J78" s="129"/>
      <c r="K78" s="129">
        <f>$G$78/3</f>
        <v>400</v>
      </c>
      <c r="L78" s="129"/>
      <c r="M78" s="129">
        <f>$G$78/3</f>
        <v>400</v>
      </c>
      <c r="N78" s="129"/>
      <c r="O78" s="129">
        <f t="shared" si="29"/>
        <v>1200</v>
      </c>
      <c r="P78" s="129">
        <f t="shared" si="1"/>
        <v>0</v>
      </c>
    </row>
    <row r="79" spans="1:16" ht="26.25" customHeight="1">
      <c r="A79" s="161"/>
      <c r="B79" s="142" t="s">
        <v>210</v>
      </c>
      <c r="C79" s="143" t="s">
        <v>149</v>
      </c>
      <c r="D79" s="129">
        <v>8</v>
      </c>
      <c r="E79" s="129">
        <v>15</v>
      </c>
      <c r="F79" s="162">
        <v>8</v>
      </c>
      <c r="G79" s="130">
        <f t="shared" si="28"/>
        <v>960</v>
      </c>
      <c r="H79" s="131"/>
      <c r="I79" s="129">
        <f>$G$79/3</f>
        <v>320</v>
      </c>
      <c r="J79" s="129"/>
      <c r="K79" s="129">
        <f>$G$79/3</f>
        <v>320</v>
      </c>
      <c r="L79" s="129"/>
      <c r="M79" s="129">
        <f>$G$79/3</f>
        <v>320</v>
      </c>
      <c r="N79" s="129"/>
      <c r="O79" s="129">
        <f t="shared" si="29"/>
        <v>960</v>
      </c>
      <c r="P79" s="129">
        <f t="shared" si="1"/>
        <v>0</v>
      </c>
    </row>
    <row r="80" spans="1:16" ht="30" customHeight="1">
      <c r="A80" s="161"/>
      <c r="B80" s="142" t="s">
        <v>211</v>
      </c>
      <c r="C80" s="143" t="s">
        <v>149</v>
      </c>
      <c r="D80" s="129">
        <v>8</v>
      </c>
      <c r="E80" s="129">
        <v>15</v>
      </c>
      <c r="F80" s="162">
        <v>8</v>
      </c>
      <c r="G80" s="130">
        <f t="shared" si="28"/>
        <v>960</v>
      </c>
      <c r="H80" s="131"/>
      <c r="I80" s="129">
        <f>$G$80/3</f>
        <v>320</v>
      </c>
      <c r="J80" s="129"/>
      <c r="K80" s="129">
        <f>$G$80/3</f>
        <v>320</v>
      </c>
      <c r="L80" s="129"/>
      <c r="M80" s="129">
        <f>$G$80/3</f>
        <v>320</v>
      </c>
      <c r="N80" s="129"/>
      <c r="O80" s="129">
        <f t="shared" si="29"/>
        <v>960</v>
      </c>
      <c r="P80" s="129">
        <f t="shared" si="1"/>
        <v>0</v>
      </c>
    </row>
    <row r="81" spans="1:16" ht="28.5" customHeight="1">
      <c r="A81" s="161"/>
      <c r="B81" s="142" t="s">
        <v>212</v>
      </c>
      <c r="C81" s="143" t="s">
        <v>149</v>
      </c>
      <c r="D81" s="129">
        <v>11</v>
      </c>
      <c r="E81" s="129">
        <v>15</v>
      </c>
      <c r="F81" s="162">
        <v>8</v>
      </c>
      <c r="G81" s="130">
        <f t="shared" si="28"/>
        <v>1320</v>
      </c>
      <c r="H81" s="131"/>
      <c r="I81" s="129">
        <f>$G$81/3</f>
        <v>440</v>
      </c>
      <c r="J81" s="129"/>
      <c r="K81" s="129">
        <f>$G$81/3</f>
        <v>440</v>
      </c>
      <c r="L81" s="129"/>
      <c r="M81" s="129">
        <f>$G$81/3</f>
        <v>440</v>
      </c>
      <c r="N81" s="129"/>
      <c r="O81" s="129">
        <f t="shared" si="29"/>
        <v>1320</v>
      </c>
      <c r="P81" s="129">
        <f t="shared" si="1"/>
        <v>0</v>
      </c>
    </row>
    <row r="82" spans="1:16" ht="30" customHeight="1">
      <c r="A82" s="161"/>
      <c r="B82" s="142" t="s">
        <v>213</v>
      </c>
      <c r="C82" s="143" t="s">
        <v>149</v>
      </c>
      <c r="D82" s="129">
        <v>8</v>
      </c>
      <c r="E82" s="129">
        <v>15</v>
      </c>
      <c r="F82" s="162">
        <v>8</v>
      </c>
      <c r="G82" s="130">
        <f t="shared" si="28"/>
        <v>960</v>
      </c>
      <c r="H82" s="131"/>
      <c r="I82" s="129">
        <f>$G$82/3</f>
        <v>320</v>
      </c>
      <c r="J82" s="129"/>
      <c r="K82" s="129">
        <f>$G$82/3</f>
        <v>320</v>
      </c>
      <c r="L82" s="129"/>
      <c r="M82" s="129">
        <f>$G$82/3</f>
        <v>320</v>
      </c>
      <c r="N82" s="129"/>
      <c r="O82" s="129">
        <f t="shared" si="29"/>
        <v>960</v>
      </c>
      <c r="P82" s="129">
        <f t="shared" si="1"/>
        <v>0</v>
      </c>
    </row>
    <row r="83" spans="1:16" ht="31.5" customHeight="1">
      <c r="A83" s="161"/>
      <c r="B83" s="142" t="s">
        <v>214</v>
      </c>
      <c r="C83" s="143" t="s">
        <v>149</v>
      </c>
      <c r="D83" s="129">
        <v>8</v>
      </c>
      <c r="E83" s="129">
        <v>15</v>
      </c>
      <c r="F83" s="162">
        <v>8</v>
      </c>
      <c r="G83" s="130">
        <f t="shared" si="28"/>
        <v>960</v>
      </c>
      <c r="H83" s="131"/>
      <c r="I83" s="129">
        <f>$G$83/3</f>
        <v>320</v>
      </c>
      <c r="J83" s="129"/>
      <c r="K83" s="129">
        <f>$G$83/3</f>
        <v>320</v>
      </c>
      <c r="L83" s="129"/>
      <c r="M83" s="129">
        <f>$G$83/3</f>
        <v>320</v>
      </c>
      <c r="N83" s="129"/>
      <c r="O83" s="129">
        <f t="shared" si="29"/>
        <v>960</v>
      </c>
      <c r="P83" s="129">
        <f t="shared" si="1"/>
        <v>0</v>
      </c>
    </row>
    <row r="84" spans="1:16" ht="14.25" customHeight="1">
      <c r="A84" s="161"/>
      <c r="B84" s="164" t="s">
        <v>152</v>
      </c>
      <c r="C84" s="143" t="s">
        <v>153</v>
      </c>
      <c r="D84" s="129">
        <v>3</v>
      </c>
      <c r="E84" s="129">
        <v>13</v>
      </c>
      <c r="F84" s="162">
        <v>2</v>
      </c>
      <c r="G84" s="130">
        <f t="shared" si="28"/>
        <v>78</v>
      </c>
      <c r="H84" s="131"/>
      <c r="I84" s="129">
        <f>$G$84/3</f>
        <v>26</v>
      </c>
      <c r="J84" s="129"/>
      <c r="K84" s="129">
        <f>$G$84/3</f>
        <v>26</v>
      </c>
      <c r="L84" s="129"/>
      <c r="M84" s="129">
        <f>$G$84/3</f>
        <v>26</v>
      </c>
      <c r="N84" s="129"/>
      <c r="O84" s="129">
        <f t="shared" si="0"/>
        <v>78</v>
      </c>
      <c r="P84" s="129">
        <f t="shared" si="1"/>
        <v>0</v>
      </c>
    </row>
    <row r="85" spans="1:16" ht="14.25" customHeight="1">
      <c r="A85" s="161"/>
      <c r="B85" s="164" t="s">
        <v>154</v>
      </c>
      <c r="C85" s="143" t="s">
        <v>155</v>
      </c>
      <c r="D85" s="129">
        <v>2</v>
      </c>
      <c r="E85" s="129">
        <v>5</v>
      </c>
      <c r="F85" s="162">
        <v>2</v>
      </c>
      <c r="G85" s="130">
        <f t="shared" si="28"/>
        <v>20</v>
      </c>
      <c r="H85" s="131"/>
      <c r="I85" s="129">
        <f>$G$85/3</f>
        <v>6.666666666666667</v>
      </c>
      <c r="J85" s="129"/>
      <c r="K85" s="129">
        <f>$G$85/3</f>
        <v>6.666666666666667</v>
      </c>
      <c r="L85" s="129"/>
      <c r="M85" s="129">
        <f>$G$85/3</f>
        <v>6.666666666666667</v>
      </c>
      <c r="N85" s="129"/>
      <c r="O85" s="129">
        <f t="shared" si="0"/>
        <v>20</v>
      </c>
      <c r="P85" s="129">
        <f t="shared" si="1"/>
        <v>0</v>
      </c>
    </row>
    <row r="86" spans="1:16" ht="14.25" customHeight="1">
      <c r="A86" s="161"/>
      <c r="B86" s="164" t="s">
        <v>156</v>
      </c>
      <c r="C86" s="143" t="s">
        <v>153</v>
      </c>
      <c r="D86" s="129">
        <v>64</v>
      </c>
      <c r="E86" s="129">
        <v>1</v>
      </c>
      <c r="F86" s="162">
        <v>2</v>
      </c>
      <c r="G86" s="130">
        <f t="shared" si="28"/>
        <v>128</v>
      </c>
      <c r="H86" s="131"/>
      <c r="I86" s="129">
        <f>$G$86/3</f>
        <v>42.666666666666664</v>
      </c>
      <c r="J86" s="129"/>
      <c r="K86" s="129">
        <f>$G$86/3</f>
        <v>42.666666666666664</v>
      </c>
      <c r="L86" s="129"/>
      <c r="M86" s="129">
        <f>$G$86/3</f>
        <v>42.666666666666664</v>
      </c>
      <c r="N86" s="129"/>
      <c r="O86" s="129">
        <f t="shared" si="0"/>
        <v>128</v>
      </c>
      <c r="P86" s="129">
        <f t="shared" si="1"/>
        <v>0</v>
      </c>
    </row>
    <row r="87" spans="1:16" ht="14.25" customHeight="1">
      <c r="A87" s="161"/>
      <c r="B87" s="165" t="s">
        <v>157</v>
      </c>
      <c r="C87" s="143" t="s">
        <v>153</v>
      </c>
      <c r="D87" s="129">
        <v>2</v>
      </c>
      <c r="E87" s="129">
        <v>6</v>
      </c>
      <c r="F87" s="162">
        <v>2</v>
      </c>
      <c r="G87" s="130">
        <f t="shared" si="28"/>
        <v>24</v>
      </c>
      <c r="H87" s="131"/>
      <c r="I87" s="129">
        <f>$G$87/3</f>
        <v>8</v>
      </c>
      <c r="J87" s="129"/>
      <c r="K87" s="129">
        <f>$G$87/3</f>
        <v>8</v>
      </c>
      <c r="L87" s="129"/>
      <c r="M87" s="129">
        <f>$G$87/3</f>
        <v>8</v>
      </c>
      <c r="N87" s="129"/>
      <c r="O87" s="129">
        <f t="shared" si="0"/>
        <v>24</v>
      </c>
      <c r="P87" s="129">
        <f t="shared" si="1"/>
        <v>0</v>
      </c>
    </row>
    <row r="88" spans="1:16" ht="14.25" customHeight="1">
      <c r="A88" s="161"/>
      <c r="B88" s="164" t="s">
        <v>158</v>
      </c>
      <c r="C88" s="143" t="s">
        <v>153</v>
      </c>
      <c r="D88" s="129">
        <v>1</v>
      </c>
      <c r="E88" s="129">
        <v>6</v>
      </c>
      <c r="F88" s="162">
        <v>2</v>
      </c>
      <c r="G88" s="130">
        <f t="shared" si="28"/>
        <v>12</v>
      </c>
      <c r="H88" s="131"/>
      <c r="I88" s="129">
        <f>$G$88/3</f>
        <v>4</v>
      </c>
      <c r="J88" s="129"/>
      <c r="K88" s="129">
        <f>$G$88/3</f>
        <v>4</v>
      </c>
      <c r="L88" s="129"/>
      <c r="M88" s="129">
        <f>$G$88/3</f>
        <v>4</v>
      </c>
      <c r="N88" s="129"/>
      <c r="O88" s="129">
        <f t="shared" si="0"/>
        <v>12</v>
      </c>
      <c r="P88" s="129">
        <f t="shared" si="1"/>
        <v>0</v>
      </c>
    </row>
    <row r="89" spans="1:16" ht="14.25" customHeight="1">
      <c r="A89" s="161"/>
      <c r="B89" s="164" t="s">
        <v>159</v>
      </c>
      <c r="C89" s="143" t="s">
        <v>153</v>
      </c>
      <c r="D89" s="129">
        <v>3</v>
      </c>
      <c r="E89" s="129">
        <v>2</v>
      </c>
      <c r="F89" s="162">
        <v>2</v>
      </c>
      <c r="G89" s="130">
        <f t="shared" si="28"/>
        <v>12</v>
      </c>
      <c r="H89" s="131"/>
      <c r="I89" s="129">
        <f>$G$89/3</f>
        <v>4</v>
      </c>
      <c r="J89" s="129"/>
      <c r="K89" s="129">
        <f>$G$89/3</f>
        <v>4</v>
      </c>
      <c r="L89" s="129"/>
      <c r="M89" s="129">
        <f>$G$89/3</f>
        <v>4</v>
      </c>
      <c r="N89" s="129"/>
      <c r="O89" s="129">
        <f t="shared" si="0"/>
        <v>12</v>
      </c>
      <c r="P89" s="129">
        <f t="shared" si="1"/>
        <v>0</v>
      </c>
    </row>
    <row r="90" spans="1:16" ht="14.25" customHeight="1">
      <c r="A90" s="161"/>
      <c r="B90" s="164" t="s">
        <v>215</v>
      </c>
      <c r="C90" s="143" t="s">
        <v>153</v>
      </c>
      <c r="D90" s="129">
        <v>1</v>
      </c>
      <c r="E90" s="129">
        <v>62.5</v>
      </c>
      <c r="F90" s="162">
        <v>2</v>
      </c>
      <c r="G90" s="130">
        <f t="shared" si="28"/>
        <v>125</v>
      </c>
      <c r="H90" s="131"/>
      <c r="I90" s="129">
        <f>$G$90/3</f>
        <v>41.666666666666664</v>
      </c>
      <c r="J90" s="129"/>
      <c r="K90" s="129">
        <f>$G$90/3</f>
        <v>41.666666666666664</v>
      </c>
      <c r="L90" s="129"/>
      <c r="M90" s="129">
        <f>$G$90/3</f>
        <v>41.666666666666664</v>
      </c>
      <c r="N90" s="129"/>
      <c r="O90" s="129">
        <f>SUM(I90:N90)</f>
        <v>125</v>
      </c>
      <c r="P90" s="129">
        <f t="shared" si="1"/>
        <v>0</v>
      </c>
    </row>
    <row r="91" spans="1:16" ht="14.25" customHeight="1">
      <c r="A91" s="161"/>
      <c r="B91" s="164" t="s">
        <v>216</v>
      </c>
      <c r="C91" s="143" t="s">
        <v>217</v>
      </c>
      <c r="D91" s="129">
        <v>10</v>
      </c>
      <c r="E91" s="129">
        <v>8</v>
      </c>
      <c r="F91" s="162">
        <v>2</v>
      </c>
      <c r="G91" s="130">
        <f t="shared" si="28"/>
        <v>160</v>
      </c>
      <c r="H91" s="131"/>
      <c r="I91" s="129">
        <f>$G$91/3</f>
        <v>53.333333333333336</v>
      </c>
      <c r="J91" s="129"/>
      <c r="K91" s="129">
        <f>$G$91/3</f>
        <v>53.333333333333336</v>
      </c>
      <c r="L91" s="129"/>
      <c r="M91" s="129">
        <f>$G$91/3</f>
        <v>53.333333333333336</v>
      </c>
      <c r="N91" s="129"/>
      <c r="O91" s="129">
        <f>SUM(I91:N91)</f>
        <v>160</v>
      </c>
      <c r="P91" s="129">
        <f t="shared" si="1"/>
        <v>0</v>
      </c>
    </row>
    <row r="92" spans="1:16" ht="14.25" customHeight="1">
      <c r="A92" s="161"/>
      <c r="B92" s="165" t="s">
        <v>218</v>
      </c>
      <c r="C92" s="143" t="s">
        <v>147</v>
      </c>
      <c r="D92" s="129">
        <v>1</v>
      </c>
      <c r="E92" s="129">
        <v>150</v>
      </c>
      <c r="F92" s="162">
        <v>13</v>
      </c>
      <c r="G92" s="130">
        <f>D92*E92*F92</f>
        <v>1950</v>
      </c>
      <c r="H92" s="131"/>
      <c r="I92" s="129">
        <f>$G$92/3</f>
        <v>650</v>
      </c>
      <c r="J92" s="129"/>
      <c r="K92" s="129">
        <f>$G$92/3</f>
        <v>650</v>
      </c>
      <c r="L92" s="129"/>
      <c r="M92" s="129">
        <f>$G$92/3</f>
        <v>650</v>
      </c>
      <c r="N92" s="129"/>
      <c r="O92" s="129">
        <f t="shared" si="0"/>
        <v>1950</v>
      </c>
      <c r="P92" s="129">
        <f t="shared" si="1"/>
        <v>0</v>
      </c>
    </row>
    <row r="93" spans="1:16" ht="14.25" customHeight="1">
      <c r="A93" s="161"/>
      <c r="B93" s="165" t="s">
        <v>171</v>
      </c>
      <c r="C93" s="143" t="s">
        <v>172</v>
      </c>
      <c r="D93" s="129">
        <v>2</v>
      </c>
      <c r="E93" s="129">
        <v>20</v>
      </c>
      <c r="F93" s="162">
        <v>15</v>
      </c>
      <c r="G93" s="130">
        <f>D93*E93*F93</f>
        <v>600</v>
      </c>
      <c r="H93" s="131"/>
      <c r="I93" s="129">
        <f>$G$93/3</f>
        <v>200</v>
      </c>
      <c r="J93" s="129"/>
      <c r="K93" s="129">
        <f>$G$93/3</f>
        <v>200</v>
      </c>
      <c r="L93" s="129"/>
      <c r="M93" s="129">
        <f>$G$93/3</f>
        <v>200</v>
      </c>
      <c r="N93" s="129"/>
      <c r="O93" s="129">
        <f t="shared" si="0"/>
        <v>600</v>
      </c>
      <c r="P93" s="129">
        <f t="shared" si="1"/>
        <v>0</v>
      </c>
    </row>
    <row r="94" spans="1:16" ht="14.25" customHeight="1">
      <c r="A94" s="161"/>
      <c r="B94" s="165" t="s">
        <v>173</v>
      </c>
      <c r="C94" s="143" t="s">
        <v>164</v>
      </c>
      <c r="D94" s="129">
        <v>2</v>
      </c>
      <c r="E94" s="129">
        <v>10</v>
      </c>
      <c r="F94" s="162">
        <f>4*3</f>
        <v>12</v>
      </c>
      <c r="G94" s="130">
        <f>D94*E94*F94</f>
        <v>240</v>
      </c>
      <c r="H94" s="131"/>
      <c r="I94" s="129">
        <f>$G$94/3</f>
        <v>80</v>
      </c>
      <c r="J94" s="129"/>
      <c r="K94" s="129">
        <f>$G$94/3</f>
        <v>80</v>
      </c>
      <c r="L94" s="129"/>
      <c r="M94" s="129">
        <f>$G$94/3</f>
        <v>80</v>
      </c>
      <c r="N94" s="129"/>
      <c r="O94" s="129">
        <f t="shared" si="0"/>
        <v>240</v>
      </c>
      <c r="P94" s="129">
        <f t="shared" si="1"/>
        <v>0</v>
      </c>
    </row>
    <row r="95" spans="1:19" ht="15.75">
      <c r="A95" s="166"/>
      <c r="B95" s="167" t="s">
        <v>219</v>
      </c>
      <c r="C95" s="166"/>
      <c r="D95" s="143"/>
      <c r="E95" s="143"/>
      <c r="F95" s="143"/>
      <c r="G95" s="168">
        <f>SUM(G61:G94)</f>
        <v>16965</v>
      </c>
      <c r="H95" s="152"/>
      <c r="I95" s="169">
        <f aca="true" t="shared" si="30" ref="I95:N95">SUM(I61:I94)</f>
        <v>5655.000000000001</v>
      </c>
      <c r="J95" s="169">
        <f t="shared" si="30"/>
        <v>0</v>
      </c>
      <c r="K95" s="169">
        <f t="shared" si="30"/>
        <v>5655.000000000001</v>
      </c>
      <c r="L95" s="169">
        <f t="shared" si="30"/>
        <v>0</v>
      </c>
      <c r="M95" s="169">
        <f t="shared" si="30"/>
        <v>5655.000000000001</v>
      </c>
      <c r="N95" s="169">
        <f t="shared" si="30"/>
        <v>0</v>
      </c>
      <c r="O95" s="169">
        <f t="shared" si="0"/>
        <v>16965.000000000004</v>
      </c>
      <c r="P95" s="169">
        <f t="shared" si="1"/>
        <v>0</v>
      </c>
      <c r="R95" s="782">
        <v>16965</v>
      </c>
      <c r="S95" s="782">
        <f>G95-R95</f>
        <v>0</v>
      </c>
    </row>
    <row r="96" spans="1:16" ht="15">
      <c r="A96" s="143"/>
      <c r="B96" s="170" t="s">
        <v>220</v>
      </c>
      <c r="C96" s="171"/>
      <c r="D96" s="171"/>
      <c r="E96" s="171"/>
      <c r="F96" s="171"/>
      <c r="G96" s="172">
        <f>G95+G59+G55+G40+G25</f>
        <v>55075</v>
      </c>
      <c r="H96" s="152"/>
      <c r="I96" s="172">
        <f aca="true" t="shared" si="31" ref="I96:N96">I95+I59+I55+I40+I25</f>
        <v>15021.666666666666</v>
      </c>
      <c r="J96" s="172">
        <f t="shared" si="31"/>
        <v>3990</v>
      </c>
      <c r="K96" s="172">
        <f t="shared" si="31"/>
        <v>13061.666666666666</v>
      </c>
      <c r="L96" s="172">
        <f t="shared" si="31"/>
        <v>5950</v>
      </c>
      <c r="M96" s="172">
        <f t="shared" si="31"/>
        <v>13061.666666666666</v>
      </c>
      <c r="N96" s="172">
        <f t="shared" si="31"/>
        <v>3990</v>
      </c>
      <c r="O96" s="172">
        <f t="shared" si="0"/>
        <v>55074.99999999999</v>
      </c>
      <c r="P96" s="172">
        <f t="shared" si="1"/>
        <v>0</v>
      </c>
    </row>
    <row r="97" spans="1:16" ht="14.25">
      <c r="A97" s="173"/>
      <c r="B97" s="174" t="s">
        <v>221</v>
      </c>
      <c r="C97" s="173"/>
      <c r="D97" s="173"/>
      <c r="E97" s="173"/>
      <c r="F97" s="173"/>
      <c r="G97" s="175">
        <f>G96</f>
        <v>55075</v>
      </c>
      <c r="H97" s="176"/>
      <c r="I97" s="173">
        <f aca="true" t="shared" si="32" ref="I97:N97">I96</f>
        <v>15021.666666666666</v>
      </c>
      <c r="J97" s="173">
        <f t="shared" si="32"/>
        <v>3990</v>
      </c>
      <c r="K97" s="173">
        <f t="shared" si="32"/>
        <v>13061.666666666666</v>
      </c>
      <c r="L97" s="173">
        <f t="shared" si="32"/>
        <v>5950</v>
      </c>
      <c r="M97" s="173">
        <f t="shared" si="32"/>
        <v>13061.666666666666</v>
      </c>
      <c r="N97" s="173">
        <f t="shared" si="32"/>
        <v>3990</v>
      </c>
      <c r="O97" s="173">
        <f aca="true" t="shared" si="33" ref="O97:O118">SUM(I97:N97)</f>
        <v>55074.99999999999</v>
      </c>
      <c r="P97" s="173">
        <f aca="true" t="shared" si="34" ref="P97:P118">G97-O97</f>
        <v>0</v>
      </c>
    </row>
    <row r="98" spans="1:16" ht="14.25">
      <c r="A98" s="177"/>
      <c r="B98" s="178" t="s">
        <v>222</v>
      </c>
      <c r="C98" s="177"/>
      <c r="D98" s="177"/>
      <c r="E98" s="177"/>
      <c r="F98" s="177"/>
      <c r="G98" s="179"/>
      <c r="H98" s="176"/>
      <c r="I98" s="180"/>
      <c r="J98" s="180"/>
      <c r="K98" s="180"/>
      <c r="L98" s="180"/>
      <c r="M98" s="180"/>
      <c r="N98" s="180"/>
      <c r="O98" s="180">
        <f t="shared" si="33"/>
        <v>0</v>
      </c>
      <c r="P98" s="180">
        <f t="shared" si="34"/>
        <v>0</v>
      </c>
    </row>
    <row r="99" spans="1:16" ht="14.25">
      <c r="A99" s="181"/>
      <c r="B99" s="182" t="s">
        <v>223</v>
      </c>
      <c r="C99" s="181"/>
      <c r="D99" s="181"/>
      <c r="E99" s="181"/>
      <c r="F99" s="181"/>
      <c r="G99" s="183"/>
      <c r="H99" s="131"/>
      <c r="I99" s="184"/>
      <c r="J99" s="184"/>
      <c r="K99" s="184"/>
      <c r="L99" s="184"/>
      <c r="M99" s="184"/>
      <c r="N99" s="184"/>
      <c r="O99" s="184">
        <f t="shared" si="33"/>
        <v>0</v>
      </c>
      <c r="P99" s="184">
        <f t="shared" si="34"/>
        <v>0</v>
      </c>
    </row>
    <row r="100" spans="1:16" ht="14.25">
      <c r="A100" s="143"/>
      <c r="B100" s="142" t="s">
        <v>224</v>
      </c>
      <c r="C100" s="143" t="s">
        <v>14</v>
      </c>
      <c r="D100" s="143">
        <v>1</v>
      </c>
      <c r="E100" s="143">
        <v>400</v>
      </c>
      <c r="F100" s="143">
        <v>6</v>
      </c>
      <c r="G100" s="130">
        <f aca="true" t="shared" si="35" ref="G100:G108">D100*E100*F100</f>
        <v>2400</v>
      </c>
      <c r="H100" s="131"/>
      <c r="I100" s="143">
        <v>400</v>
      </c>
      <c r="J100" s="143">
        <v>400</v>
      </c>
      <c r="K100" s="143">
        <v>400</v>
      </c>
      <c r="L100" s="143">
        <v>400</v>
      </c>
      <c r="M100" s="143">
        <v>400</v>
      </c>
      <c r="N100" s="143">
        <v>400</v>
      </c>
      <c r="O100" s="143">
        <f t="shared" si="33"/>
        <v>2400</v>
      </c>
      <c r="P100" s="143">
        <f t="shared" si="34"/>
        <v>0</v>
      </c>
    </row>
    <row r="101" spans="1:16" ht="14.25">
      <c r="A101" s="143"/>
      <c r="B101" s="142" t="s">
        <v>225</v>
      </c>
      <c r="C101" s="143" t="s">
        <v>14</v>
      </c>
      <c r="D101" s="143">
        <v>1</v>
      </c>
      <c r="E101" s="143">
        <v>350</v>
      </c>
      <c r="F101" s="143">
        <v>6</v>
      </c>
      <c r="G101" s="130">
        <f t="shared" si="35"/>
        <v>2100</v>
      </c>
      <c r="H101" s="131"/>
      <c r="I101" s="143">
        <v>350</v>
      </c>
      <c r="J101" s="143">
        <v>350</v>
      </c>
      <c r="K101" s="143">
        <v>350</v>
      </c>
      <c r="L101" s="143">
        <v>350</v>
      </c>
      <c r="M101" s="143">
        <v>350</v>
      </c>
      <c r="N101" s="143">
        <v>350</v>
      </c>
      <c r="O101" s="143">
        <f t="shared" si="33"/>
        <v>2100</v>
      </c>
      <c r="P101" s="143">
        <f t="shared" si="34"/>
        <v>0</v>
      </c>
    </row>
    <row r="102" spans="1:16" ht="14.25">
      <c r="A102" s="143"/>
      <c r="B102" s="142" t="s">
        <v>226</v>
      </c>
      <c r="C102" s="143" t="s">
        <v>14</v>
      </c>
      <c r="D102" s="143">
        <v>1</v>
      </c>
      <c r="E102" s="143">
        <v>350</v>
      </c>
      <c r="F102" s="143">
        <v>6</v>
      </c>
      <c r="G102" s="130">
        <f t="shared" si="35"/>
        <v>2100</v>
      </c>
      <c r="H102" s="131"/>
      <c r="I102" s="143">
        <v>350</v>
      </c>
      <c r="J102" s="143">
        <v>350</v>
      </c>
      <c r="K102" s="143">
        <v>350</v>
      </c>
      <c r="L102" s="143">
        <v>350</v>
      </c>
      <c r="M102" s="143">
        <v>350</v>
      </c>
      <c r="N102" s="143">
        <v>350</v>
      </c>
      <c r="O102" s="143">
        <f t="shared" si="33"/>
        <v>2100</v>
      </c>
      <c r="P102" s="143">
        <f t="shared" si="34"/>
        <v>0</v>
      </c>
    </row>
    <row r="103" spans="1:16" ht="14.25">
      <c r="A103" s="143"/>
      <c r="B103" s="142" t="s">
        <v>227</v>
      </c>
      <c r="C103" s="143" t="s">
        <v>14</v>
      </c>
      <c r="D103" s="143">
        <v>1</v>
      </c>
      <c r="E103" s="143">
        <v>300</v>
      </c>
      <c r="F103" s="143">
        <v>6</v>
      </c>
      <c r="G103" s="130">
        <f t="shared" si="35"/>
        <v>1800</v>
      </c>
      <c r="H103" s="131"/>
      <c r="I103" s="143">
        <v>300</v>
      </c>
      <c r="J103" s="143">
        <v>300</v>
      </c>
      <c r="K103" s="143">
        <v>300</v>
      </c>
      <c r="L103" s="143">
        <v>300</v>
      </c>
      <c r="M103" s="143">
        <v>300</v>
      </c>
      <c r="N103" s="143">
        <v>300</v>
      </c>
      <c r="O103" s="143">
        <f t="shared" si="33"/>
        <v>1800</v>
      </c>
      <c r="P103" s="143">
        <f t="shared" si="34"/>
        <v>0</v>
      </c>
    </row>
    <row r="104" spans="1:16" ht="14.25">
      <c r="A104" s="143"/>
      <c r="B104" s="142" t="s">
        <v>228</v>
      </c>
      <c r="C104" s="143" t="s">
        <v>14</v>
      </c>
      <c r="D104" s="143">
        <v>1</v>
      </c>
      <c r="E104" s="143">
        <v>450</v>
      </c>
      <c r="F104" s="143">
        <v>6</v>
      </c>
      <c r="G104" s="130">
        <f t="shared" si="35"/>
        <v>2700</v>
      </c>
      <c r="H104" s="131"/>
      <c r="I104" s="143">
        <v>450</v>
      </c>
      <c r="J104" s="143">
        <v>450</v>
      </c>
      <c r="K104" s="143">
        <v>450</v>
      </c>
      <c r="L104" s="143">
        <v>450</v>
      </c>
      <c r="M104" s="143">
        <v>450</v>
      </c>
      <c r="N104" s="143">
        <v>450</v>
      </c>
      <c r="O104" s="143">
        <f t="shared" si="33"/>
        <v>2700</v>
      </c>
      <c r="P104" s="143">
        <f t="shared" si="34"/>
        <v>0</v>
      </c>
    </row>
    <row r="105" spans="1:16" ht="14.25">
      <c r="A105" s="143"/>
      <c r="B105" s="142" t="s">
        <v>229</v>
      </c>
      <c r="C105" s="143" t="s">
        <v>14</v>
      </c>
      <c r="D105" s="143">
        <v>1</v>
      </c>
      <c r="E105" s="143">
        <v>350</v>
      </c>
      <c r="F105" s="143">
        <v>6</v>
      </c>
      <c r="G105" s="130">
        <f t="shared" si="35"/>
        <v>2100</v>
      </c>
      <c r="H105" s="131"/>
      <c r="I105" s="143">
        <v>350</v>
      </c>
      <c r="J105" s="143">
        <v>350</v>
      </c>
      <c r="K105" s="143">
        <v>350</v>
      </c>
      <c r="L105" s="143">
        <v>350</v>
      </c>
      <c r="M105" s="143">
        <v>350</v>
      </c>
      <c r="N105" s="143">
        <v>350</v>
      </c>
      <c r="O105" s="143">
        <f t="shared" si="33"/>
        <v>2100</v>
      </c>
      <c r="P105" s="143">
        <f t="shared" si="34"/>
        <v>0</v>
      </c>
    </row>
    <row r="106" spans="1:16" ht="14.25">
      <c r="A106" s="143"/>
      <c r="B106" s="142" t="s">
        <v>230</v>
      </c>
      <c r="C106" s="143" t="s">
        <v>14</v>
      </c>
      <c r="D106" s="143">
        <v>1</v>
      </c>
      <c r="E106" s="143">
        <v>280</v>
      </c>
      <c r="F106" s="143">
        <v>6</v>
      </c>
      <c r="G106" s="130">
        <f t="shared" si="35"/>
        <v>1680</v>
      </c>
      <c r="H106" s="131"/>
      <c r="I106" s="143">
        <v>280</v>
      </c>
      <c r="J106" s="143">
        <v>280</v>
      </c>
      <c r="K106" s="143">
        <v>280</v>
      </c>
      <c r="L106" s="143">
        <v>280</v>
      </c>
      <c r="M106" s="143">
        <v>280</v>
      </c>
      <c r="N106" s="143">
        <v>280</v>
      </c>
      <c r="O106" s="143">
        <f t="shared" si="33"/>
        <v>1680</v>
      </c>
      <c r="P106" s="143">
        <f t="shared" si="34"/>
        <v>0</v>
      </c>
    </row>
    <row r="107" spans="1:16" ht="14.25">
      <c r="A107" s="143"/>
      <c r="B107" s="142" t="s">
        <v>231</v>
      </c>
      <c r="C107" s="143" t="s">
        <v>14</v>
      </c>
      <c r="D107" s="143">
        <v>1</v>
      </c>
      <c r="E107" s="143">
        <v>280</v>
      </c>
      <c r="F107" s="143">
        <v>6</v>
      </c>
      <c r="G107" s="130">
        <f t="shared" si="35"/>
        <v>1680</v>
      </c>
      <c r="H107" s="131"/>
      <c r="I107" s="143">
        <v>280</v>
      </c>
      <c r="J107" s="143">
        <v>280</v>
      </c>
      <c r="K107" s="143">
        <v>280</v>
      </c>
      <c r="L107" s="143">
        <v>280</v>
      </c>
      <c r="M107" s="143">
        <v>280</v>
      </c>
      <c r="N107" s="143">
        <v>280</v>
      </c>
      <c r="O107" s="143">
        <f t="shared" si="33"/>
        <v>1680</v>
      </c>
      <c r="P107" s="143">
        <f t="shared" si="34"/>
        <v>0</v>
      </c>
    </row>
    <row r="108" spans="1:16" ht="14.25">
      <c r="A108" s="143"/>
      <c r="B108" s="142" t="s">
        <v>232</v>
      </c>
      <c r="C108" s="143" t="s">
        <v>14</v>
      </c>
      <c r="D108" s="143">
        <v>1</v>
      </c>
      <c r="E108" s="143">
        <v>130</v>
      </c>
      <c r="F108" s="143">
        <v>6</v>
      </c>
      <c r="G108" s="130">
        <f t="shared" si="35"/>
        <v>780</v>
      </c>
      <c r="H108" s="131"/>
      <c r="I108" s="143">
        <v>1383.3</v>
      </c>
      <c r="J108" s="143">
        <v>1383.3</v>
      </c>
      <c r="K108" s="143">
        <v>1383.3</v>
      </c>
      <c r="L108" s="143">
        <v>1383.3</v>
      </c>
      <c r="M108" s="143">
        <v>1383.3</v>
      </c>
      <c r="N108" s="143">
        <v>1383.3</v>
      </c>
      <c r="O108" s="143">
        <f t="shared" si="33"/>
        <v>8299.8</v>
      </c>
      <c r="P108" s="143">
        <f t="shared" si="34"/>
        <v>-7519.799999999999</v>
      </c>
    </row>
    <row r="109" spans="1:16" ht="14.25">
      <c r="A109" s="185"/>
      <c r="B109" s="186" t="s">
        <v>233</v>
      </c>
      <c r="C109" s="185"/>
      <c r="D109" s="185"/>
      <c r="E109" s="185"/>
      <c r="F109" s="185"/>
      <c r="G109" s="187">
        <f>SUM(G100:G108)</f>
        <v>17340</v>
      </c>
      <c r="H109" s="131"/>
      <c r="I109" s="188">
        <f aca="true" t="shared" si="36" ref="I109:O109">SUM(I100:I108)</f>
        <v>4143.3</v>
      </c>
      <c r="J109" s="188">
        <f t="shared" si="36"/>
        <v>4143.3</v>
      </c>
      <c r="K109" s="188">
        <f t="shared" si="36"/>
        <v>4143.3</v>
      </c>
      <c r="L109" s="188">
        <f t="shared" si="36"/>
        <v>4143.3</v>
      </c>
      <c r="M109" s="188">
        <f t="shared" si="36"/>
        <v>4143.3</v>
      </c>
      <c r="N109" s="188">
        <f t="shared" si="36"/>
        <v>4143.3</v>
      </c>
      <c r="O109" s="188">
        <f t="shared" si="36"/>
        <v>24859.8</v>
      </c>
      <c r="P109" s="188">
        <f t="shared" si="34"/>
        <v>-7519.799999999999</v>
      </c>
    </row>
    <row r="110" spans="1:16" ht="14.25">
      <c r="A110" s="189"/>
      <c r="B110" s="190" t="s">
        <v>234</v>
      </c>
      <c r="C110" s="189"/>
      <c r="D110" s="189"/>
      <c r="E110" s="189"/>
      <c r="F110" s="189"/>
      <c r="G110" s="191"/>
      <c r="H110" s="176"/>
      <c r="I110" s="192"/>
      <c r="J110" s="192"/>
      <c r="K110" s="192"/>
      <c r="L110" s="192"/>
      <c r="M110" s="192"/>
      <c r="N110" s="192"/>
      <c r="O110" s="192">
        <f>SUM(I110:N110)</f>
        <v>0</v>
      </c>
      <c r="P110" s="192">
        <f t="shared" si="34"/>
        <v>0</v>
      </c>
    </row>
    <row r="111" spans="1:16" ht="14.25">
      <c r="A111" s="143"/>
      <c r="B111" s="142" t="s">
        <v>235</v>
      </c>
      <c r="C111" s="143" t="s">
        <v>14</v>
      </c>
      <c r="D111" s="143">
        <v>1</v>
      </c>
      <c r="E111" s="143">
        <v>150</v>
      </c>
      <c r="F111" s="143">
        <v>6</v>
      </c>
      <c r="G111" s="130">
        <f>D111*E111*F111</f>
        <v>900</v>
      </c>
      <c r="H111" s="131"/>
      <c r="I111" s="143">
        <f aca="true" t="shared" si="37" ref="I111:N111">$G$111/6</f>
        <v>150</v>
      </c>
      <c r="J111" s="143">
        <f t="shared" si="37"/>
        <v>150</v>
      </c>
      <c r="K111" s="143">
        <f t="shared" si="37"/>
        <v>150</v>
      </c>
      <c r="L111" s="143">
        <f t="shared" si="37"/>
        <v>150</v>
      </c>
      <c r="M111" s="143">
        <f t="shared" si="37"/>
        <v>150</v>
      </c>
      <c r="N111" s="143">
        <f t="shared" si="37"/>
        <v>150</v>
      </c>
      <c r="O111" s="143">
        <f t="shared" si="33"/>
        <v>900</v>
      </c>
      <c r="P111" s="143">
        <f t="shared" si="34"/>
        <v>0</v>
      </c>
    </row>
    <row r="112" spans="1:16" ht="14.25">
      <c r="A112" s="143"/>
      <c r="B112" s="142" t="s">
        <v>236</v>
      </c>
      <c r="C112" s="143" t="s">
        <v>14</v>
      </c>
      <c r="D112" s="143">
        <v>5</v>
      </c>
      <c r="E112" s="143">
        <v>50</v>
      </c>
      <c r="F112" s="143">
        <v>6</v>
      </c>
      <c r="G112" s="130">
        <f>D112*E112*F112</f>
        <v>1500</v>
      </c>
      <c r="H112" s="131"/>
      <c r="I112" s="143">
        <f aca="true" t="shared" si="38" ref="I112:N112">$G$112/6</f>
        <v>250</v>
      </c>
      <c r="J112" s="143">
        <f t="shared" si="38"/>
        <v>250</v>
      </c>
      <c r="K112" s="143">
        <f t="shared" si="38"/>
        <v>250</v>
      </c>
      <c r="L112" s="143">
        <f t="shared" si="38"/>
        <v>250</v>
      </c>
      <c r="M112" s="143">
        <f t="shared" si="38"/>
        <v>250</v>
      </c>
      <c r="N112" s="143">
        <f t="shared" si="38"/>
        <v>250</v>
      </c>
      <c r="O112" s="143">
        <f t="shared" si="33"/>
        <v>1500</v>
      </c>
      <c r="P112" s="143">
        <f t="shared" si="34"/>
        <v>0</v>
      </c>
    </row>
    <row r="113" spans="1:16" ht="14.25">
      <c r="A113" s="143"/>
      <c r="B113" s="142" t="s">
        <v>237</v>
      </c>
      <c r="C113" s="143" t="s">
        <v>14</v>
      </c>
      <c r="D113" s="143">
        <v>1</v>
      </c>
      <c r="E113" s="143">
        <v>150</v>
      </c>
      <c r="F113" s="143">
        <v>6</v>
      </c>
      <c r="G113" s="130">
        <f>D113*E113*F113</f>
        <v>900</v>
      </c>
      <c r="H113" s="131"/>
      <c r="I113" s="143">
        <f aca="true" t="shared" si="39" ref="I113:N113">$G$113/6</f>
        <v>150</v>
      </c>
      <c r="J113" s="143">
        <f t="shared" si="39"/>
        <v>150</v>
      </c>
      <c r="K113" s="143">
        <f t="shared" si="39"/>
        <v>150</v>
      </c>
      <c r="L113" s="143">
        <f t="shared" si="39"/>
        <v>150</v>
      </c>
      <c r="M113" s="143">
        <f t="shared" si="39"/>
        <v>150</v>
      </c>
      <c r="N113" s="143">
        <f t="shared" si="39"/>
        <v>150</v>
      </c>
      <c r="O113" s="143">
        <f t="shared" si="33"/>
        <v>900</v>
      </c>
      <c r="P113" s="143">
        <f t="shared" si="34"/>
        <v>0</v>
      </c>
    </row>
    <row r="114" spans="1:16" ht="14.25">
      <c r="A114" s="143"/>
      <c r="B114" s="142" t="s">
        <v>238</v>
      </c>
      <c r="C114" s="143" t="s">
        <v>14</v>
      </c>
      <c r="D114" s="143">
        <v>1</v>
      </c>
      <c r="E114" s="143">
        <v>150</v>
      </c>
      <c r="F114" s="143">
        <v>6</v>
      </c>
      <c r="G114" s="130">
        <f>D114*E114*F114</f>
        <v>900</v>
      </c>
      <c r="H114" s="131"/>
      <c r="I114" s="143">
        <f aca="true" t="shared" si="40" ref="I114:N114">$G$114/6</f>
        <v>150</v>
      </c>
      <c r="J114" s="143">
        <f t="shared" si="40"/>
        <v>150</v>
      </c>
      <c r="K114" s="143">
        <f t="shared" si="40"/>
        <v>150</v>
      </c>
      <c r="L114" s="143">
        <f t="shared" si="40"/>
        <v>150</v>
      </c>
      <c r="M114" s="143">
        <f t="shared" si="40"/>
        <v>150</v>
      </c>
      <c r="N114" s="143">
        <f t="shared" si="40"/>
        <v>150</v>
      </c>
      <c r="O114" s="143">
        <f t="shared" si="33"/>
        <v>900</v>
      </c>
      <c r="P114" s="143">
        <f t="shared" si="34"/>
        <v>0</v>
      </c>
    </row>
    <row r="115" spans="1:16" ht="14.25">
      <c r="A115" s="143"/>
      <c r="B115" s="142" t="s">
        <v>239</v>
      </c>
      <c r="C115" s="143" t="s">
        <v>14</v>
      </c>
      <c r="D115" s="143">
        <v>1</v>
      </c>
      <c r="E115" s="143">
        <v>50</v>
      </c>
      <c r="F115" s="143">
        <v>6</v>
      </c>
      <c r="G115" s="130">
        <f>D115*E115*F115</f>
        <v>300</v>
      </c>
      <c r="H115" s="131"/>
      <c r="I115" s="143">
        <f aca="true" t="shared" si="41" ref="I115:N115">$G$115/6</f>
        <v>50</v>
      </c>
      <c r="J115" s="143">
        <f t="shared" si="41"/>
        <v>50</v>
      </c>
      <c r="K115" s="143">
        <f t="shared" si="41"/>
        <v>50</v>
      </c>
      <c r="L115" s="143">
        <f t="shared" si="41"/>
        <v>50</v>
      </c>
      <c r="M115" s="143">
        <f t="shared" si="41"/>
        <v>50</v>
      </c>
      <c r="N115" s="143">
        <f t="shared" si="41"/>
        <v>50</v>
      </c>
      <c r="O115" s="143">
        <f t="shared" si="33"/>
        <v>300</v>
      </c>
      <c r="P115" s="143">
        <f t="shared" si="34"/>
        <v>0</v>
      </c>
    </row>
    <row r="116" spans="1:16" ht="14.25">
      <c r="A116" s="193"/>
      <c r="B116" s="194" t="s">
        <v>240</v>
      </c>
      <c r="C116" s="193"/>
      <c r="D116" s="193"/>
      <c r="E116" s="193"/>
      <c r="F116" s="193"/>
      <c r="G116" s="195">
        <f>SUM(G111:G115)</f>
        <v>4500</v>
      </c>
      <c r="H116" s="131"/>
      <c r="I116" s="196">
        <f aca="true" t="shared" si="42" ref="I116:N116">SUM(I111:I115)</f>
        <v>750</v>
      </c>
      <c r="J116" s="196">
        <f t="shared" si="42"/>
        <v>750</v>
      </c>
      <c r="K116" s="196">
        <f t="shared" si="42"/>
        <v>750</v>
      </c>
      <c r="L116" s="196">
        <f t="shared" si="42"/>
        <v>750</v>
      </c>
      <c r="M116" s="196">
        <f t="shared" si="42"/>
        <v>750</v>
      </c>
      <c r="N116" s="196">
        <f t="shared" si="42"/>
        <v>750</v>
      </c>
      <c r="O116" s="196">
        <f t="shared" si="33"/>
        <v>4500</v>
      </c>
      <c r="P116" s="196">
        <f t="shared" si="34"/>
        <v>0</v>
      </c>
    </row>
    <row r="117" spans="1:16" ht="14.25">
      <c r="A117" s="143"/>
      <c r="B117" s="142" t="s">
        <v>241</v>
      </c>
      <c r="C117" s="143"/>
      <c r="D117" s="143"/>
      <c r="E117" s="143"/>
      <c r="F117" s="143"/>
      <c r="G117" s="197">
        <f>G116+G109</f>
        <v>21840</v>
      </c>
      <c r="H117" s="131"/>
      <c r="I117" s="151">
        <f aca="true" t="shared" si="43" ref="I117:N117">I116+I109</f>
        <v>4893.3</v>
      </c>
      <c r="J117" s="151">
        <f t="shared" si="43"/>
        <v>4893.3</v>
      </c>
      <c r="K117" s="151">
        <f t="shared" si="43"/>
        <v>4893.3</v>
      </c>
      <c r="L117" s="151">
        <f t="shared" si="43"/>
        <v>4893.3</v>
      </c>
      <c r="M117" s="151">
        <f t="shared" si="43"/>
        <v>4893.3</v>
      </c>
      <c r="N117" s="151">
        <f t="shared" si="43"/>
        <v>4893.3</v>
      </c>
      <c r="O117" s="151">
        <f t="shared" si="33"/>
        <v>29359.8</v>
      </c>
      <c r="P117" s="151">
        <f t="shared" si="34"/>
        <v>-7519.799999999999</v>
      </c>
    </row>
    <row r="118" spans="1:16" ht="15" thickBot="1">
      <c r="A118" s="198"/>
      <c r="B118" s="199" t="s">
        <v>242</v>
      </c>
      <c r="C118" s="198"/>
      <c r="D118" s="198"/>
      <c r="E118" s="198"/>
      <c r="F118" s="198"/>
      <c r="G118" s="200">
        <f>G117+G97</f>
        <v>76915</v>
      </c>
      <c r="H118" s="201"/>
      <c r="I118" s="202">
        <f aca="true" t="shared" si="44" ref="I118:N118">I117+I97</f>
        <v>19914.966666666667</v>
      </c>
      <c r="J118" s="202">
        <f t="shared" si="44"/>
        <v>8883.3</v>
      </c>
      <c r="K118" s="202">
        <f t="shared" si="44"/>
        <v>17954.966666666667</v>
      </c>
      <c r="L118" s="202">
        <f t="shared" si="44"/>
        <v>10843.3</v>
      </c>
      <c r="M118" s="202">
        <f t="shared" si="44"/>
        <v>17954.966666666667</v>
      </c>
      <c r="N118" s="202">
        <f t="shared" si="44"/>
        <v>8883.3</v>
      </c>
      <c r="O118" s="202">
        <f t="shared" si="33"/>
        <v>84434.8</v>
      </c>
      <c r="P118" s="202">
        <f t="shared" si="34"/>
        <v>-7519.800000000003</v>
      </c>
    </row>
  </sheetData>
  <sheetProtection/>
  <mergeCells count="2">
    <mergeCell ref="I5:N5"/>
    <mergeCell ref="B8:N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USER</cp:lastModifiedBy>
  <dcterms:created xsi:type="dcterms:W3CDTF">2018-09-26T14:22:50Z</dcterms:created>
  <dcterms:modified xsi:type="dcterms:W3CDTF">2020-05-26T14:06:22Z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