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lphonse\Documents\PROJETS BPF\Rapports annuels 2020\UNICEF UNFPA UNESCO\"/>
    </mc:Choice>
  </mc:AlternateContent>
  <xr:revisionPtr revIDLastSave="0" documentId="8_{9FFD4A68-ED82-41DE-A270-45D59C7D8364}" xr6:coauthVersionLast="45" xr6:coauthVersionMax="45" xr10:uidLastSave="{00000000-0000-0000-0000-000000000000}"/>
  <bookViews>
    <workbookView xWindow="-120" yWindow="-120" windowWidth="20730" windowHeight="11160" activeTab="1" xr2:uid="{00000000-000D-0000-FFFF-FFFF00000000}"/>
  </bookViews>
  <sheets>
    <sheet name="Budget Global" sheetId="1" r:id="rId1"/>
    <sheet name="Details par cathégories " sheetId="3" r:id="rId2"/>
  </sheets>
  <definedNames>
    <definedName name="_xlnm.Print_Area" localSheetId="0">'Budget Global'!$A$1:$I$58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 i="3" l="1"/>
  <c r="L15" i="3"/>
  <c r="M13" i="3"/>
  <c r="M10" i="3"/>
  <c r="L14" i="3"/>
  <c r="K14" i="3"/>
  <c r="D15" i="3"/>
  <c r="D17" i="3" s="1"/>
  <c r="I13" i="3"/>
  <c r="G13" i="3"/>
  <c r="F13" i="3"/>
  <c r="E13" i="3"/>
  <c r="C13" i="3"/>
  <c r="B13" i="3"/>
  <c r="H12" i="3"/>
  <c r="E12" i="3"/>
  <c r="I12" i="3" s="1"/>
  <c r="C11" i="3"/>
  <c r="I11" i="3" s="1"/>
  <c r="B11" i="3"/>
  <c r="H11" i="3" s="1"/>
  <c r="J11" i="3" s="1"/>
  <c r="G10" i="3"/>
  <c r="I10" i="3" s="1"/>
  <c r="F10" i="3"/>
  <c r="C10" i="3"/>
  <c r="B10" i="3"/>
  <c r="H10" i="3" s="1"/>
  <c r="C9" i="3"/>
  <c r="I9" i="3" s="1"/>
  <c r="B9" i="3"/>
  <c r="H9" i="3" s="1"/>
  <c r="G8" i="3"/>
  <c r="F8" i="3"/>
  <c r="C8" i="3"/>
  <c r="B8" i="3"/>
  <c r="H8" i="3" s="1"/>
  <c r="G7" i="3"/>
  <c r="F7" i="3"/>
  <c r="F14" i="3" s="1"/>
  <c r="C7" i="3"/>
  <c r="B7" i="3"/>
  <c r="G14" i="3" l="1"/>
  <c r="J12" i="3"/>
  <c r="J10" i="3"/>
  <c r="I8" i="3"/>
  <c r="J8" i="3" s="1"/>
  <c r="H13" i="3"/>
  <c r="J13" i="3" s="1"/>
  <c r="J9" i="3"/>
  <c r="M14" i="3"/>
  <c r="M15" i="3" s="1"/>
  <c r="B14" i="3"/>
  <c r="B15" i="3" s="1"/>
  <c r="K15" i="3"/>
  <c r="K17" i="3" s="1"/>
  <c r="K20" i="3" s="1"/>
  <c r="F15" i="3"/>
  <c r="F17" i="3" s="1"/>
  <c r="G15" i="3"/>
  <c r="G17" i="3" s="1"/>
  <c r="L17" i="3"/>
  <c r="L20" i="3" s="1"/>
  <c r="H7" i="3"/>
  <c r="I7" i="3"/>
  <c r="C14" i="3"/>
  <c r="E14" i="3"/>
  <c r="B17" i="3" l="1"/>
  <c r="H14" i="3"/>
  <c r="M17" i="3"/>
  <c r="M20" i="3" s="1"/>
  <c r="L22" i="3"/>
  <c r="E15" i="3"/>
  <c r="E17" i="3"/>
  <c r="C15" i="3"/>
  <c r="I15" i="3" s="1"/>
  <c r="I14" i="3"/>
  <c r="J7" i="3"/>
  <c r="H15" i="3"/>
  <c r="C17" i="3" l="1"/>
  <c r="J15" i="3"/>
  <c r="I17" i="3"/>
  <c r="H17" i="3"/>
  <c r="J14" i="3"/>
  <c r="J17" i="3" s="1"/>
  <c r="G45" i="1" l="1"/>
  <c r="G46" i="1" s="1"/>
  <c r="G47" i="1" s="1"/>
  <c r="G33" i="1"/>
  <c r="G28" i="1"/>
  <c r="G23" i="1"/>
  <c r="G18" i="1"/>
  <c r="G48" i="1" l="1"/>
  <c r="G49" i="1" s="1"/>
  <c r="I45" i="1"/>
  <c r="I33" i="1"/>
  <c r="I28" i="1"/>
  <c r="I23" i="1"/>
  <c r="I18" i="1"/>
  <c r="I46" i="1" l="1"/>
  <c r="I47" i="1" l="1"/>
  <c r="I48" i="1" l="1"/>
  <c r="I49" i="1" s="1"/>
  <c r="H23" i="1"/>
  <c r="H18" i="1"/>
  <c r="H45" i="1" l="1"/>
  <c r="H33" i="1"/>
  <c r="H28" i="1"/>
  <c r="H46" i="1" l="1"/>
  <c r="D45" i="1"/>
  <c r="H47" i="1" l="1"/>
  <c r="C30" i="1"/>
  <c r="H48" i="1" l="1"/>
  <c r="H49" i="1" s="1"/>
  <c r="I50" i="1" l="1"/>
  <c r="E45" i="1"/>
  <c r="C40" i="1"/>
  <c r="C45" i="1" s="1"/>
  <c r="C33" i="1"/>
  <c r="D18" i="1"/>
  <c r="E18" i="1"/>
  <c r="D33" i="1"/>
  <c r="E33" i="1"/>
  <c r="E28" i="1" l="1"/>
  <c r="D28" i="1" l="1"/>
  <c r="C28" i="1"/>
  <c r="D23" i="1"/>
  <c r="E23" i="1"/>
  <c r="E46" i="1" s="1"/>
  <c r="E47" i="1" s="1"/>
  <c r="C23" i="1"/>
  <c r="C18" i="1"/>
  <c r="E48" i="1" l="1"/>
  <c r="C46" i="1"/>
  <c r="D46" i="1"/>
  <c r="D47" i="1" l="1"/>
  <c r="C47" i="1"/>
  <c r="E49" i="1"/>
  <c r="I52" i="1" s="1"/>
  <c r="C48" i="1" l="1"/>
  <c r="D48" i="1"/>
  <c r="C49" i="1"/>
  <c r="G52" i="1" s="1"/>
  <c r="D49" i="1"/>
  <c r="H52" i="1" s="1"/>
  <c r="E50" i="1" l="1"/>
  <c r="G55" i="1" s="1"/>
</calcChain>
</file>

<file path=xl/sharedStrings.xml><?xml version="1.0" encoding="utf-8"?>
<sst xmlns="http://schemas.openxmlformats.org/spreadsheetml/2006/main" count="91" uniqueCount="81">
  <si>
    <t>CATEGORIES</t>
  </si>
  <si>
    <t>TOTAL</t>
  </si>
  <si>
    <t>Tranche 1 (70%)</t>
  </si>
  <si>
    <t>Annexe D - Budget du projet PBF</t>
  </si>
  <si>
    <t>Tableau 2 - Budget de projet PBF par categorie de cout de l'ONU</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</si>
  <si>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</si>
  <si>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</si>
  <si>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</si>
  <si>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</si>
  <si>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</si>
  <si>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</si>
  <si>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</si>
  <si>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</si>
  <si>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</si>
  <si>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UNFPA</t>
  </si>
  <si>
    <t>UNICEF</t>
  </si>
  <si>
    <t>UNESCO</t>
  </si>
  <si>
    <t xml:space="preserve">Organiser un atelier de trois jours, entre les trois agences, pour harmoniser les contenus des supports de communication, et les messages en faveur de la résilience </t>
  </si>
  <si>
    <t>Organiser les sorties conjointes de suivi du projet</t>
  </si>
  <si>
    <t>Tableau 1 - Budget du projet PBF par resultat, produit et activité</t>
  </si>
  <si>
    <t>Formulation du resultat/ produit/ activité</t>
  </si>
  <si>
    <t>Budget UNFPA</t>
  </si>
  <si>
    <t>Budget UNICEF</t>
  </si>
  <si>
    <t>Budget UNESCO</t>
  </si>
  <si>
    <t>Numéro de resultat/ produit et activité</t>
  </si>
  <si>
    <t>Résultat 1: Les jeunes filles et les jeunes garçons sont résilients et contribuent à la réconciliation et à la prévention des violences à travers une meilleure perception du passé.</t>
  </si>
  <si>
    <t>Total Produit 1.1</t>
  </si>
  <si>
    <t>Total Produit 2.2</t>
  </si>
  <si>
    <t>Résultat 2 : Les institutions nationales contribuent à une présentation constructive du passé aux jeunes filles et garçons.</t>
  </si>
  <si>
    <t>Total Produit 2.1</t>
  </si>
  <si>
    <t>Produit 2.2 : Les décideurs au niveau national prennent en compte les attentes des jeunes en rapport avec la présentation constructive du passé</t>
  </si>
  <si>
    <t xml:space="preserve">Résultat  transversal : La coordination, le suivi et l’évaluation, la documentation et la communication, sont opérationnels </t>
  </si>
  <si>
    <t>Total Produit 1.2</t>
  </si>
  <si>
    <t xml:space="preserve">Former les jeunes bénéficiaires sur la résolution pacifique des conflits    </t>
  </si>
  <si>
    <t xml:space="preserve">Produire un guide sur la base d’éléments culturels pour améliorer la perception des jeunes par rapport au passé </t>
  </si>
  <si>
    <t>Produire les contenus audio-visuels promouvant la résilience, le pardon et la réconciliation (chaque agence)</t>
  </si>
  <si>
    <t xml:space="preserve">Diffuser des messages, spots publicitaires, magazines, vidéos sur la réconciliation focalisés sur les jeunes </t>
  </si>
  <si>
    <t>Former un pool de jeunes sur les techniques interactives et participatives pour la réconciliation, sur la médiation communautaire, sur le dialogue pour la paix, sur la participation des jeunes et gestion des conflits.</t>
  </si>
  <si>
    <t xml:space="preserve">Organiser des séances sur la résilience communautaire dans les zones d’interventions et les réseaux. </t>
  </si>
  <si>
    <t>Organiser des jeux éducatifs et interactifs sur la réconciliation</t>
  </si>
  <si>
    <t xml:space="preserve">Produit 1. 1 :   Les jeunes filles et garçons, sont des agents de changement en matière de résilience communautaire et participent à la présentation constructive du passé du pays  </t>
  </si>
  <si>
    <t>Produit 1. 2 : Les capacités des réseaux communautaires et de jeunes filles et garçons sont renforcées pour relayer une compréhension apaisée du passé dans les communautés</t>
  </si>
  <si>
    <t xml:space="preserve">Organiser des fora d’échanges et de dialogues intergénérationnels sur la résilience face aux conflits, le pardon, la tolérance politique </t>
  </si>
  <si>
    <t xml:space="preserve">Renforcer les capacités des réseaux communautaires  y compris les nouveaux, en matière de résilience communautaire, </t>
  </si>
  <si>
    <t>Organiser des session de diffusion de la stratégie de résilience auprès des leaders communaux (élaboré au cours du projet passé)</t>
  </si>
  <si>
    <t xml:space="preserve">Organiser de sessions de plaidoyer pour l’appropriation communautaire/ communale du projet </t>
  </si>
  <si>
    <t>Organiser le recueil et la diffusion des bonnes pratiques et des leçons apprises,</t>
  </si>
  <si>
    <t>Organiser un atelier d’harmonisation des outils de collectes de données du projet.</t>
  </si>
  <si>
    <t>Organiser des ateliers de validation des données</t>
  </si>
  <si>
    <t>Organiser un atelier d’élaboration des plan d’action pour chaque réseau</t>
  </si>
  <si>
    <t xml:space="preserve">Organiser un forum national de plaidoyer des jeunes impliqués dans le projet auprès de décideurs </t>
  </si>
  <si>
    <r>
      <t>Resultat 1: Les jeunes filles et les jeunes garçons, bénéficiant du projet, sont plus résilients, contribuent à la réconciliation et à la prévention des violences à travers une meilleure perception du passé</t>
    </r>
    <r>
      <rPr>
        <sz val="11"/>
        <color theme="1"/>
        <rFont val="Times New Roman"/>
        <family val="1"/>
      </rPr>
      <t xml:space="preserve">. </t>
    </r>
  </si>
  <si>
    <t xml:space="preserve"> Renforcer les capacités des jeunes en matière de production d’outils de communication sur la résilience</t>
  </si>
  <si>
    <t xml:space="preserve"> Equiper les espaces de rencontre des jeunes</t>
  </si>
  <si>
    <t xml:space="preserve"> Former les jeunes bénéficiaires sur la communication non violente et non-violence active</t>
  </si>
  <si>
    <r>
      <t>Produit 2.1</t>
    </r>
    <r>
      <rPr>
        <sz val="11"/>
        <color theme="1"/>
        <rFont val="Times New Roman"/>
        <family val="1"/>
      </rPr>
      <t xml:space="preserve">: </t>
    </r>
    <r>
      <rPr>
        <b/>
        <i/>
        <sz val="11"/>
        <color theme="1"/>
        <rFont val="Times New Roman"/>
        <family val="1"/>
      </rPr>
      <t>Les leaders d’opinion et les autorités locales et les média contribuent au renforcement des capacités des jeunes filles et garçons en matière de résilience communautaire en lien avec le passé</t>
    </r>
  </si>
  <si>
    <t xml:space="preserve">TOTAL </t>
  </si>
  <si>
    <t>PROJET: Appui à la Résilience des jeunes face aux conflits sociopolitiques au Burundi</t>
  </si>
  <si>
    <t>Appuyer la dynamisation des comités mixtes de sécurité pour une meilleure prise en compte des activités de resilience</t>
  </si>
  <si>
    <r>
      <t xml:space="preserve">Organiser des sessions regulières de plaidoyer auprès des élus </t>
    </r>
    <r>
      <rPr>
        <b/>
        <i/>
        <sz val="11"/>
        <color theme="1"/>
        <rFont val="Times New Roman"/>
        <family val="1"/>
      </rPr>
      <t>(Députés, chefs de collines)</t>
    </r>
    <r>
      <rPr>
        <sz val="11"/>
        <color theme="1"/>
        <rFont val="Times New Roman"/>
        <family val="1"/>
      </rPr>
      <t xml:space="preserve">, en faveur d’une meilleure gestion du passé par les jeunes filles et garçons </t>
    </r>
    <r>
      <rPr>
        <b/>
        <i/>
        <sz val="11"/>
        <color theme="9"/>
        <rFont val="Times New Roman"/>
        <family val="1"/>
      </rPr>
      <t xml:space="preserve">(incitation a intégrer les besoins des jeunes dans leurs plans) </t>
    </r>
  </si>
  <si>
    <t xml:space="preserve">Réaliser deux études sur les perceptions des aînés et des jeunes sur le passé, une au début et l’autre à la fin du projet. </t>
  </si>
  <si>
    <t>Renforcer l’équipe de suivi évaluation et d’assistance technique (Spécialiste adolescents)</t>
  </si>
  <si>
    <t xml:space="preserve"> Asssurer la gestion et la coordination du projet ( pour UNFPA, 2 VNU, 50 000 PBSO, Coordination du projet au nom des trois agences )  Pour UNESCO (Chargé de suivi du projet, chauffeur)</t>
  </si>
  <si>
    <t>Frais de gestion (7%)</t>
  </si>
  <si>
    <t>Budget pour les activités</t>
  </si>
  <si>
    <t>Cout du projet</t>
  </si>
  <si>
    <t>TOTAL GLOBAL</t>
  </si>
  <si>
    <t>% Dépenses par rapport au budget total</t>
  </si>
  <si>
    <t xml:space="preserve">%/ direct sur le genre </t>
  </si>
  <si>
    <t>Total Résultat transversal</t>
  </si>
  <si>
    <t xml:space="preserve">Dépenses </t>
  </si>
  <si>
    <t>Appuyer les réseaux communautaires pour la mise en œuvre des activités liées à la résilience communautaire et la gestion du passé</t>
  </si>
  <si>
    <t xml:space="preserve">Organiser des sessions de plaidoyer auprès des leaders d'opinion locaux pour les sensibiliser aux besoins, attentes et apports des jeunes quant à prévention des conflits et violences, à travers une bonne gestion du passé </t>
  </si>
  <si>
    <t xml:space="preserve"> </t>
  </si>
  <si>
    <t>Total tranche 1</t>
  </si>
  <si>
    <t>Total tranche 2</t>
  </si>
  <si>
    <t xml:space="preserve"> TOTAL PROJET</t>
  </si>
  <si>
    <t xml:space="preserve">Depenses </t>
  </si>
  <si>
    <t>Tranche 2 (30%)</t>
  </si>
  <si>
    <t xml:space="preserve"> Montant destiné à la promotion du genre (50% )</t>
  </si>
  <si>
    <t>TOTAL Grenre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</si>
</sst>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 _F_B_u_-;\-* #,##0.00\ _F_B_u_-;_-* &quot;-&quot;??\ _F_B_u_-;_-@_-"/>
    <numFmt numFmtId="166" formatCode="_-* #,##0\ _€_-;\-* #,##0\ _€_-;_-* &quot;-&quot;??\ _€_-;_-@_-"/>
    <numFmt numFmtId="167" formatCode="[$-10409]#,##0.00"/>
  </numFmts>
  <fonts count="29"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1"/>
      <color theme="1"/>
      <name val="Times New Roman"/>
      <family val="1"/>
    </font>
    <font>
      <b/>
      <sz val="11"/>
      <color theme="1"/>
      <name val="Times New Roman"/>
      <family val="1"/>
    </font>
    <font>
      <b/>
      <i/>
      <sz val="11"/>
      <color theme="1"/>
      <name val="Times New Roman"/>
      <family val="1"/>
    </font>
    <font>
      <sz val="11"/>
      <color theme="1"/>
      <name val="Arial Narrow"/>
      <family val="2"/>
    </font>
    <font>
      <sz val="11"/>
      <name val="Times New Roman"/>
      <family val="1"/>
    </font>
    <font>
      <b/>
      <sz val="11"/>
      <name val="Times New Roman"/>
      <family val="1"/>
    </font>
    <font>
      <sz val="11"/>
      <color rgb="FFFF0000"/>
      <name val="Times New Roman"/>
      <family val="1"/>
    </font>
    <font>
      <sz val="11"/>
      <color rgb="FF9C0006"/>
      <name val="Calibri"/>
      <family val="2"/>
      <scheme val="minor"/>
    </font>
    <font>
      <b/>
      <i/>
      <sz val="11"/>
      <color theme="9"/>
      <name val="Times New Roman"/>
      <family val="1"/>
    </font>
    <font>
      <sz val="10"/>
      <name val="Times New Roman"/>
      <family val="1"/>
    </font>
    <font>
      <b/>
      <sz val="10"/>
      <color theme="1"/>
      <name val="Calibri"/>
      <family val="2"/>
      <scheme val="minor"/>
    </font>
    <font>
      <sz val="10"/>
      <color theme="1"/>
      <name val="Calibri"/>
      <family val="2"/>
      <scheme val="minor"/>
    </font>
    <font>
      <b/>
      <sz val="10"/>
      <name val="Times New Roman"/>
      <family val="1"/>
    </font>
    <font>
      <b/>
      <sz val="11"/>
      <color rgb="FF9C0006"/>
      <name val="Calibri"/>
      <family val="2"/>
      <scheme val="minor"/>
    </font>
    <font>
      <b/>
      <sz val="11"/>
      <color rgb="FF00B050"/>
      <name val="Calibri"/>
      <family val="2"/>
      <scheme val="minor"/>
    </font>
    <font>
      <b/>
      <sz val="8"/>
      <color rgb="FF000000"/>
      <name val="Arial"/>
      <family val="2"/>
    </font>
    <font>
      <sz val="11"/>
      <name val="Calibri"/>
      <family val="2"/>
    </font>
    <font>
      <sz val="11"/>
      <color rgb="FF0070C0"/>
      <name val="Calibri"/>
      <family val="2"/>
      <scheme val="minor"/>
    </font>
    <font>
      <sz val="11"/>
      <name val="Calibri"/>
      <family val="2"/>
      <scheme val="minor"/>
    </font>
    <font>
      <b/>
      <sz val="11"/>
      <name val="Calibri"/>
      <family val="2"/>
      <scheme val="minor"/>
    </font>
    <font>
      <sz val="10"/>
      <name val="Calibri"/>
      <family val="2"/>
      <scheme val="minor"/>
    </font>
  </fonts>
  <fills count="1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bgColor indexed="64"/>
      </patternFill>
    </fill>
    <fill>
      <patternFill patternType="solid">
        <fgColor theme="0" tint="-0.14999847407452621"/>
        <bgColor indexed="64"/>
      </patternFill>
    </fill>
    <fill>
      <patternFill patternType="solid">
        <fgColor rgb="FFFFC7CE"/>
      </patternFill>
    </fill>
    <fill>
      <patternFill patternType="solid">
        <fgColor theme="3" tint="0.79998168889431442"/>
        <bgColor indexed="64"/>
      </patternFill>
    </fill>
    <fill>
      <patternFill patternType="solid">
        <fgColor theme="7" tint="0.39997558519241921"/>
        <bgColor indexed="64"/>
      </patternFill>
    </fill>
    <fill>
      <patternFill patternType="solid">
        <fgColor rgb="FFF5F5F5"/>
        <bgColor rgb="FFF5F5F5"/>
      </patternFill>
    </fill>
    <fill>
      <patternFill patternType="solid">
        <fgColor theme="2" tint="-9.9978637043366805E-2"/>
        <bgColor indexed="64"/>
      </patternFill>
    </fill>
    <fill>
      <patternFill patternType="solid">
        <fgColor theme="9" tint="0.59999389629810485"/>
        <bgColor indexed="64"/>
      </patternFill>
    </fill>
  </fills>
  <borders count="21">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s>
  <cellStyleXfs count="4">
    <xf numFmtId="0" fontId="0" fillId="0" borderId="0"/>
    <xf numFmtId="164" fontId="7" fillId="0" borderId="0" applyFont="0" applyFill="0" applyBorder="0" applyAlignment="0" applyProtection="0"/>
    <xf numFmtId="0" fontId="15" fillId="12" borderId="0" applyNumberFormat="0" applyBorder="0" applyAlignment="0" applyProtection="0"/>
    <xf numFmtId="9" fontId="7" fillId="0" borderId="0" applyFont="0" applyFill="0" applyBorder="0" applyAlignment="0" applyProtection="0"/>
  </cellStyleXfs>
  <cellXfs count="191">
    <xf numFmtId="0" fontId="0" fillId="0" borderId="0" xfId="0"/>
    <xf numFmtId="166" fontId="4" fillId="0" borderId="0" xfId="1" applyNumberFormat="1" applyFont="1"/>
    <xf numFmtId="166" fontId="1" fillId="0" borderId="0" xfId="1" applyNumberFormat="1" applyFont="1"/>
    <xf numFmtId="166" fontId="2" fillId="3" borderId="3" xfId="1" applyNumberFormat="1" applyFont="1" applyFill="1" applyBorder="1" applyAlignment="1">
      <alignment horizontal="center" vertical="center" wrapText="1"/>
    </xf>
    <xf numFmtId="166" fontId="5" fillId="0" borderId="5" xfId="1" applyNumberFormat="1" applyFont="1" applyBorder="1" applyAlignment="1">
      <alignment vertical="center" wrapText="1"/>
    </xf>
    <xf numFmtId="166" fontId="3" fillId="0" borderId="3" xfId="1" applyNumberFormat="1" applyFont="1" applyBorder="1" applyAlignment="1">
      <alignment horizontal="right" vertical="center" wrapText="1"/>
    </xf>
    <xf numFmtId="166" fontId="5" fillId="0" borderId="2" xfId="1" applyNumberFormat="1" applyFont="1" applyBorder="1" applyAlignment="1">
      <alignment vertical="center" wrapText="1"/>
    </xf>
    <xf numFmtId="166" fontId="3" fillId="0" borderId="3" xfId="1" applyNumberFormat="1" applyFont="1" applyBorder="1" applyAlignment="1">
      <alignment horizontal="center" vertical="center" wrapText="1"/>
    </xf>
    <xf numFmtId="166" fontId="6" fillId="4" borderId="2" xfId="1" applyNumberFormat="1" applyFont="1" applyFill="1" applyBorder="1" applyAlignment="1">
      <alignment vertical="center" wrapText="1"/>
    </xf>
    <xf numFmtId="0" fontId="0" fillId="0" borderId="0" xfId="0" applyFont="1"/>
    <xf numFmtId="0" fontId="0" fillId="7" borderId="0" xfId="0" applyFont="1" applyFill="1"/>
    <xf numFmtId="166" fontId="3" fillId="11" borderId="3" xfId="1" applyNumberFormat="1" applyFont="1" applyFill="1" applyBorder="1" applyAlignment="1">
      <alignment horizontal="right" vertical="center" wrapText="1"/>
    </xf>
    <xf numFmtId="3" fontId="8" fillId="0" borderId="6" xfId="1" applyNumberFormat="1" applyFont="1" applyBorder="1" applyAlignment="1">
      <alignment horizontal="justify" vertical="center"/>
    </xf>
    <xf numFmtId="3" fontId="12" fillId="0" borderId="6" xfId="1" applyNumberFormat="1" applyFont="1" applyBorder="1" applyAlignment="1">
      <alignment horizontal="justify" vertical="center" wrapText="1"/>
    </xf>
    <xf numFmtId="3" fontId="12" fillId="0" borderId="6" xfId="1" applyNumberFormat="1" applyFont="1" applyBorder="1" applyAlignment="1">
      <alignment vertical="center" wrapText="1"/>
    </xf>
    <xf numFmtId="3" fontId="8" fillId="0" borderId="6" xfId="1" applyNumberFormat="1" applyFont="1" applyBorder="1" applyAlignment="1">
      <alignment horizontal="left" vertical="center" wrapText="1"/>
    </xf>
    <xf numFmtId="3" fontId="8" fillId="0" borderId="6" xfId="1" applyNumberFormat="1" applyFont="1" applyBorder="1" applyAlignment="1">
      <alignment vertical="center" wrapText="1"/>
    </xf>
    <xf numFmtId="3" fontId="8" fillId="0" borderId="6" xfId="1" applyNumberFormat="1" applyFont="1" applyBorder="1"/>
    <xf numFmtId="3" fontId="12" fillId="0" borderId="6" xfId="1" applyNumberFormat="1" applyFont="1" applyBorder="1" applyAlignment="1">
      <alignment vertical="top"/>
    </xf>
    <xf numFmtId="3" fontId="9" fillId="9" borderId="6" xfId="1" applyNumberFormat="1" applyFont="1" applyFill="1" applyBorder="1" applyAlignment="1">
      <alignment vertical="center" wrapText="1"/>
    </xf>
    <xf numFmtId="3" fontId="8" fillId="0" borderId="6" xfId="1" applyNumberFormat="1" applyFont="1" applyBorder="1" applyAlignment="1">
      <alignment horizontal="left" vertical="top" wrapText="1"/>
    </xf>
    <xf numFmtId="3" fontId="8" fillId="0" borderId="6" xfId="1" applyNumberFormat="1" applyFont="1" applyBorder="1" applyAlignment="1">
      <alignment wrapText="1"/>
    </xf>
    <xf numFmtId="3" fontId="0" fillId="0" borderId="6" xfId="1" applyNumberFormat="1" applyFont="1" applyBorder="1"/>
    <xf numFmtId="3" fontId="0" fillId="0" borderId="6" xfId="0" applyNumberFormat="1" applyFont="1" applyBorder="1"/>
    <xf numFmtId="3" fontId="12" fillId="0" borderId="6" xfId="1" applyNumberFormat="1" applyFont="1" applyBorder="1" applyAlignment="1">
      <alignment horizontal="right" vertical="center" wrapText="1"/>
    </xf>
    <xf numFmtId="0" fontId="0" fillId="0" borderId="6" xfId="0" applyFont="1" applyBorder="1"/>
    <xf numFmtId="3" fontId="4" fillId="0" borderId="6" xfId="0" applyNumberFormat="1" applyFont="1" applyBorder="1"/>
    <xf numFmtId="3" fontId="8" fillId="0" borderId="6" xfId="0" applyNumberFormat="1" applyFont="1" applyBorder="1" applyAlignment="1">
      <alignment horizontal="center" vertical="center" wrapText="1"/>
    </xf>
    <xf numFmtId="3" fontId="12" fillId="0" borderId="6" xfId="1" applyNumberFormat="1" applyFont="1" applyBorder="1" applyAlignment="1">
      <alignment horizontal="center" vertical="center" wrapText="1"/>
    </xf>
    <xf numFmtId="3" fontId="8" fillId="0" borderId="6" xfId="1" applyNumberFormat="1" applyFont="1" applyBorder="1" applyAlignment="1">
      <alignment vertical="center"/>
    </xf>
    <xf numFmtId="3" fontId="14" fillId="0" borderId="6" xfId="1" applyNumberFormat="1" applyFont="1" applyBorder="1"/>
    <xf numFmtId="3" fontId="9" fillId="0" borderId="6" xfId="1" applyNumberFormat="1" applyFont="1" applyBorder="1" applyAlignment="1">
      <alignment vertical="center" wrapText="1"/>
    </xf>
    <xf numFmtId="3" fontId="1" fillId="0" borderId="6" xfId="0" applyNumberFormat="1" applyFont="1" applyBorder="1"/>
    <xf numFmtId="0" fontId="15" fillId="0" borderId="6" xfId="2" applyFill="1" applyBorder="1"/>
    <xf numFmtId="3" fontId="6" fillId="9" borderId="6" xfId="1" applyNumberFormat="1" applyFont="1" applyFill="1" applyBorder="1" applyAlignment="1">
      <alignment vertical="center" wrapText="1"/>
    </xf>
    <xf numFmtId="3" fontId="5" fillId="0" borderId="6" xfId="1" applyNumberFormat="1" applyFont="1" applyBorder="1" applyAlignment="1">
      <alignment horizontal="justify" vertical="center"/>
    </xf>
    <xf numFmtId="3" fontId="5" fillId="0" borderId="6" xfId="1" applyNumberFormat="1" applyFont="1" applyBorder="1" applyAlignment="1">
      <alignment horizontal="left" vertical="top" wrapText="1"/>
    </xf>
    <xf numFmtId="3" fontId="19" fillId="0" borderId="6" xfId="1" applyNumberFormat="1" applyFont="1" applyBorder="1"/>
    <xf numFmtId="3" fontId="19" fillId="0" borderId="6" xfId="0" applyNumberFormat="1" applyFont="1" applyBorder="1"/>
    <xf numFmtId="3" fontId="6" fillId="0" borderId="6" xfId="1" applyNumberFormat="1" applyFont="1" applyFill="1" applyBorder="1" applyAlignment="1">
      <alignment vertical="center" wrapText="1"/>
    </xf>
    <xf numFmtId="3" fontId="20" fillId="0" borderId="6" xfId="1" applyNumberFormat="1" applyFont="1" applyFill="1" applyBorder="1" applyAlignment="1">
      <alignment vertical="center" wrapText="1"/>
    </xf>
    <xf numFmtId="0" fontId="0" fillId="0" borderId="0" xfId="0" applyFont="1" applyFill="1"/>
    <xf numFmtId="3" fontId="19" fillId="0" borderId="6" xfId="1" applyNumberFormat="1" applyFont="1" applyFill="1" applyBorder="1"/>
    <xf numFmtId="3" fontId="19" fillId="0" borderId="6" xfId="0" applyNumberFormat="1" applyFont="1" applyFill="1" applyBorder="1"/>
    <xf numFmtId="0" fontId="21" fillId="0" borderId="6" xfId="2" applyFont="1" applyFill="1" applyBorder="1" applyAlignment="1">
      <alignment horizontal="center" vertical="center"/>
    </xf>
    <xf numFmtId="0" fontId="4" fillId="0" borderId="6" xfId="0" applyFont="1" applyBorder="1" applyAlignment="1">
      <alignment horizontal="center" vertical="center"/>
    </xf>
    <xf numFmtId="3" fontId="6" fillId="14" borderId="6" xfId="1" applyNumberFormat="1" applyFont="1" applyFill="1" applyBorder="1" applyAlignment="1">
      <alignment vertical="center" wrapText="1"/>
    </xf>
    <xf numFmtId="3" fontId="12" fillId="14" borderId="6" xfId="1" applyNumberFormat="1" applyFont="1" applyFill="1" applyBorder="1" applyAlignment="1">
      <alignment horizontal="center" vertical="center" wrapText="1"/>
    </xf>
    <xf numFmtId="3" fontId="9" fillId="14" borderId="6" xfId="1" applyNumberFormat="1" applyFont="1" applyFill="1" applyBorder="1" applyAlignment="1">
      <alignment vertical="center" wrapText="1"/>
    </xf>
    <xf numFmtId="3" fontId="13" fillId="14" borderId="6" xfId="1" applyNumberFormat="1" applyFont="1" applyFill="1" applyBorder="1" applyAlignment="1">
      <alignment vertical="center" wrapText="1"/>
    </xf>
    <xf numFmtId="3" fontId="6" fillId="14" borderId="6" xfId="1" applyNumberFormat="1" applyFont="1" applyFill="1" applyBorder="1" applyAlignment="1">
      <alignment horizontal="right" vertical="center" wrapText="1"/>
    </xf>
    <xf numFmtId="3" fontId="9" fillId="8" borderId="6" xfId="1" applyNumberFormat="1" applyFont="1" applyFill="1" applyBorder="1" applyAlignment="1">
      <alignment vertical="center" wrapText="1"/>
    </xf>
    <xf numFmtId="3" fontId="9" fillId="8" borderId="6" xfId="1" applyNumberFormat="1" applyFont="1" applyFill="1" applyBorder="1"/>
    <xf numFmtId="3" fontId="4" fillId="8" borderId="6" xfId="1" applyNumberFormat="1" applyFont="1" applyFill="1" applyBorder="1"/>
    <xf numFmtId="3" fontId="12" fillId="0" borderId="6" xfId="1" applyNumberFormat="1" applyFont="1" applyBorder="1" applyAlignment="1">
      <alignment horizontal="right" vertical="top" wrapText="1"/>
    </xf>
    <xf numFmtId="3" fontId="8" fillId="0" borderId="6" xfId="1" applyNumberFormat="1" applyFont="1" applyBorder="1" applyAlignment="1">
      <alignment horizontal="right" vertical="top"/>
    </xf>
    <xf numFmtId="3" fontId="5" fillId="0" borderId="6" xfId="1" applyNumberFormat="1" applyFont="1" applyBorder="1" applyAlignment="1">
      <alignment horizontal="justify" vertical="top"/>
    </xf>
    <xf numFmtId="3" fontId="0" fillId="14" borderId="6" xfId="0" applyNumberFormat="1" applyFont="1" applyFill="1" applyBorder="1"/>
    <xf numFmtId="3" fontId="18" fillId="0" borderId="6" xfId="0" applyNumberFormat="1" applyFont="1" applyFill="1" applyBorder="1"/>
    <xf numFmtId="3" fontId="0" fillId="0" borderId="8" xfId="0" applyNumberFormat="1" applyFont="1" applyBorder="1"/>
    <xf numFmtId="3" fontId="8" fillId="0" borderId="8" xfId="0" applyNumberFormat="1" applyFont="1" applyBorder="1" applyAlignment="1">
      <alignment horizontal="center" vertical="center" wrapText="1"/>
    </xf>
    <xf numFmtId="3" fontId="8" fillId="5" borderId="8" xfId="0" applyNumberFormat="1" applyFont="1" applyFill="1" applyBorder="1" applyAlignment="1">
      <alignment vertical="center" wrapText="1"/>
    </xf>
    <xf numFmtId="0" fontId="0" fillId="0" borderId="8" xfId="0" applyFont="1" applyBorder="1"/>
    <xf numFmtId="3" fontId="18" fillId="0" borderId="6" xfId="0" applyNumberFormat="1" applyFont="1" applyBorder="1"/>
    <xf numFmtId="3" fontId="17" fillId="0" borderId="6" xfId="1" applyNumberFormat="1" applyFont="1" applyFill="1" applyBorder="1" applyAlignment="1">
      <alignment vertical="center" wrapText="1"/>
    </xf>
    <xf numFmtId="3" fontId="5" fillId="0" borderId="6" xfId="1" applyNumberFormat="1" applyFont="1" applyFill="1" applyBorder="1" applyAlignment="1">
      <alignment vertical="center" wrapText="1"/>
    </xf>
    <xf numFmtId="3" fontId="17" fillId="0" borderId="6" xfId="1" applyNumberFormat="1" applyFont="1" applyFill="1" applyBorder="1" applyAlignment="1">
      <alignment vertical="top"/>
    </xf>
    <xf numFmtId="3" fontId="17" fillId="0" borderId="6" xfId="1" applyNumberFormat="1" applyFont="1" applyFill="1" applyBorder="1" applyAlignment="1">
      <alignment vertical="top" wrapText="1"/>
    </xf>
    <xf numFmtId="3" fontId="5" fillId="0" borderId="6" xfId="1" applyNumberFormat="1" applyFont="1" applyFill="1" applyBorder="1" applyAlignment="1">
      <alignment vertical="top" wrapText="1"/>
    </xf>
    <xf numFmtId="0" fontId="0" fillId="0" borderId="6" xfId="0" applyFont="1" applyFill="1" applyBorder="1"/>
    <xf numFmtId="3" fontId="6" fillId="13" borderId="6" xfId="1" applyNumberFormat="1" applyFont="1" applyFill="1" applyBorder="1" applyAlignment="1">
      <alignment vertical="center" wrapText="1"/>
    </xf>
    <xf numFmtId="3" fontId="0" fillId="0" borderId="6" xfId="0" applyNumberFormat="1" applyFont="1" applyFill="1" applyBorder="1"/>
    <xf numFmtId="3" fontId="4" fillId="9" borderId="6" xfId="0" applyNumberFormat="1" applyFont="1" applyFill="1" applyBorder="1"/>
    <xf numFmtId="3" fontId="8" fillId="0" borderId="6" xfId="1" applyNumberFormat="1" applyFont="1" applyBorder="1" applyAlignment="1">
      <alignment horizontal="left" vertical="top"/>
    </xf>
    <xf numFmtId="3" fontId="8" fillId="0" borderId="6" xfId="1" applyNumberFormat="1" applyFont="1" applyBorder="1" applyAlignment="1">
      <alignment horizontal="right" vertical="top" wrapText="1"/>
    </xf>
    <xf numFmtId="3" fontId="0" fillId="0" borderId="6" xfId="1" applyNumberFormat="1" applyFont="1" applyBorder="1" applyAlignment="1">
      <alignment horizontal="right" vertical="top"/>
    </xf>
    <xf numFmtId="3" fontId="11" fillId="0" borderId="6" xfId="1" applyNumberFormat="1" applyFont="1" applyBorder="1" applyAlignment="1">
      <alignment horizontal="right" vertical="top"/>
    </xf>
    <xf numFmtId="3" fontId="17" fillId="0" borderId="6" xfId="1" applyNumberFormat="1" applyFont="1" applyFill="1" applyBorder="1" applyAlignment="1">
      <alignment horizontal="right" vertical="top" wrapText="1"/>
    </xf>
    <xf numFmtId="3" fontId="5" fillId="0" borderId="6" xfId="1" applyNumberFormat="1" applyFont="1" applyBorder="1" applyAlignment="1">
      <alignment horizontal="right" vertical="top"/>
    </xf>
    <xf numFmtId="3" fontId="5" fillId="0" borderId="6" xfId="1" applyNumberFormat="1" applyFont="1" applyFill="1" applyBorder="1" applyAlignment="1">
      <alignment horizontal="right" vertical="top" wrapText="1"/>
    </xf>
    <xf numFmtId="0" fontId="0" fillId="0" borderId="6" xfId="0" applyFont="1" applyFill="1" applyBorder="1" applyAlignment="1">
      <alignment horizontal="right" vertical="top"/>
    </xf>
    <xf numFmtId="10" fontId="0" fillId="0" borderId="6" xfId="3" applyNumberFormat="1" applyFont="1" applyFill="1" applyBorder="1" applyAlignment="1">
      <alignment horizontal="center"/>
    </xf>
    <xf numFmtId="3" fontId="12" fillId="0" borderId="6" xfId="1" applyNumberFormat="1" applyFont="1" applyBorder="1" applyAlignment="1">
      <alignment vertical="top" wrapText="1"/>
    </xf>
    <xf numFmtId="9" fontId="22" fillId="0" borderId="6" xfId="3" applyFont="1" applyBorder="1"/>
    <xf numFmtId="9" fontId="0" fillId="0" borderId="6" xfId="3" applyFont="1" applyBorder="1"/>
    <xf numFmtId="3" fontId="8" fillId="0" borderId="6" xfId="1" applyNumberFormat="1" applyFont="1" applyBorder="1" applyAlignment="1">
      <alignment vertical="top" wrapText="1"/>
    </xf>
    <xf numFmtId="3" fontId="5" fillId="5" borderId="6" xfId="1" applyNumberFormat="1" applyFont="1" applyFill="1" applyBorder="1" applyAlignment="1">
      <alignment horizontal="right" vertical="top"/>
    </xf>
    <xf numFmtId="3" fontId="5" fillId="0" borderId="6" xfId="1" applyNumberFormat="1" applyFont="1" applyBorder="1" applyAlignment="1">
      <alignment horizontal="right" vertical="center"/>
    </xf>
    <xf numFmtId="3" fontId="5" fillId="5" borderId="6" xfId="1" applyNumberFormat="1" applyFont="1" applyFill="1" applyBorder="1" applyAlignment="1">
      <alignment horizontal="right" vertical="center"/>
    </xf>
    <xf numFmtId="3" fontId="17" fillId="5" borderId="6" xfId="1" applyNumberFormat="1" applyFont="1" applyFill="1" applyBorder="1" applyAlignment="1">
      <alignment horizontal="right" vertical="center" wrapText="1"/>
    </xf>
    <xf numFmtId="3" fontId="5" fillId="5" borderId="6" xfId="1" applyNumberFormat="1" applyFont="1" applyFill="1" applyBorder="1" applyAlignment="1">
      <alignment vertical="center" wrapText="1"/>
    </xf>
    <xf numFmtId="3" fontId="0" fillId="0" borderId="0" xfId="0" applyNumberFormat="1" applyFont="1"/>
    <xf numFmtId="10" fontId="0" fillId="0" borderId="0" xfId="0" applyNumberFormat="1" applyFont="1"/>
    <xf numFmtId="3" fontId="5" fillId="5" borderId="6" xfId="1" applyNumberFormat="1" applyFont="1" applyFill="1" applyBorder="1" applyAlignment="1">
      <alignment horizontal="right" vertical="center" wrapText="1"/>
    </xf>
    <xf numFmtId="3" fontId="0" fillId="7" borderId="0" xfId="0" applyNumberFormat="1" applyFont="1" applyFill="1"/>
    <xf numFmtId="166" fontId="0" fillId="0" borderId="0" xfId="1" applyNumberFormat="1" applyFont="1"/>
    <xf numFmtId="0" fontId="0" fillId="0" borderId="0" xfId="0" applyFont="1"/>
    <xf numFmtId="3" fontId="5" fillId="5" borderId="6" xfId="1" applyNumberFormat="1" applyFont="1" applyFill="1" applyBorder="1" applyAlignment="1">
      <alignment horizontal="right" vertical="top"/>
    </xf>
    <xf numFmtId="3" fontId="5" fillId="5" borderId="6" xfId="1" applyNumberFormat="1" applyFont="1" applyFill="1" applyBorder="1" applyAlignment="1">
      <alignment horizontal="right" vertical="center"/>
    </xf>
    <xf numFmtId="3" fontId="5" fillId="5" borderId="6" xfId="1" applyNumberFormat="1" applyFont="1" applyFill="1" applyBorder="1"/>
    <xf numFmtId="3" fontId="5" fillId="5" borderId="6" xfId="1" applyNumberFormat="1" applyFont="1" applyFill="1" applyBorder="1" applyAlignment="1">
      <alignment horizontal="right" vertical="top" wrapText="1"/>
    </xf>
    <xf numFmtId="166" fontId="0" fillId="0" borderId="0" xfId="0" applyNumberFormat="1" applyFont="1" applyFill="1"/>
    <xf numFmtId="3" fontId="5" fillId="5" borderId="6" xfId="1" applyNumberFormat="1" applyFont="1" applyFill="1" applyBorder="1" applyAlignment="1">
      <alignment horizontal="justify" vertical="center"/>
    </xf>
    <xf numFmtId="165" fontId="0" fillId="0" borderId="0" xfId="0" applyNumberFormat="1" applyFont="1"/>
    <xf numFmtId="0" fontId="25" fillId="0" borderId="0" xfId="0" applyFont="1"/>
    <xf numFmtId="3" fontId="26" fillId="14" borderId="6" xfId="2" applyNumberFormat="1" applyFont="1" applyFill="1" applyBorder="1"/>
    <xf numFmtId="0" fontId="27" fillId="0" borderId="6" xfId="0" applyFont="1" applyBorder="1" applyAlignment="1">
      <alignment horizontal="center" vertical="center"/>
    </xf>
    <xf numFmtId="0" fontId="26" fillId="0" borderId="6" xfId="0" applyFont="1" applyBorder="1"/>
    <xf numFmtId="0" fontId="26" fillId="0" borderId="6" xfId="0" applyFont="1" applyBorder="1" applyAlignment="1">
      <alignment horizontal="center"/>
    </xf>
    <xf numFmtId="3" fontId="17" fillId="5" borderId="6" xfId="1" applyNumberFormat="1" applyFont="1" applyFill="1" applyBorder="1" applyAlignment="1">
      <alignment horizontal="center" vertical="center"/>
    </xf>
    <xf numFmtId="3" fontId="17" fillId="5" borderId="6" xfId="1" applyNumberFormat="1" applyFont="1" applyFill="1" applyBorder="1" applyAlignment="1">
      <alignment horizontal="center" vertical="center" wrapText="1"/>
    </xf>
    <xf numFmtId="3" fontId="17" fillId="5" borderId="6" xfId="1" applyNumberFormat="1" applyFont="1" applyFill="1" applyBorder="1" applyAlignment="1">
      <alignment horizontal="center" vertical="top" wrapText="1"/>
    </xf>
    <xf numFmtId="164" fontId="26" fillId="0" borderId="6" xfId="1" applyFont="1" applyBorder="1" applyAlignment="1">
      <alignment horizontal="center"/>
    </xf>
    <xf numFmtId="3" fontId="17" fillId="5" borderId="6" xfId="1" applyNumberFormat="1" applyFont="1" applyFill="1" applyBorder="1" applyAlignment="1">
      <alignment horizontal="center"/>
    </xf>
    <xf numFmtId="3" fontId="27" fillId="9" borderId="6" xfId="0" applyNumberFormat="1" applyFont="1" applyFill="1" applyBorder="1" applyAlignment="1">
      <alignment horizontal="center"/>
    </xf>
    <xf numFmtId="166" fontId="27" fillId="14" borderId="6" xfId="1" applyNumberFormat="1" applyFont="1" applyFill="1" applyBorder="1" applyAlignment="1">
      <alignment horizontal="center"/>
    </xf>
    <xf numFmtId="164" fontId="26" fillId="0" borderId="6" xfId="1" applyFont="1" applyBorder="1"/>
    <xf numFmtId="3" fontId="12" fillId="0" borderId="6" xfId="1" applyNumberFormat="1" applyFont="1" applyBorder="1" applyAlignment="1">
      <alignment horizontal="center" vertical="top" wrapText="1"/>
    </xf>
    <xf numFmtId="166" fontId="27" fillId="14" borderId="6" xfId="1" applyNumberFormat="1" applyFont="1" applyFill="1" applyBorder="1"/>
    <xf numFmtId="3" fontId="26" fillId="0" borderId="6" xfId="1" applyNumberFormat="1" applyFont="1" applyBorder="1" applyAlignment="1">
      <alignment horizontal="center" vertical="top"/>
    </xf>
    <xf numFmtId="166" fontId="26" fillId="14" borderId="6" xfId="1" applyNumberFormat="1" applyFont="1" applyFill="1" applyBorder="1" applyAlignment="1">
      <alignment horizontal="center"/>
    </xf>
    <xf numFmtId="164" fontId="27" fillId="0" borderId="6" xfId="1" applyFont="1" applyBorder="1" applyAlignment="1">
      <alignment horizontal="center" vertical="top"/>
    </xf>
    <xf numFmtId="164" fontId="26" fillId="0" borderId="6" xfId="1" applyFont="1" applyBorder="1" applyAlignment="1">
      <alignment horizontal="center" vertical="top"/>
    </xf>
    <xf numFmtId="3" fontId="26" fillId="0" borderId="6" xfId="0" applyNumberFormat="1" applyFont="1" applyBorder="1" applyAlignment="1">
      <alignment horizontal="center"/>
    </xf>
    <xf numFmtId="3" fontId="27" fillId="14" borderId="6" xfId="0" applyNumberFormat="1" applyFont="1" applyFill="1" applyBorder="1" applyAlignment="1">
      <alignment horizontal="center" vertical="center"/>
    </xf>
    <xf numFmtId="3" fontId="20" fillId="13" borderId="6" xfId="1" applyNumberFormat="1" applyFont="1" applyFill="1" applyBorder="1" applyAlignment="1">
      <alignment horizontal="center" vertical="center" wrapText="1"/>
    </xf>
    <xf numFmtId="3" fontId="28" fillId="0" borderId="6" xfId="1" applyNumberFormat="1" applyFont="1" applyBorder="1" applyAlignment="1">
      <alignment horizontal="center"/>
    </xf>
    <xf numFmtId="3" fontId="28" fillId="0" borderId="6" xfId="0" applyNumberFormat="1" applyFont="1" applyFill="1" applyBorder="1" applyAlignment="1">
      <alignment horizontal="center"/>
    </xf>
    <xf numFmtId="3" fontId="27" fillId="0" borderId="6" xfId="0" applyNumberFormat="1" applyFont="1" applyBorder="1"/>
    <xf numFmtId="166" fontId="2" fillId="2" borderId="16" xfId="1" applyNumberFormat="1" applyFont="1" applyFill="1" applyBorder="1" applyAlignment="1">
      <alignment horizontal="center" vertical="center" wrapText="1"/>
    </xf>
    <xf numFmtId="166" fontId="3" fillId="0" borderId="19" xfId="1" applyNumberFormat="1" applyFont="1" applyBorder="1" applyAlignment="1">
      <alignment horizontal="right" vertical="center" wrapText="1"/>
    </xf>
    <xf numFmtId="166" fontId="3" fillId="16" borderId="3" xfId="1" applyNumberFormat="1" applyFont="1" applyFill="1" applyBorder="1" applyAlignment="1">
      <alignment horizontal="right" vertical="center" wrapText="1"/>
    </xf>
    <xf numFmtId="166" fontId="3" fillId="16" borderId="19" xfId="1" applyNumberFormat="1" applyFont="1" applyFill="1" applyBorder="1" applyAlignment="1">
      <alignment horizontal="right" vertical="center" wrapText="1"/>
    </xf>
    <xf numFmtId="3" fontId="0" fillId="0" borderId="0" xfId="0" applyNumberFormat="1"/>
    <xf numFmtId="166" fontId="4" fillId="0" borderId="9" xfId="1" applyNumberFormat="1" applyFont="1" applyBorder="1" applyAlignment="1">
      <alignment vertical="center" wrapText="1"/>
    </xf>
    <xf numFmtId="166" fontId="4" fillId="0" borderId="9" xfId="1" applyNumberFormat="1" applyFont="1" applyBorder="1" applyAlignment="1">
      <alignment vertical="center"/>
    </xf>
    <xf numFmtId="0" fontId="4" fillId="17" borderId="9" xfId="0" applyFont="1" applyFill="1" applyBorder="1"/>
    <xf numFmtId="166" fontId="4" fillId="17" borderId="9" xfId="0" applyNumberFormat="1" applyFont="1" applyFill="1" applyBorder="1"/>
    <xf numFmtId="166" fontId="0" fillId="0" borderId="0" xfId="0" applyNumberFormat="1"/>
    <xf numFmtId="166" fontId="0" fillId="17" borderId="6" xfId="1" applyNumberFormat="1" applyFont="1" applyFill="1" applyBorder="1"/>
    <xf numFmtId="166" fontId="0" fillId="17" borderId="6" xfId="1" applyNumberFormat="1" applyFont="1" applyFill="1" applyBorder="1" applyAlignment="1">
      <alignment horizontal="right" vertical="center"/>
    </xf>
    <xf numFmtId="166" fontId="26" fillId="17" borderId="6" xfId="1" applyNumberFormat="1" applyFont="1" applyFill="1" applyBorder="1" applyAlignment="1">
      <alignment horizontal="right" vertical="center"/>
    </xf>
    <xf numFmtId="166" fontId="26" fillId="17" borderId="6" xfId="1" applyNumberFormat="1" applyFont="1" applyFill="1" applyBorder="1"/>
    <xf numFmtId="164" fontId="0" fillId="17" borderId="6" xfId="1" applyNumberFormat="1" applyFont="1" applyFill="1" applyBorder="1" applyAlignment="1">
      <alignment horizontal="right" vertical="center"/>
    </xf>
    <xf numFmtId="164" fontId="0" fillId="17" borderId="14" xfId="1" applyNumberFormat="1" applyFont="1" applyFill="1" applyBorder="1" applyAlignment="1">
      <alignment horizontal="right" vertical="center"/>
    </xf>
    <xf numFmtId="166" fontId="0" fillId="17" borderId="14" xfId="1" applyNumberFormat="1" applyFont="1" applyFill="1" applyBorder="1"/>
    <xf numFmtId="166" fontId="26" fillId="17" borderId="14" xfId="1" applyNumberFormat="1" applyFont="1" applyFill="1" applyBorder="1" applyAlignment="1">
      <alignment horizontal="right" vertical="center"/>
    </xf>
    <xf numFmtId="166" fontId="0" fillId="17" borderId="13" xfId="1" applyNumberFormat="1" applyFont="1" applyFill="1" applyBorder="1"/>
    <xf numFmtId="166" fontId="3" fillId="16" borderId="6" xfId="1" applyNumberFormat="1" applyFont="1" applyFill="1" applyBorder="1" applyAlignment="1">
      <alignment horizontal="right" vertical="center" wrapText="1"/>
    </xf>
    <xf numFmtId="166" fontId="2" fillId="11" borderId="3" xfId="1" applyNumberFormat="1" applyFont="1" applyFill="1" applyBorder="1" applyAlignment="1">
      <alignment horizontal="right" vertical="center" wrapText="1"/>
    </xf>
    <xf numFmtId="166" fontId="2" fillId="4" borderId="3" xfId="1" applyNumberFormat="1" applyFont="1" applyFill="1" applyBorder="1" applyAlignment="1">
      <alignment horizontal="right" vertical="center" wrapText="1"/>
    </xf>
    <xf numFmtId="166" fontId="2" fillId="16" borderId="3" xfId="1" applyNumberFormat="1" applyFont="1" applyFill="1" applyBorder="1" applyAlignment="1">
      <alignment horizontal="right" vertical="center" wrapText="1"/>
    </xf>
    <xf numFmtId="166" fontId="2" fillId="16" borderId="19" xfId="1" applyNumberFormat="1" applyFont="1" applyFill="1" applyBorder="1" applyAlignment="1">
      <alignment horizontal="right" vertical="center" wrapText="1"/>
    </xf>
    <xf numFmtId="166" fontId="2" fillId="16" borderId="6" xfId="1" applyNumberFormat="1" applyFont="1" applyFill="1" applyBorder="1" applyAlignment="1">
      <alignment horizontal="right" vertical="center" wrapText="1"/>
    </xf>
    <xf numFmtId="166" fontId="3" fillId="0" borderId="20" xfId="1" applyNumberFormat="1" applyFont="1" applyBorder="1" applyAlignment="1">
      <alignment horizontal="right" vertical="center" wrapText="1"/>
    </xf>
    <xf numFmtId="9" fontId="0" fillId="0" borderId="0" xfId="3" applyNumberFormat="1" applyFont="1" applyFill="1"/>
    <xf numFmtId="167" fontId="23" fillId="15" borderId="10" xfId="0" applyNumberFormat="1" applyFont="1" applyFill="1" applyBorder="1" applyAlignment="1">
      <alignment vertical="top" wrapText="1" readingOrder="1"/>
    </xf>
    <xf numFmtId="0" fontId="24" fillId="0" borderId="11" xfId="0" applyFont="1" applyBorder="1" applyAlignment="1">
      <alignment vertical="top" wrapText="1"/>
    </xf>
    <xf numFmtId="0" fontId="24" fillId="0" borderId="12" xfId="0" applyFont="1" applyBorder="1" applyAlignment="1">
      <alignment vertical="top" wrapText="1"/>
    </xf>
    <xf numFmtId="3" fontId="6" fillId="0" borderId="8"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0" fillId="0" borderId="8" xfId="0" applyFont="1" applyBorder="1" applyAlignment="1">
      <alignment horizontal="left"/>
    </xf>
    <xf numFmtId="0" fontId="0" fillId="0" borderId="7" xfId="0" applyFont="1" applyBorder="1" applyAlignment="1">
      <alignment horizontal="left"/>
    </xf>
    <xf numFmtId="3" fontId="9" fillId="14" borderId="8" xfId="1" applyNumberFormat="1" applyFont="1" applyFill="1" applyBorder="1" applyAlignment="1">
      <alignment horizontal="left" vertical="top" wrapText="1"/>
    </xf>
    <xf numFmtId="3" fontId="9" fillId="14" borderId="7" xfId="1" applyNumberFormat="1" applyFont="1" applyFill="1" applyBorder="1" applyAlignment="1">
      <alignment horizontal="left" vertical="top" wrapText="1"/>
    </xf>
    <xf numFmtId="3" fontId="8" fillId="5" borderId="8" xfId="0" applyNumberFormat="1" applyFont="1" applyFill="1" applyBorder="1" applyAlignment="1">
      <alignment horizontal="center" vertical="center" wrapText="1"/>
    </xf>
    <xf numFmtId="3" fontId="4" fillId="0" borderId="6" xfId="0" applyNumberFormat="1" applyFont="1" applyBorder="1" applyAlignment="1">
      <alignment horizontal="center"/>
    </xf>
    <xf numFmtId="3" fontId="4" fillId="0" borderId="8" xfId="0" applyNumberFormat="1" applyFont="1" applyBorder="1" applyAlignment="1">
      <alignment horizontal="center"/>
    </xf>
    <xf numFmtId="3" fontId="9" fillId="10" borderId="6" xfId="0" applyNumberFormat="1" applyFont="1" applyFill="1" applyBorder="1" applyAlignment="1">
      <alignment horizontal="left" vertical="top" wrapText="1"/>
    </xf>
    <xf numFmtId="3" fontId="9" fillId="10" borderId="8" xfId="0" applyNumberFormat="1" applyFont="1" applyFill="1" applyBorder="1" applyAlignment="1">
      <alignment horizontal="left" vertical="top" wrapText="1"/>
    </xf>
    <xf numFmtId="3" fontId="9" fillId="0" borderId="6" xfId="1" applyNumberFormat="1" applyFont="1" applyBorder="1" applyAlignment="1">
      <alignment horizontal="left" vertical="top" wrapText="1"/>
    </xf>
    <xf numFmtId="3" fontId="9" fillId="0" borderId="6" xfId="0" applyNumberFormat="1" applyFont="1" applyBorder="1" applyAlignment="1">
      <alignment horizontal="left" vertical="top" wrapText="1"/>
    </xf>
    <xf numFmtId="3" fontId="9" fillId="0" borderId="8" xfId="0" applyNumberFormat="1" applyFont="1" applyBorder="1" applyAlignment="1">
      <alignment horizontal="left" vertical="top" wrapText="1"/>
    </xf>
    <xf numFmtId="3" fontId="10" fillId="6" borderId="6" xfId="1" applyNumberFormat="1" applyFont="1" applyFill="1" applyBorder="1" applyAlignment="1">
      <alignment horizontal="left" vertical="top" wrapText="1"/>
    </xf>
    <xf numFmtId="3" fontId="13" fillId="14" borderId="6" xfId="1" applyNumberFormat="1" applyFont="1" applyFill="1" applyBorder="1" applyAlignment="1">
      <alignment horizontal="center" vertical="center" wrapText="1"/>
    </xf>
    <xf numFmtId="3" fontId="9" fillId="8" borderId="6" xfId="1" applyNumberFormat="1" applyFont="1" applyFill="1" applyBorder="1" applyAlignment="1">
      <alignment vertical="center" wrapText="1"/>
    </xf>
    <xf numFmtId="3" fontId="13" fillId="14" borderId="8" xfId="1" applyNumberFormat="1" applyFont="1" applyFill="1" applyBorder="1" applyAlignment="1">
      <alignment horizontal="left" vertical="center" wrapText="1"/>
    </xf>
    <xf numFmtId="3" fontId="13" fillId="14" borderId="7" xfId="1" applyNumberFormat="1" applyFont="1" applyFill="1" applyBorder="1" applyAlignment="1">
      <alignment horizontal="left" vertical="center" wrapText="1"/>
    </xf>
    <xf numFmtId="3" fontId="12" fillId="9" borderId="6" xfId="1" applyNumberFormat="1" applyFont="1" applyFill="1" applyBorder="1" applyAlignment="1">
      <alignment horizontal="left" vertical="center" wrapText="1"/>
    </xf>
    <xf numFmtId="3" fontId="9" fillId="8" borderId="6" xfId="0" applyNumberFormat="1" applyFont="1" applyFill="1" applyBorder="1" applyAlignment="1">
      <alignment vertical="center" wrapText="1"/>
    </xf>
    <xf numFmtId="3" fontId="9" fillId="8" borderId="8" xfId="0" applyNumberFormat="1" applyFont="1" applyFill="1" applyBorder="1" applyAlignment="1">
      <alignment vertical="center" wrapText="1"/>
    </xf>
    <xf numFmtId="3" fontId="8" fillId="0" borderId="8" xfId="0" applyNumberFormat="1" applyFont="1" applyBorder="1" applyAlignment="1">
      <alignment horizontal="center" vertical="center" wrapText="1"/>
    </xf>
    <xf numFmtId="166" fontId="4" fillId="16" borderId="6" xfId="1" applyNumberFormat="1" applyFont="1" applyFill="1" applyBorder="1" applyAlignment="1">
      <alignment horizontal="center" vertical="center"/>
    </xf>
    <xf numFmtId="164" fontId="4" fillId="0" borderId="9" xfId="1" applyFont="1" applyBorder="1" applyAlignment="1">
      <alignment horizontal="left" vertical="top"/>
    </xf>
    <xf numFmtId="166" fontId="2" fillId="2" borderId="1" xfId="1" applyNumberFormat="1" applyFont="1" applyFill="1" applyBorder="1" applyAlignment="1">
      <alignment horizontal="center" vertical="center" wrapText="1"/>
    </xf>
    <xf numFmtId="166" fontId="2" fillId="2" borderId="2" xfId="1" applyNumberFormat="1" applyFont="1" applyFill="1" applyBorder="1" applyAlignment="1">
      <alignment horizontal="center" vertical="center" wrapText="1"/>
    </xf>
    <xf numFmtId="166" fontId="2" fillId="2" borderId="4" xfId="1" applyNumberFormat="1" applyFont="1" applyFill="1" applyBorder="1" applyAlignment="1">
      <alignment horizontal="center" vertical="center" wrapText="1"/>
    </xf>
    <xf numFmtId="166" fontId="2" fillId="2" borderId="15" xfId="1" applyNumberFormat="1" applyFont="1" applyFill="1" applyBorder="1" applyAlignment="1">
      <alignment horizontal="center" vertical="center" wrapText="1"/>
    </xf>
    <xf numFmtId="166" fontId="2" fillId="2" borderId="17" xfId="1" applyNumberFormat="1" applyFont="1" applyFill="1" applyBorder="1" applyAlignment="1">
      <alignment horizontal="center" vertical="center" wrapText="1"/>
    </xf>
    <xf numFmtId="166" fontId="2" fillId="2" borderId="18" xfId="1" applyNumberFormat="1" applyFont="1" applyFill="1" applyBorder="1" applyAlignment="1">
      <alignment horizontal="center" vertical="center" wrapText="1"/>
    </xf>
  </cellXfs>
  <cellStyles count="4">
    <cellStyle name="Insatisfaisant" xfId="2" builtinId="27"/>
    <cellStyle name="Milliers" xfId="1" builtinId="3"/>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8"/>
  <sheetViews>
    <sheetView view="pageBreakPreview" topLeftCell="B43" zoomScaleNormal="100" zoomScaleSheetLayoutView="100" workbookViewId="0">
      <selection activeCell="F54" sqref="F54"/>
    </sheetView>
  </sheetViews>
  <sheetFormatPr baseColWidth="10" defaultColWidth="8.7109375" defaultRowHeight="15" x14ac:dyDescent="0.25"/>
  <cols>
    <col min="1" max="1" width="10.5703125" style="9" customWidth="1"/>
    <col min="2" max="2" width="62.42578125" style="9" customWidth="1"/>
    <col min="3" max="3" width="14.5703125" style="9" bestFit="1" customWidth="1"/>
    <col min="4" max="4" width="15.42578125" style="9" bestFit="1" customWidth="1"/>
    <col min="5" max="5" width="15.7109375" style="9" customWidth="1"/>
    <col min="6" max="6" width="12.7109375" style="9" customWidth="1"/>
    <col min="7" max="7" width="15.42578125" style="41" customWidth="1"/>
    <col min="8" max="8" width="14.28515625" style="9" customWidth="1"/>
    <col min="9" max="9" width="15.42578125" style="9" customWidth="1"/>
    <col min="10" max="11" width="8.7109375" style="9"/>
    <col min="12" max="12" width="14.28515625" style="9" bestFit="1" customWidth="1"/>
    <col min="13" max="13" width="12" style="9" bestFit="1" customWidth="1"/>
    <col min="14" max="16384" width="8.7109375" style="9"/>
  </cols>
  <sheetData>
    <row r="1" spans="1:11" x14ac:dyDescent="0.25">
      <c r="A1" s="26" t="s">
        <v>3</v>
      </c>
      <c r="B1" s="26"/>
      <c r="C1" s="26"/>
      <c r="D1" s="26"/>
      <c r="E1" s="23"/>
      <c r="F1" s="59"/>
      <c r="G1" s="58"/>
      <c r="H1" s="63"/>
      <c r="I1" s="25"/>
    </row>
    <row r="2" spans="1:11" x14ac:dyDescent="0.25">
      <c r="A2" s="167" t="s">
        <v>57</v>
      </c>
      <c r="B2" s="167"/>
      <c r="C2" s="167"/>
      <c r="D2" s="167"/>
      <c r="E2" s="167"/>
      <c r="F2" s="168"/>
      <c r="G2" s="33"/>
      <c r="H2" s="25"/>
      <c r="I2" s="25"/>
    </row>
    <row r="3" spans="1:11" x14ac:dyDescent="0.25">
      <c r="A3" s="26" t="s">
        <v>19</v>
      </c>
      <c r="B3" s="23"/>
      <c r="C3" s="23"/>
      <c r="D3" s="23"/>
      <c r="E3" s="23"/>
      <c r="F3" s="59"/>
      <c r="G3" s="43"/>
      <c r="H3" s="38"/>
      <c r="I3" s="25"/>
    </row>
    <row r="4" spans="1:11" ht="36.6" customHeight="1" x14ac:dyDescent="0.25">
      <c r="A4" s="169" t="s">
        <v>51</v>
      </c>
      <c r="B4" s="169"/>
      <c r="C4" s="169"/>
      <c r="D4" s="169"/>
      <c r="E4" s="169"/>
      <c r="F4" s="170"/>
      <c r="G4" s="159" t="s">
        <v>70</v>
      </c>
      <c r="H4" s="160"/>
      <c r="I4" s="161"/>
    </row>
    <row r="5" spans="1:11" ht="58.5" customHeight="1" x14ac:dyDescent="0.25">
      <c r="A5" s="27" t="s">
        <v>24</v>
      </c>
      <c r="B5" s="27" t="s">
        <v>20</v>
      </c>
      <c r="C5" s="27" t="s">
        <v>21</v>
      </c>
      <c r="D5" s="27" t="s">
        <v>22</v>
      </c>
      <c r="E5" s="27" t="s">
        <v>23</v>
      </c>
      <c r="F5" s="60" t="s">
        <v>68</v>
      </c>
      <c r="G5" s="44" t="s">
        <v>14</v>
      </c>
      <c r="H5" s="45" t="s">
        <v>15</v>
      </c>
      <c r="I5" s="106" t="s">
        <v>16</v>
      </c>
    </row>
    <row r="6" spans="1:11" ht="29.1" customHeight="1" x14ac:dyDescent="0.25">
      <c r="A6" s="172" t="s">
        <v>25</v>
      </c>
      <c r="B6" s="172"/>
      <c r="C6" s="172"/>
      <c r="D6" s="172"/>
      <c r="E6" s="172"/>
      <c r="F6" s="173"/>
      <c r="G6" s="33"/>
      <c r="H6" s="25"/>
      <c r="I6" s="107"/>
    </row>
    <row r="7" spans="1:11" ht="39.6" customHeight="1" x14ac:dyDescent="0.25">
      <c r="A7" s="180" t="s">
        <v>40</v>
      </c>
      <c r="B7" s="180"/>
      <c r="C7" s="180"/>
      <c r="D7" s="180"/>
      <c r="E7" s="180"/>
      <c r="F7" s="181"/>
      <c r="G7" s="64"/>
      <c r="H7" s="102"/>
      <c r="I7" s="108"/>
      <c r="J7" s="96"/>
    </row>
    <row r="8" spans="1:11" ht="30" x14ac:dyDescent="0.25">
      <c r="A8" s="28">
        <v>1</v>
      </c>
      <c r="B8" s="12" t="s">
        <v>34</v>
      </c>
      <c r="C8" s="13"/>
      <c r="D8" s="54">
        <v>45000</v>
      </c>
      <c r="E8" s="55">
        <v>20000</v>
      </c>
      <c r="F8" s="182">
        <v>0.5</v>
      </c>
      <c r="G8" s="64"/>
      <c r="H8" s="98">
        <v>45000</v>
      </c>
      <c r="I8" s="109">
        <v>19723</v>
      </c>
      <c r="J8" s="96"/>
    </row>
    <row r="9" spans="1:11" ht="30" x14ac:dyDescent="0.25">
      <c r="A9" s="28">
        <v>2</v>
      </c>
      <c r="B9" s="12" t="s">
        <v>35</v>
      </c>
      <c r="C9" s="24">
        <v>50000</v>
      </c>
      <c r="D9" s="54">
        <v>30000</v>
      </c>
      <c r="E9" s="55">
        <v>25000</v>
      </c>
      <c r="F9" s="182"/>
      <c r="G9" s="64">
        <v>50000</v>
      </c>
      <c r="H9" s="93">
        <v>30000</v>
      </c>
      <c r="I9" s="110">
        <v>24957</v>
      </c>
      <c r="J9" s="96"/>
    </row>
    <row r="10" spans="1:11" ht="30" x14ac:dyDescent="0.25">
      <c r="A10" s="28">
        <v>3</v>
      </c>
      <c r="B10" s="15" t="s">
        <v>36</v>
      </c>
      <c r="C10" s="24">
        <v>40000</v>
      </c>
      <c r="D10" s="54">
        <v>100000</v>
      </c>
      <c r="E10" s="55">
        <v>30000</v>
      </c>
      <c r="F10" s="182"/>
      <c r="G10" s="64">
        <v>40000</v>
      </c>
      <c r="H10" s="93">
        <v>100000</v>
      </c>
      <c r="I10" s="110">
        <v>29678</v>
      </c>
      <c r="J10" s="96"/>
    </row>
    <row r="11" spans="1:11" ht="60" x14ac:dyDescent="0.25">
      <c r="A11" s="28">
        <v>4</v>
      </c>
      <c r="B11" s="15" t="s">
        <v>37</v>
      </c>
      <c r="C11" s="54"/>
      <c r="D11" s="82">
        <v>50000</v>
      </c>
      <c r="E11" s="73">
        <v>55000</v>
      </c>
      <c r="F11" s="182"/>
      <c r="G11" s="69"/>
      <c r="H11" s="100">
        <v>50000</v>
      </c>
      <c r="I11" s="111">
        <v>53893</v>
      </c>
      <c r="J11" s="91"/>
    </row>
    <row r="12" spans="1:11" ht="25.15" customHeight="1" x14ac:dyDescent="0.25">
      <c r="A12" s="28">
        <v>5</v>
      </c>
      <c r="B12" s="15" t="s">
        <v>38</v>
      </c>
      <c r="C12" s="16">
        <v>50000</v>
      </c>
      <c r="D12" s="16"/>
      <c r="E12" s="17">
        <v>35000</v>
      </c>
      <c r="F12" s="182"/>
      <c r="G12" s="65">
        <v>50000</v>
      </c>
      <c r="H12" s="98">
        <v>0</v>
      </c>
      <c r="I12" s="109">
        <v>30244.73</v>
      </c>
      <c r="J12" s="96"/>
    </row>
    <row r="13" spans="1:11" ht="24" customHeight="1" x14ac:dyDescent="0.25">
      <c r="A13" s="28">
        <v>6</v>
      </c>
      <c r="B13" s="12" t="s">
        <v>39</v>
      </c>
      <c r="C13" s="16">
        <v>50000</v>
      </c>
      <c r="D13" s="16">
        <v>75000</v>
      </c>
      <c r="E13" s="17"/>
      <c r="F13" s="182"/>
      <c r="G13" s="65">
        <v>50000</v>
      </c>
      <c r="H13" s="98">
        <v>75000</v>
      </c>
      <c r="I13" s="112"/>
      <c r="J13" s="91"/>
    </row>
    <row r="14" spans="1:11" ht="30" x14ac:dyDescent="0.25">
      <c r="A14" s="28">
        <v>7</v>
      </c>
      <c r="B14" s="12" t="s">
        <v>52</v>
      </c>
      <c r="C14" s="13"/>
      <c r="D14" s="14">
        <v>50000</v>
      </c>
      <c r="E14" s="17"/>
      <c r="F14" s="182"/>
      <c r="G14" s="65"/>
      <c r="H14" s="98">
        <v>48723</v>
      </c>
      <c r="I14" s="112"/>
      <c r="J14" s="96"/>
      <c r="K14" s="96"/>
    </row>
    <row r="15" spans="1:11" x14ac:dyDescent="0.25">
      <c r="A15" s="28">
        <v>8</v>
      </c>
      <c r="B15" s="12" t="s">
        <v>53</v>
      </c>
      <c r="C15" s="16">
        <v>100000</v>
      </c>
      <c r="D15" s="16">
        <v>65000</v>
      </c>
      <c r="E15" s="17"/>
      <c r="F15" s="182"/>
      <c r="G15" s="69">
        <v>99489</v>
      </c>
      <c r="H15" s="98">
        <v>65000</v>
      </c>
      <c r="I15" s="112"/>
      <c r="J15" s="91"/>
      <c r="K15" s="96"/>
    </row>
    <row r="16" spans="1:11" ht="30" x14ac:dyDescent="0.25">
      <c r="A16" s="28">
        <v>9</v>
      </c>
      <c r="B16" s="12" t="s">
        <v>54</v>
      </c>
      <c r="C16" s="16">
        <v>50000</v>
      </c>
      <c r="D16" s="16">
        <v>50000</v>
      </c>
      <c r="E16" s="17">
        <v>90000</v>
      </c>
      <c r="F16" s="182"/>
      <c r="G16" s="65">
        <v>50000</v>
      </c>
      <c r="H16" s="99">
        <v>50000</v>
      </c>
      <c r="I16" s="113">
        <v>86706</v>
      </c>
      <c r="J16" s="91"/>
    </row>
    <row r="17" spans="1:13" x14ac:dyDescent="0.25">
      <c r="A17" s="28">
        <v>10</v>
      </c>
      <c r="B17" s="17" t="s">
        <v>33</v>
      </c>
      <c r="C17" s="16">
        <v>50000</v>
      </c>
      <c r="D17" s="18"/>
      <c r="E17" s="16"/>
      <c r="F17" s="182"/>
      <c r="G17" s="66">
        <v>50000</v>
      </c>
      <c r="H17" s="89">
        <v>0</v>
      </c>
      <c r="I17" s="112"/>
      <c r="J17" s="96"/>
    </row>
    <row r="18" spans="1:13" x14ac:dyDescent="0.25">
      <c r="A18" s="179" t="s">
        <v>26</v>
      </c>
      <c r="B18" s="179"/>
      <c r="C18" s="19">
        <f>SUM(C8:C17)</f>
        <v>390000</v>
      </c>
      <c r="D18" s="19">
        <f>SUM(D8:D17)</f>
        <v>465000</v>
      </c>
      <c r="E18" s="19">
        <f>SUM(E8:E17)</f>
        <v>255000</v>
      </c>
      <c r="F18" s="182"/>
      <c r="G18" s="34">
        <f>SUM(G8:G17)</f>
        <v>389489</v>
      </c>
      <c r="H18" s="72">
        <f>SUM(H8:H17)</f>
        <v>463723</v>
      </c>
      <c r="I18" s="114">
        <f>SUM(I8:I17)</f>
        <v>245201.73</v>
      </c>
      <c r="J18" s="91"/>
    </row>
    <row r="19" spans="1:13" ht="34.5" customHeight="1" x14ac:dyDescent="0.25">
      <c r="A19" s="176" t="s">
        <v>41</v>
      </c>
      <c r="B19" s="176"/>
      <c r="C19" s="176"/>
      <c r="D19" s="176"/>
      <c r="E19" s="176"/>
      <c r="F19" s="182"/>
      <c r="G19" s="67"/>
      <c r="H19" s="56"/>
      <c r="I19" s="112"/>
      <c r="J19" s="96"/>
    </row>
    <row r="20" spans="1:13" ht="41.1" customHeight="1" x14ac:dyDescent="0.25">
      <c r="A20" s="28">
        <v>1</v>
      </c>
      <c r="B20" s="12" t="s">
        <v>42</v>
      </c>
      <c r="C20" s="24">
        <v>50000</v>
      </c>
      <c r="D20" s="14">
        <v>75000</v>
      </c>
      <c r="E20" s="17"/>
      <c r="F20" s="182"/>
      <c r="G20" s="68">
        <v>50000</v>
      </c>
      <c r="H20" s="97">
        <v>75000</v>
      </c>
      <c r="I20" s="112"/>
      <c r="J20" s="91"/>
    </row>
    <row r="21" spans="1:13" ht="30" x14ac:dyDescent="0.25">
      <c r="A21" s="28">
        <v>3</v>
      </c>
      <c r="B21" s="12" t="s">
        <v>43</v>
      </c>
      <c r="C21" s="16">
        <v>40000</v>
      </c>
      <c r="D21" s="16">
        <v>75000</v>
      </c>
      <c r="E21" s="16">
        <v>60000</v>
      </c>
      <c r="F21" s="182"/>
      <c r="G21" s="68">
        <v>40000</v>
      </c>
      <c r="H21" s="100">
        <v>75000</v>
      </c>
      <c r="I21" s="111">
        <v>58301</v>
      </c>
      <c r="J21" s="91"/>
    </row>
    <row r="22" spans="1:13" ht="34.5" customHeight="1" x14ac:dyDescent="0.25">
      <c r="A22" s="28">
        <v>4</v>
      </c>
      <c r="B22" s="20" t="s">
        <v>71</v>
      </c>
      <c r="C22" s="16">
        <v>70000</v>
      </c>
      <c r="D22" s="16">
        <v>60000</v>
      </c>
      <c r="E22" s="29">
        <v>90000</v>
      </c>
      <c r="F22" s="182"/>
      <c r="G22" s="39">
        <v>70000</v>
      </c>
      <c r="H22" s="90">
        <v>60000</v>
      </c>
      <c r="I22" s="110">
        <v>84424</v>
      </c>
      <c r="J22" s="91"/>
      <c r="M22" s="91"/>
    </row>
    <row r="23" spans="1:13" x14ac:dyDescent="0.25">
      <c r="A23" s="47"/>
      <c r="B23" s="48" t="s">
        <v>32</v>
      </c>
      <c r="C23" s="48">
        <f>SUM(C20:C22)</f>
        <v>160000</v>
      </c>
      <c r="D23" s="48">
        <f>SUM(D20:D22)</f>
        <v>210000</v>
      </c>
      <c r="E23" s="48">
        <f>SUM(E20:E22)</f>
        <v>150000</v>
      </c>
      <c r="F23" s="182"/>
      <c r="G23" s="46">
        <f>SUM(G19:G22)</f>
        <v>160000</v>
      </c>
      <c r="H23" s="57">
        <f>SUM(H20:H22)</f>
        <v>210000</v>
      </c>
      <c r="I23" s="115">
        <f>SUM(I20:I22)</f>
        <v>142725</v>
      </c>
      <c r="J23" s="91"/>
    </row>
    <row r="24" spans="1:13" ht="23.65" customHeight="1" x14ac:dyDescent="0.25">
      <c r="A24" s="171" t="s">
        <v>28</v>
      </c>
      <c r="B24" s="171"/>
      <c r="C24" s="171"/>
      <c r="D24" s="171"/>
      <c r="E24" s="171"/>
      <c r="F24" s="182"/>
      <c r="G24" s="33"/>
      <c r="H24" s="25"/>
      <c r="I24" s="116"/>
      <c r="J24" s="96"/>
    </row>
    <row r="25" spans="1:13" ht="32.65" customHeight="1" x14ac:dyDescent="0.25">
      <c r="A25" s="176" t="s">
        <v>55</v>
      </c>
      <c r="B25" s="176"/>
      <c r="C25" s="176"/>
      <c r="D25" s="176"/>
      <c r="E25" s="176"/>
      <c r="F25" s="182"/>
      <c r="G25" s="65"/>
      <c r="H25" s="35"/>
      <c r="I25" s="116"/>
      <c r="J25" s="96"/>
    </row>
    <row r="26" spans="1:13" ht="60" customHeight="1" x14ac:dyDescent="0.25">
      <c r="A26" s="28">
        <v>1</v>
      </c>
      <c r="B26" s="12" t="s">
        <v>59</v>
      </c>
      <c r="C26" s="74">
        <v>20000</v>
      </c>
      <c r="D26" s="74">
        <v>35000</v>
      </c>
      <c r="E26" s="74">
        <v>84999</v>
      </c>
      <c r="F26" s="182"/>
      <c r="G26" s="65">
        <v>20000</v>
      </c>
      <c r="H26" s="74">
        <v>35000</v>
      </c>
      <c r="I26" s="117">
        <v>76172</v>
      </c>
      <c r="J26" s="91"/>
    </row>
    <row r="27" spans="1:13" ht="33.6" customHeight="1" x14ac:dyDescent="0.25">
      <c r="A27" s="28">
        <v>2</v>
      </c>
      <c r="B27" s="21" t="s">
        <v>58</v>
      </c>
      <c r="C27" s="74">
        <v>30000</v>
      </c>
      <c r="D27" s="74"/>
      <c r="E27" s="55"/>
      <c r="F27" s="182"/>
      <c r="G27" s="40">
        <v>30000</v>
      </c>
      <c r="H27" s="89">
        <v>0</v>
      </c>
      <c r="I27" s="116"/>
      <c r="J27" s="96"/>
    </row>
    <row r="28" spans="1:13" ht="18.75" customHeight="1" x14ac:dyDescent="0.25">
      <c r="A28" s="177" t="s">
        <v>29</v>
      </c>
      <c r="B28" s="178"/>
      <c r="C28" s="49">
        <f>SUM(C26:C27)</f>
        <v>50000</v>
      </c>
      <c r="D28" s="49">
        <f>SUM(D26:D27)</f>
        <v>35000</v>
      </c>
      <c r="E28" s="49">
        <f>SUM(E26:E27)</f>
        <v>84999</v>
      </c>
      <c r="F28" s="182"/>
      <c r="G28" s="50">
        <f>SUM(G26:G27)</f>
        <v>50000</v>
      </c>
      <c r="H28" s="57">
        <f>SUM(H26:H27)</f>
        <v>35000</v>
      </c>
      <c r="I28" s="118">
        <f>SUM(I26:I27)</f>
        <v>76172</v>
      </c>
      <c r="J28" s="91"/>
    </row>
    <row r="29" spans="1:13" ht="30.6" customHeight="1" x14ac:dyDescent="0.25">
      <c r="A29" s="174" t="s">
        <v>30</v>
      </c>
      <c r="B29" s="174"/>
      <c r="C29" s="174"/>
      <c r="D29" s="174"/>
      <c r="E29" s="174"/>
      <c r="F29" s="182"/>
      <c r="G29" s="65"/>
      <c r="H29" s="36"/>
      <c r="I29" s="116"/>
      <c r="J29" s="96"/>
    </row>
    <row r="30" spans="1:13" ht="47.25" customHeight="1" x14ac:dyDescent="0.25">
      <c r="A30" s="28">
        <v>1</v>
      </c>
      <c r="B30" s="20" t="s">
        <v>50</v>
      </c>
      <c r="C30" s="55">
        <f>5651+30000</f>
        <v>35651</v>
      </c>
      <c r="D30" s="74"/>
      <c r="E30" s="74">
        <v>15000</v>
      </c>
      <c r="F30" s="182"/>
      <c r="G30" s="42">
        <v>35600</v>
      </c>
      <c r="H30" s="87">
        <v>0</v>
      </c>
      <c r="I30" s="117">
        <v>14415</v>
      </c>
      <c r="J30" s="96"/>
    </row>
    <row r="31" spans="1:13" ht="80.25" customHeight="1" x14ac:dyDescent="0.25">
      <c r="A31" s="28">
        <v>2</v>
      </c>
      <c r="B31" s="12" t="s">
        <v>72</v>
      </c>
      <c r="C31" s="75"/>
      <c r="D31" s="75">
        <v>25000</v>
      </c>
      <c r="E31" s="75">
        <v>10000</v>
      </c>
      <c r="F31" s="182"/>
      <c r="G31" s="42"/>
      <c r="H31" s="75">
        <v>25000</v>
      </c>
      <c r="I31" s="119">
        <v>10000</v>
      </c>
      <c r="J31" s="91"/>
      <c r="L31" s="103" t="s">
        <v>73</v>
      </c>
    </row>
    <row r="32" spans="1:13" ht="44.25" customHeight="1" x14ac:dyDescent="0.25">
      <c r="A32" s="28">
        <v>3</v>
      </c>
      <c r="B32" s="85" t="s">
        <v>44</v>
      </c>
      <c r="C32" s="76">
        <v>30000</v>
      </c>
      <c r="D32" s="75"/>
      <c r="E32" s="75"/>
      <c r="F32" s="182"/>
      <c r="G32" s="40">
        <v>30000</v>
      </c>
      <c r="H32" s="89">
        <v>0</v>
      </c>
      <c r="I32" s="112"/>
      <c r="J32" s="96"/>
    </row>
    <row r="33" spans="1:16" ht="13.15" customHeight="1" x14ac:dyDescent="0.25">
      <c r="A33" s="175" t="s">
        <v>27</v>
      </c>
      <c r="B33" s="175"/>
      <c r="C33" s="49">
        <f>+C30+C31+C32</f>
        <v>65651</v>
      </c>
      <c r="D33" s="49">
        <f t="shared" ref="D33:E33" si="0">+D30+D31+D32</f>
        <v>25000</v>
      </c>
      <c r="E33" s="49">
        <f t="shared" si="0"/>
        <v>25000</v>
      </c>
      <c r="F33" s="182"/>
      <c r="G33" s="105">
        <f>SUM(G30:G32)</f>
        <v>65600</v>
      </c>
      <c r="H33" s="57">
        <f>SUM(H30:H32)</f>
        <v>25000</v>
      </c>
      <c r="I33" s="120">
        <f>SUM(I30:I32)</f>
        <v>24415</v>
      </c>
      <c r="J33" s="91"/>
    </row>
    <row r="34" spans="1:16" ht="36.75" customHeight="1" x14ac:dyDescent="0.25">
      <c r="A34" s="171" t="s">
        <v>31</v>
      </c>
      <c r="B34" s="171"/>
      <c r="C34" s="171"/>
      <c r="D34" s="171"/>
      <c r="E34" s="171"/>
      <c r="F34" s="182"/>
      <c r="G34" s="77"/>
      <c r="H34" s="78"/>
      <c r="I34" s="121"/>
      <c r="J34" s="96"/>
    </row>
    <row r="35" spans="1:16" ht="54.75" customHeight="1" x14ac:dyDescent="0.25">
      <c r="A35" s="28">
        <v>1</v>
      </c>
      <c r="B35" s="12" t="s">
        <v>60</v>
      </c>
      <c r="C35" s="54"/>
      <c r="D35" s="54"/>
      <c r="E35" s="54">
        <v>90000</v>
      </c>
      <c r="F35" s="182"/>
      <c r="G35" s="77"/>
      <c r="H35" s="78">
        <v>0</v>
      </c>
      <c r="I35" s="117">
        <v>62629</v>
      </c>
      <c r="J35" s="96"/>
      <c r="K35" s="91"/>
    </row>
    <row r="36" spans="1:16" ht="43.15" customHeight="1" x14ac:dyDescent="0.25">
      <c r="A36" s="28">
        <v>2</v>
      </c>
      <c r="B36" s="12" t="s">
        <v>17</v>
      </c>
      <c r="C36" s="55">
        <v>20000</v>
      </c>
      <c r="D36" s="54"/>
      <c r="E36" s="74"/>
      <c r="F36" s="61"/>
      <c r="G36" s="79">
        <v>20000</v>
      </c>
      <c r="H36" s="78">
        <v>0</v>
      </c>
      <c r="I36" s="122"/>
      <c r="J36" s="96"/>
    </row>
    <row r="37" spans="1:16" ht="30.6" customHeight="1" x14ac:dyDescent="0.25">
      <c r="A37" s="28">
        <v>3</v>
      </c>
      <c r="B37" s="12" t="s">
        <v>45</v>
      </c>
      <c r="C37" s="74"/>
      <c r="D37" s="74">
        <v>5000</v>
      </c>
      <c r="E37" s="55"/>
      <c r="F37" s="61"/>
      <c r="G37" s="80"/>
      <c r="H37" s="86">
        <v>5000</v>
      </c>
      <c r="I37" s="122"/>
      <c r="J37" s="91"/>
    </row>
    <row r="38" spans="1:16" ht="20.100000000000001" customHeight="1" x14ac:dyDescent="0.25">
      <c r="A38" s="28">
        <v>4</v>
      </c>
      <c r="B38" s="12" t="s">
        <v>18</v>
      </c>
      <c r="C38" s="16">
        <v>60000</v>
      </c>
      <c r="D38" s="16">
        <v>20000</v>
      </c>
      <c r="E38" s="17"/>
      <c r="F38" s="61"/>
      <c r="G38" s="79">
        <v>60000</v>
      </c>
      <c r="H38" s="86">
        <v>20000</v>
      </c>
      <c r="I38" s="122"/>
      <c r="J38" s="91"/>
      <c r="K38" s="91"/>
    </row>
    <row r="39" spans="1:16" ht="30" x14ac:dyDescent="0.25">
      <c r="A39" s="28">
        <v>5</v>
      </c>
      <c r="B39" s="12" t="s">
        <v>46</v>
      </c>
      <c r="C39" s="16">
        <v>80000</v>
      </c>
      <c r="D39" s="16">
        <v>20000</v>
      </c>
      <c r="E39" s="17"/>
      <c r="F39" s="61"/>
      <c r="G39" s="79">
        <v>80000</v>
      </c>
      <c r="H39" s="97">
        <v>20000</v>
      </c>
      <c r="I39" s="122"/>
      <c r="J39" s="91"/>
    </row>
    <row r="40" spans="1:16" ht="54" customHeight="1" x14ac:dyDescent="0.25">
      <c r="A40" s="28">
        <v>6</v>
      </c>
      <c r="B40" s="12" t="s">
        <v>62</v>
      </c>
      <c r="C40" s="29">
        <f>120000+63350</f>
        <v>183350</v>
      </c>
      <c r="D40" s="16">
        <v>5000</v>
      </c>
      <c r="E40" s="16">
        <v>45000</v>
      </c>
      <c r="F40" s="61"/>
      <c r="G40" s="79">
        <v>182500</v>
      </c>
      <c r="H40" s="29">
        <v>5000</v>
      </c>
      <c r="I40" s="28">
        <v>43924</v>
      </c>
      <c r="J40" s="91"/>
    </row>
    <row r="41" spans="1:16" ht="30.6" customHeight="1" x14ac:dyDescent="0.25">
      <c r="A41" s="28">
        <v>7</v>
      </c>
      <c r="B41" s="12" t="s">
        <v>47</v>
      </c>
      <c r="C41" s="17">
        <v>15000</v>
      </c>
      <c r="D41" s="14">
        <v>5000</v>
      </c>
      <c r="E41" s="17"/>
      <c r="F41" s="61"/>
      <c r="G41" s="77">
        <v>15000</v>
      </c>
      <c r="H41" s="86">
        <v>5000</v>
      </c>
      <c r="I41" s="122"/>
      <c r="J41" s="91"/>
      <c r="M41" s="156"/>
      <c r="N41" s="157"/>
      <c r="O41" s="157"/>
      <c r="P41" s="158"/>
    </row>
    <row r="42" spans="1:16" ht="21" customHeight="1" x14ac:dyDescent="0.25">
      <c r="A42" s="28">
        <v>8</v>
      </c>
      <c r="B42" s="12" t="s">
        <v>48</v>
      </c>
      <c r="C42" s="22"/>
      <c r="D42" s="22">
        <v>5000</v>
      </c>
      <c r="E42" s="22"/>
      <c r="F42" s="61"/>
      <c r="G42" s="64"/>
      <c r="H42" s="88">
        <v>5000</v>
      </c>
      <c r="I42" s="108"/>
      <c r="J42" s="96"/>
    </row>
    <row r="43" spans="1:16" ht="30" x14ac:dyDescent="0.25">
      <c r="A43" s="28">
        <v>9</v>
      </c>
      <c r="B43" s="12" t="s">
        <v>61</v>
      </c>
      <c r="C43" s="30"/>
      <c r="D43" s="14">
        <v>71000</v>
      </c>
      <c r="E43" s="17"/>
      <c r="F43" s="61"/>
      <c r="G43" s="65"/>
      <c r="H43" s="95">
        <v>71000</v>
      </c>
      <c r="I43" s="123"/>
      <c r="J43" s="91"/>
      <c r="K43" s="91"/>
      <c r="L43" s="91"/>
      <c r="M43" s="95"/>
    </row>
    <row r="44" spans="1:16" ht="37.9" customHeight="1" x14ac:dyDescent="0.25">
      <c r="A44" s="28">
        <v>10</v>
      </c>
      <c r="B44" s="12" t="s">
        <v>49</v>
      </c>
      <c r="C44" s="17"/>
      <c r="D44" s="16">
        <v>10000</v>
      </c>
      <c r="E44" s="31"/>
      <c r="F44" s="166"/>
      <c r="G44" s="39"/>
      <c r="H44" s="90">
        <v>10000</v>
      </c>
      <c r="I44" s="108"/>
      <c r="J44" s="91"/>
    </row>
    <row r="45" spans="1:16" ht="24.75" customHeight="1" x14ac:dyDescent="0.25">
      <c r="A45" s="164" t="s">
        <v>69</v>
      </c>
      <c r="B45" s="165"/>
      <c r="C45" s="48">
        <f>SUM(C35:C44)</f>
        <v>358350</v>
      </c>
      <c r="D45" s="48">
        <f>SUM(D35:D44)</f>
        <v>141000</v>
      </c>
      <c r="E45" s="48">
        <f t="shared" ref="E45" si="1">SUM(E35:E44)</f>
        <v>135000</v>
      </c>
      <c r="F45" s="166"/>
      <c r="G45" s="46">
        <f>SUM(G34:G44)</f>
        <v>357500</v>
      </c>
      <c r="H45" s="46">
        <f>SUM(H35:H44)</f>
        <v>141000</v>
      </c>
      <c r="I45" s="124">
        <f>SUM(I35:I44)</f>
        <v>106553</v>
      </c>
      <c r="J45" s="91"/>
    </row>
    <row r="46" spans="1:16" s="10" customFormat="1" ht="30" customHeight="1" x14ac:dyDescent="0.25">
      <c r="A46" s="51" t="s">
        <v>56</v>
      </c>
      <c r="B46" s="51"/>
      <c r="C46" s="52">
        <f>+C45+C33+C28+C23+C18</f>
        <v>1024001</v>
      </c>
      <c r="D46" s="52">
        <f>+D45+D33+D28+D23+D18</f>
        <v>876000</v>
      </c>
      <c r="E46" s="52">
        <f>+E45+E33+E28+E23+E18</f>
        <v>649999</v>
      </c>
      <c r="F46" s="166"/>
      <c r="G46" s="53">
        <f>+G45+G33+G28+G23+G18</f>
        <v>1022589</v>
      </c>
      <c r="H46" s="70">
        <f>SUM(H45+H33+H28+H23+H18)</f>
        <v>874723</v>
      </c>
      <c r="I46" s="125">
        <f>SUM(I45+I33+I28+I23+I18)</f>
        <v>595066.73</v>
      </c>
      <c r="J46" s="94"/>
      <c r="K46" s="94"/>
      <c r="L46" s="94"/>
    </row>
    <row r="47" spans="1:16" s="10" customFormat="1" x14ac:dyDescent="0.25">
      <c r="A47" s="23"/>
      <c r="B47" s="23" t="s">
        <v>64</v>
      </c>
      <c r="C47" s="22">
        <f>+C46*100/107</f>
        <v>957010.28037383175</v>
      </c>
      <c r="D47" s="22">
        <f>+D46*100/107</f>
        <v>818691.58878504671</v>
      </c>
      <c r="E47" s="22">
        <f>+E46*100/107</f>
        <v>607475.70093457948</v>
      </c>
      <c r="F47" s="22"/>
      <c r="G47" s="22">
        <f t="shared" ref="G47" si="2">+G46*100/107</f>
        <v>955690.65420560748</v>
      </c>
      <c r="H47" s="37">
        <f>+H46*100/107</f>
        <v>817498.13084112154</v>
      </c>
      <c r="I47" s="126">
        <f>+I46*100/107</f>
        <v>556137.13084112154</v>
      </c>
      <c r="J47" s="94"/>
    </row>
    <row r="48" spans="1:16" x14ac:dyDescent="0.25">
      <c r="A48" s="23"/>
      <c r="B48" s="23" t="s">
        <v>63</v>
      </c>
      <c r="C48" s="23">
        <f>+C46-C47</f>
        <v>66990.719626168255</v>
      </c>
      <c r="D48" s="23">
        <f>+D46-D47</f>
        <v>57308.411214953288</v>
      </c>
      <c r="E48" s="23">
        <f>+E46-E47</f>
        <v>42523.29906542052</v>
      </c>
      <c r="F48" s="23"/>
      <c r="G48" s="23">
        <f t="shared" ref="G48" si="3">+G46-G47</f>
        <v>66898.345794392517</v>
      </c>
      <c r="H48" s="43">
        <f>H46-H47</f>
        <v>57224.869158878457</v>
      </c>
      <c r="I48" s="127">
        <f>I46-I47</f>
        <v>38929.599158878438</v>
      </c>
      <c r="J48" s="91"/>
    </row>
    <row r="49" spans="1:13" x14ac:dyDescent="0.25">
      <c r="A49" s="23"/>
      <c r="B49" s="23" t="s">
        <v>65</v>
      </c>
      <c r="C49" s="23">
        <f>SUM(C47:C48)</f>
        <v>1024001</v>
      </c>
      <c r="D49" s="23">
        <f>SUM(D47:D48)</f>
        <v>876000</v>
      </c>
      <c r="E49" s="23">
        <f>SUM(E47:E48)</f>
        <v>649999</v>
      </c>
      <c r="F49" s="23"/>
      <c r="G49" s="23">
        <f t="shared" ref="G49" si="4">SUM(G47:G48)</f>
        <v>1022589</v>
      </c>
      <c r="H49" s="43">
        <f>H47+H48</f>
        <v>874723</v>
      </c>
      <c r="I49" s="127">
        <f>I47+I48</f>
        <v>595066.73</v>
      </c>
      <c r="J49" s="91"/>
    </row>
    <row r="50" spans="1:13" ht="15.75" x14ac:dyDescent="0.25">
      <c r="A50" s="26" t="s">
        <v>66</v>
      </c>
      <c r="B50" s="23"/>
      <c r="C50" s="23"/>
      <c r="D50" s="23"/>
      <c r="E50" s="32">
        <f>C49+D49+E49</f>
        <v>2550000</v>
      </c>
      <c r="F50" s="59"/>
      <c r="G50" s="71"/>
      <c r="H50" s="38"/>
      <c r="I50" s="128">
        <f>G49+H49+I49</f>
        <v>2492378.73</v>
      </c>
      <c r="J50" s="91"/>
      <c r="K50" s="91"/>
    </row>
    <row r="51" spans="1:13" x14ac:dyDescent="0.25">
      <c r="A51" s="25"/>
      <c r="B51" s="25"/>
      <c r="C51" s="23"/>
      <c r="D51" s="25"/>
      <c r="E51" s="25"/>
      <c r="F51" s="62"/>
      <c r="G51" s="69"/>
      <c r="H51" s="84"/>
      <c r="I51" s="107"/>
      <c r="J51" s="96"/>
    </row>
    <row r="52" spans="1:13" x14ac:dyDescent="0.25">
      <c r="A52" s="162" t="s">
        <v>67</v>
      </c>
      <c r="B52" s="163"/>
      <c r="C52" s="25"/>
      <c r="D52" s="25"/>
      <c r="E52" s="83"/>
      <c r="F52" s="62"/>
      <c r="G52" s="81">
        <f>G49/C49</f>
        <v>0.99862109509658681</v>
      </c>
      <c r="H52" s="81">
        <f>H49/D49</f>
        <v>0.99854223744292236</v>
      </c>
      <c r="I52" s="81">
        <f>I49/E49</f>
        <v>0.91548868536720818</v>
      </c>
      <c r="J52" s="92"/>
      <c r="M52" s="91"/>
    </row>
    <row r="53" spans="1:13" x14ac:dyDescent="0.25">
      <c r="A53" s="25"/>
      <c r="B53" s="25"/>
      <c r="C53" s="25"/>
      <c r="D53" s="25"/>
      <c r="E53" s="25"/>
      <c r="F53" s="62"/>
      <c r="G53" s="69"/>
      <c r="H53" s="25"/>
      <c r="I53" s="107"/>
      <c r="J53" s="96"/>
    </row>
    <row r="54" spans="1:13" x14ac:dyDescent="0.25">
      <c r="I54" s="104"/>
      <c r="K54" s="91"/>
    </row>
    <row r="55" spans="1:13" x14ac:dyDescent="0.25">
      <c r="G55" s="155">
        <f>I50/E50</f>
        <v>0.97740342352941179</v>
      </c>
      <c r="H55" s="91"/>
      <c r="I55" s="104"/>
    </row>
    <row r="56" spans="1:13" x14ac:dyDescent="0.25">
      <c r="H56" s="91"/>
      <c r="I56" s="104"/>
      <c r="L56" s="91"/>
    </row>
    <row r="57" spans="1:13" x14ac:dyDescent="0.25">
      <c r="G57" s="101"/>
      <c r="I57" s="104"/>
    </row>
    <row r="58" spans="1:13" x14ac:dyDescent="0.25">
      <c r="I58" s="104"/>
    </row>
  </sheetData>
  <sortState xmlns:xlrd2="http://schemas.microsoft.com/office/spreadsheetml/2017/richdata2" ref="A64:E71">
    <sortCondition ref="B64:B71"/>
  </sortState>
  <mergeCells count="18">
    <mergeCell ref="A2:F2"/>
    <mergeCell ref="A4:F4"/>
    <mergeCell ref="A34:E34"/>
    <mergeCell ref="A6:F6"/>
    <mergeCell ref="A29:E29"/>
    <mergeCell ref="A33:B33"/>
    <mergeCell ref="A25:E25"/>
    <mergeCell ref="A28:B28"/>
    <mergeCell ref="A18:B18"/>
    <mergeCell ref="A24:E24"/>
    <mergeCell ref="A7:F7"/>
    <mergeCell ref="F8:F35"/>
    <mergeCell ref="A19:E19"/>
    <mergeCell ref="M41:P41"/>
    <mergeCell ref="G4:I4"/>
    <mergeCell ref="A52:B52"/>
    <mergeCell ref="A45:B45"/>
    <mergeCell ref="F44:F46"/>
  </mergeCells>
  <pageMargins left="0.7" right="0.7" top="0.75" bottom="0.75" header="0.3" footer="0.3"/>
  <pageSetup scale="57" orientation="landscape" r:id="rId1"/>
  <rowBreaks count="2" manualBreakCount="2">
    <brk id="23" max="8" man="1"/>
    <brk id="5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26"/>
  <sheetViews>
    <sheetView tabSelected="1" topLeftCell="B1" workbookViewId="0">
      <selection activeCell="P11" sqref="P11"/>
    </sheetView>
  </sheetViews>
  <sheetFormatPr baseColWidth="10" defaultColWidth="10.85546875" defaultRowHeight="15" x14ac:dyDescent="0.25"/>
  <cols>
    <col min="1" max="1" width="27.140625" customWidth="1"/>
    <col min="4" max="7" width="9.140625" bestFit="1" customWidth="1"/>
    <col min="8" max="8" width="10.5703125" bestFit="1" customWidth="1"/>
    <col min="9" max="9" width="9.140625" bestFit="1" customWidth="1"/>
    <col min="10" max="10" width="10.5703125" bestFit="1" customWidth="1"/>
    <col min="11" max="11" width="12.42578125" bestFit="1" customWidth="1"/>
    <col min="12" max="12" width="13.42578125" customWidth="1"/>
    <col min="13" max="13" width="10.42578125" bestFit="1" customWidth="1"/>
  </cols>
  <sheetData>
    <row r="2" spans="1:15" ht="15.75" x14ac:dyDescent="0.25">
      <c r="A2" s="2" t="s">
        <v>4</v>
      </c>
      <c r="B2" s="2"/>
      <c r="C2" s="2"/>
      <c r="D2" s="2"/>
      <c r="E2" s="95"/>
      <c r="F2" s="95"/>
      <c r="G2" s="95"/>
      <c r="H2" s="95"/>
      <c r="I2" s="95"/>
      <c r="J2" s="95"/>
      <c r="K2" s="95"/>
      <c r="L2" s="95"/>
      <c r="M2" s="95"/>
    </row>
    <row r="3" spans="1:15" x14ac:dyDescent="0.25">
      <c r="A3" s="1"/>
      <c r="B3" s="1"/>
      <c r="C3" s="1"/>
      <c r="D3" s="1"/>
      <c r="E3" s="95"/>
      <c r="F3" s="95"/>
      <c r="G3" s="95"/>
      <c r="H3" s="95"/>
      <c r="I3" s="95"/>
      <c r="J3" s="95"/>
      <c r="K3" s="95"/>
      <c r="L3" s="95"/>
      <c r="M3" s="95"/>
    </row>
    <row r="4" spans="1:15" ht="15.75" thickBot="1" x14ac:dyDescent="0.3">
      <c r="A4" s="95"/>
      <c r="B4" s="95"/>
      <c r="C4" s="95"/>
      <c r="D4" s="95"/>
      <c r="E4" s="95"/>
      <c r="F4" s="95"/>
      <c r="G4" s="95"/>
      <c r="H4" s="95"/>
      <c r="I4" s="95"/>
      <c r="J4" s="95"/>
      <c r="K4" s="95"/>
      <c r="L4" s="95"/>
      <c r="M4" s="95"/>
    </row>
    <row r="5" spans="1:15" ht="26.25" thickBot="1" x14ac:dyDescent="0.3">
      <c r="A5" s="185" t="s">
        <v>0</v>
      </c>
      <c r="B5" s="187" t="s">
        <v>14</v>
      </c>
      <c r="C5" s="188"/>
      <c r="D5" s="187" t="s">
        <v>15</v>
      </c>
      <c r="E5" s="188"/>
      <c r="F5" s="187" t="s">
        <v>16</v>
      </c>
      <c r="G5" s="188"/>
      <c r="H5" s="129" t="s">
        <v>74</v>
      </c>
      <c r="I5" s="129" t="s">
        <v>75</v>
      </c>
      <c r="J5" s="189" t="s">
        <v>76</v>
      </c>
      <c r="K5" s="183" t="s">
        <v>77</v>
      </c>
      <c r="L5" s="183"/>
      <c r="M5" s="183"/>
    </row>
    <row r="6" spans="1:15" ht="26.25" thickBot="1" x14ac:dyDescent="0.3">
      <c r="A6" s="186"/>
      <c r="B6" s="3" t="s">
        <v>2</v>
      </c>
      <c r="C6" s="3" t="s">
        <v>78</v>
      </c>
      <c r="D6" s="3" t="s">
        <v>2</v>
      </c>
      <c r="E6" s="3" t="s">
        <v>78</v>
      </c>
      <c r="F6" s="3" t="s">
        <v>2</v>
      </c>
      <c r="G6" s="3" t="s">
        <v>78</v>
      </c>
      <c r="H6" s="3"/>
      <c r="I6" s="3"/>
      <c r="J6" s="190"/>
      <c r="K6" s="139" t="s">
        <v>14</v>
      </c>
      <c r="L6" s="139" t="s">
        <v>15</v>
      </c>
      <c r="M6" s="139" t="s">
        <v>16</v>
      </c>
    </row>
    <row r="7" spans="1:15" ht="15.75" thickBot="1" x14ac:dyDescent="0.3">
      <c r="A7" s="4" t="s">
        <v>5</v>
      </c>
      <c r="B7" s="5">
        <f>70000*0.7</f>
        <v>49000</v>
      </c>
      <c r="C7" s="5">
        <f>70000*0.3</f>
        <v>21000</v>
      </c>
      <c r="D7" s="5">
        <v>50000</v>
      </c>
      <c r="E7" s="5">
        <v>20000</v>
      </c>
      <c r="F7" s="5">
        <f>45000/100*70</f>
        <v>31500</v>
      </c>
      <c r="G7" s="5">
        <f>45000/100*30</f>
        <v>13500</v>
      </c>
      <c r="H7" s="5">
        <f>+B7+D7+F7</f>
        <v>130500</v>
      </c>
      <c r="I7" s="5">
        <f>+C7+E7+G7</f>
        <v>54500</v>
      </c>
      <c r="J7" s="130">
        <f>+H7+I7</f>
        <v>185000</v>
      </c>
      <c r="K7" s="139">
        <v>70000</v>
      </c>
      <c r="L7" s="140">
        <v>83011</v>
      </c>
      <c r="M7" s="141">
        <f>55055+5793</f>
        <v>60848</v>
      </c>
    </row>
    <row r="8" spans="1:15" ht="26.25" thickBot="1" x14ac:dyDescent="0.3">
      <c r="A8" s="6" t="s">
        <v>6</v>
      </c>
      <c r="B8" s="5">
        <f>5000*0.7</f>
        <v>3500</v>
      </c>
      <c r="C8" s="5">
        <f>5000*0.3</f>
        <v>1500</v>
      </c>
      <c r="D8" s="7">
        <v>5000</v>
      </c>
      <c r="E8" s="5">
        <v>2000</v>
      </c>
      <c r="F8" s="5">
        <f>6050/100*70</f>
        <v>4235</v>
      </c>
      <c r="G8" s="5">
        <f>6050/100*30</f>
        <v>1815</v>
      </c>
      <c r="H8" s="5">
        <f t="shared" ref="H8:I15" si="0">+B8+D8+F8</f>
        <v>12735</v>
      </c>
      <c r="I8" s="5">
        <f t="shared" si="0"/>
        <v>5315</v>
      </c>
      <c r="J8" s="130">
        <f t="shared" ref="J8:J15" si="1">+H8+I8</f>
        <v>18050</v>
      </c>
      <c r="K8" s="139">
        <v>5000</v>
      </c>
      <c r="L8" s="140">
        <v>5000</v>
      </c>
      <c r="M8" s="142"/>
    </row>
    <row r="9" spans="1:15" ht="39" thickBot="1" x14ac:dyDescent="0.3">
      <c r="A9" s="6" t="s">
        <v>7</v>
      </c>
      <c r="B9" s="5">
        <f>10000*0.7</f>
        <v>7000</v>
      </c>
      <c r="C9" s="5">
        <f>10000*0.3</f>
        <v>3000</v>
      </c>
      <c r="D9" s="5"/>
      <c r="E9" s="5"/>
      <c r="F9" s="5"/>
      <c r="G9" s="5"/>
      <c r="H9" s="5">
        <f t="shared" si="0"/>
        <v>7000</v>
      </c>
      <c r="I9" s="5">
        <f t="shared" si="0"/>
        <v>3000</v>
      </c>
      <c r="J9" s="130">
        <f t="shared" si="1"/>
        <v>10000</v>
      </c>
      <c r="K9" s="139">
        <v>10000</v>
      </c>
      <c r="L9" s="140">
        <v>0</v>
      </c>
      <c r="M9" s="141">
        <v>21524</v>
      </c>
    </row>
    <row r="10" spans="1:15" ht="15.75" thickBot="1" x14ac:dyDescent="0.3">
      <c r="A10" s="6" t="s">
        <v>8</v>
      </c>
      <c r="B10" s="5">
        <f>740000*0.7</f>
        <v>517999.99999999994</v>
      </c>
      <c r="C10" s="5">
        <f>740000*0.3</f>
        <v>222000</v>
      </c>
      <c r="D10" s="5">
        <v>330000</v>
      </c>
      <c r="E10" s="5">
        <v>140000</v>
      </c>
      <c r="F10" s="5">
        <f>520300/100*70-(4114)</f>
        <v>360096</v>
      </c>
      <c r="G10" s="5">
        <f>520300/100*30</f>
        <v>156090</v>
      </c>
      <c r="H10" s="5">
        <f t="shared" si="0"/>
        <v>1208096</v>
      </c>
      <c r="I10" s="5">
        <f t="shared" si="0"/>
        <v>518090</v>
      </c>
      <c r="J10" s="130">
        <f t="shared" si="1"/>
        <v>1726186</v>
      </c>
      <c r="K10" s="139">
        <v>740000</v>
      </c>
      <c r="L10" s="140">
        <v>330000</v>
      </c>
      <c r="M10" s="141">
        <f>81000+321362</f>
        <v>402362</v>
      </c>
    </row>
    <row r="11" spans="1:15" ht="15.75" thickBot="1" x14ac:dyDescent="0.3">
      <c r="A11" s="6" t="s">
        <v>9</v>
      </c>
      <c r="B11" s="5">
        <f>34250*0.7</f>
        <v>23975</v>
      </c>
      <c r="C11" s="5">
        <f>34250*0.3-(820)</f>
        <v>9455</v>
      </c>
      <c r="D11" s="5"/>
      <c r="E11" s="5"/>
      <c r="F11" s="5"/>
      <c r="G11" s="5"/>
      <c r="H11" s="5">
        <f t="shared" si="0"/>
        <v>23975</v>
      </c>
      <c r="I11" s="5">
        <f t="shared" si="0"/>
        <v>9455</v>
      </c>
      <c r="J11" s="130">
        <f t="shared" si="1"/>
        <v>33430</v>
      </c>
      <c r="K11" s="139">
        <v>33430</v>
      </c>
      <c r="L11" s="140">
        <v>5788.09</v>
      </c>
      <c r="M11" s="141">
        <v>61240</v>
      </c>
    </row>
    <row r="12" spans="1:15" ht="26.25" thickBot="1" x14ac:dyDescent="0.3">
      <c r="A12" s="6" t="s">
        <v>10</v>
      </c>
      <c r="B12" s="5"/>
      <c r="C12" s="5"/>
      <c r="D12" s="5">
        <v>170000</v>
      </c>
      <c r="E12" s="5">
        <f>2692+74000</f>
        <v>76692</v>
      </c>
      <c r="F12" s="5"/>
      <c r="G12" s="5"/>
      <c r="H12" s="5">
        <f>+B12+D12+F12</f>
        <v>170000</v>
      </c>
      <c r="I12" s="5">
        <f>+C12+E12+G12</f>
        <v>76692</v>
      </c>
      <c r="J12" s="130">
        <f t="shared" si="1"/>
        <v>246692</v>
      </c>
      <c r="K12" s="139"/>
      <c r="L12" s="143">
        <v>376116</v>
      </c>
      <c r="M12" s="141"/>
    </row>
    <row r="13" spans="1:15" ht="39" thickBot="1" x14ac:dyDescent="0.3">
      <c r="A13" s="6" t="s">
        <v>11</v>
      </c>
      <c r="B13" s="5">
        <f>71000*0.7+19306</f>
        <v>69006</v>
      </c>
      <c r="C13" s="5">
        <f>71000*0.3+8274</f>
        <v>29574</v>
      </c>
      <c r="D13" s="5">
        <v>17500</v>
      </c>
      <c r="E13" s="5">
        <f>7500</f>
        <v>7500</v>
      </c>
      <c r="F13" s="5">
        <f>30250/100*70</f>
        <v>21175</v>
      </c>
      <c r="G13" s="5">
        <f>30250/100*30+9991</f>
        <v>19066</v>
      </c>
      <c r="H13" s="5">
        <f t="shared" si="0"/>
        <v>107681</v>
      </c>
      <c r="I13" s="5">
        <f t="shared" si="0"/>
        <v>56140</v>
      </c>
      <c r="J13" s="130">
        <f t="shared" si="1"/>
        <v>163821</v>
      </c>
      <c r="K13" s="145">
        <v>97259</v>
      </c>
      <c r="L13" s="144">
        <v>17500</v>
      </c>
      <c r="M13" s="146">
        <f>10410</f>
        <v>10410</v>
      </c>
    </row>
    <row r="14" spans="1:15" ht="15.75" thickBot="1" x14ac:dyDescent="0.3">
      <c r="A14" s="8" t="s">
        <v>12</v>
      </c>
      <c r="B14" s="149">
        <f t="shared" ref="B14:G14" si="2">SUM(B7:B13)</f>
        <v>670481</v>
      </c>
      <c r="C14" s="149">
        <f t="shared" si="2"/>
        <v>286529</v>
      </c>
      <c r="D14" s="149">
        <v>572500</v>
      </c>
      <c r="E14" s="149">
        <f>SUM(E7:E13)</f>
        <v>246192</v>
      </c>
      <c r="F14" s="150">
        <f t="shared" si="2"/>
        <v>417006</v>
      </c>
      <c r="G14" s="151">
        <f t="shared" si="2"/>
        <v>190471</v>
      </c>
      <c r="H14" s="151">
        <f t="shared" si="0"/>
        <v>1659987</v>
      </c>
      <c r="I14" s="151">
        <f t="shared" si="0"/>
        <v>723192</v>
      </c>
      <c r="J14" s="152">
        <f t="shared" si="1"/>
        <v>2383179</v>
      </c>
      <c r="K14" s="153">
        <f>SUM(K7:K13)</f>
        <v>955689</v>
      </c>
      <c r="L14" s="153">
        <f t="shared" ref="L14:M14" si="3">SUM(L7:L13)</f>
        <v>817415.09000000008</v>
      </c>
      <c r="M14" s="153">
        <f t="shared" si="3"/>
        <v>556384</v>
      </c>
      <c r="O14" s="133"/>
    </row>
    <row r="15" spans="1:15" ht="15.75" thickBot="1" x14ac:dyDescent="0.3">
      <c r="A15" s="6" t="s">
        <v>13</v>
      </c>
      <c r="B15" s="5">
        <f t="shared" ref="B15:G15" si="4">+B14*0.07</f>
        <v>46933.670000000006</v>
      </c>
      <c r="C15" s="5">
        <f t="shared" si="4"/>
        <v>20057.030000000002</v>
      </c>
      <c r="D15" s="5">
        <f t="shared" si="4"/>
        <v>40075.000000000007</v>
      </c>
      <c r="E15" s="5">
        <f t="shared" si="4"/>
        <v>17233.440000000002</v>
      </c>
      <c r="F15" s="5">
        <f t="shared" si="4"/>
        <v>29190.420000000002</v>
      </c>
      <c r="G15" s="5">
        <f t="shared" si="4"/>
        <v>13332.970000000001</v>
      </c>
      <c r="H15" s="5">
        <f t="shared" si="0"/>
        <v>116199.09000000001</v>
      </c>
      <c r="I15" s="5">
        <f t="shared" si="0"/>
        <v>50623.44</v>
      </c>
      <c r="J15" s="130">
        <f t="shared" si="1"/>
        <v>166822.53000000003</v>
      </c>
      <c r="K15" s="147">
        <f>+K14*0.07</f>
        <v>66898.23000000001</v>
      </c>
      <c r="L15" s="147">
        <f>+L14*0.07</f>
        <v>57219.056300000011</v>
      </c>
      <c r="M15" s="147">
        <f>+M14*0.07</f>
        <v>38946.880000000005</v>
      </c>
    </row>
    <row r="16" spans="1:15" ht="15.75" thickBot="1" x14ac:dyDescent="0.3">
      <c r="A16" s="6"/>
      <c r="B16" s="5"/>
      <c r="C16" s="5"/>
      <c r="D16" s="5"/>
      <c r="E16" s="5"/>
      <c r="F16" s="5"/>
      <c r="G16" s="5"/>
      <c r="H16" s="5"/>
      <c r="I16" s="154"/>
    </row>
    <row r="17" spans="1:13" ht="15.75" thickBot="1" x14ac:dyDescent="0.3">
      <c r="A17" s="8" t="s">
        <v>1</v>
      </c>
      <c r="B17" s="11">
        <f t="shared" ref="B17:J17" si="5">+B14+B15</f>
        <v>717414.67</v>
      </c>
      <c r="C17" s="11">
        <f t="shared" si="5"/>
        <v>306586.03000000003</v>
      </c>
      <c r="D17" s="131">
        <f t="shared" si="5"/>
        <v>612575</v>
      </c>
      <c r="E17" s="131">
        <f t="shared" si="5"/>
        <v>263425.44</v>
      </c>
      <c r="F17" s="131">
        <f t="shared" si="5"/>
        <v>446196.42</v>
      </c>
      <c r="G17" s="131">
        <f t="shared" si="5"/>
        <v>203803.97</v>
      </c>
      <c r="H17" s="132">
        <f t="shared" si="5"/>
        <v>1776186.09</v>
      </c>
      <c r="I17" s="148">
        <f t="shared" si="5"/>
        <v>773815.44</v>
      </c>
      <c r="J17" s="148">
        <f t="shared" si="5"/>
        <v>2550001.5300000003</v>
      </c>
      <c r="K17" s="139">
        <f>+K14+K15</f>
        <v>1022587.23</v>
      </c>
      <c r="L17" s="139">
        <f>+L14+L15</f>
        <v>874634.14630000014</v>
      </c>
      <c r="M17" s="139">
        <f>+M14+M15</f>
        <v>595330.88</v>
      </c>
    </row>
    <row r="18" spans="1:13" x14ac:dyDescent="0.25">
      <c r="A18" s="95"/>
      <c r="B18" s="95"/>
      <c r="C18" s="95"/>
      <c r="D18" s="95"/>
      <c r="E18" s="95"/>
      <c r="F18" s="95"/>
      <c r="G18" s="95"/>
      <c r="H18" s="95"/>
      <c r="I18" s="95"/>
      <c r="J18" s="95"/>
      <c r="K18" s="95"/>
      <c r="L18" s="95"/>
      <c r="M18" s="95"/>
    </row>
    <row r="19" spans="1:13" x14ac:dyDescent="0.25">
      <c r="A19" s="95"/>
      <c r="B19" s="95"/>
      <c r="C19" s="95"/>
      <c r="D19" s="95"/>
      <c r="E19" s="95"/>
      <c r="F19" s="95"/>
      <c r="G19" s="95"/>
      <c r="H19" s="95"/>
      <c r="I19" s="95"/>
      <c r="J19" s="95"/>
      <c r="K19" s="95"/>
      <c r="L19" s="95"/>
      <c r="M19" s="95"/>
    </row>
    <row r="20" spans="1:13" ht="30" x14ac:dyDescent="0.25">
      <c r="A20" s="134" t="s">
        <v>79</v>
      </c>
      <c r="B20" s="184"/>
      <c r="C20" s="184"/>
      <c r="D20" s="184"/>
      <c r="E20" s="184"/>
      <c r="F20" s="184"/>
      <c r="G20" s="184"/>
      <c r="H20" s="184"/>
      <c r="I20" s="184"/>
      <c r="J20" s="184"/>
      <c r="K20" s="135">
        <f>K17/2</f>
        <v>511293.61499999999</v>
      </c>
      <c r="L20" s="135">
        <f>L17/2</f>
        <v>437317.07315000007</v>
      </c>
      <c r="M20" s="135">
        <f>M17/2</f>
        <v>297665.44</v>
      </c>
    </row>
    <row r="21" spans="1:13" x14ac:dyDescent="0.25">
      <c r="A21" s="95"/>
      <c r="B21" s="95"/>
      <c r="C21" s="95"/>
      <c r="D21" s="95"/>
      <c r="E21" s="95"/>
      <c r="F21" s="95"/>
      <c r="G21" s="95"/>
      <c r="H21" s="95"/>
      <c r="I21" s="95"/>
      <c r="J21" s="95"/>
      <c r="K21" s="95"/>
      <c r="L21" s="95"/>
      <c r="M21" s="95"/>
    </row>
    <row r="22" spans="1:13" x14ac:dyDescent="0.25">
      <c r="A22" s="136" t="s">
        <v>80</v>
      </c>
      <c r="B22" s="136"/>
      <c r="C22" s="136"/>
      <c r="D22" s="136"/>
      <c r="E22" s="136"/>
      <c r="F22" s="136"/>
      <c r="G22" s="136"/>
      <c r="H22" s="136"/>
      <c r="I22" s="136"/>
      <c r="J22" s="136"/>
      <c r="K22" s="136"/>
      <c r="L22" s="137">
        <f>K20+L20+M20</f>
        <v>1246276.12815</v>
      </c>
      <c r="M22" s="136"/>
    </row>
    <row r="25" spans="1:13" x14ac:dyDescent="0.25">
      <c r="K25" s="95"/>
    </row>
    <row r="26" spans="1:13" x14ac:dyDescent="0.25">
      <c r="K26" s="138"/>
    </row>
  </sheetData>
  <mergeCells count="7">
    <mergeCell ref="K5:M5"/>
    <mergeCell ref="B20:J20"/>
    <mergeCell ref="A5:A6"/>
    <mergeCell ref="B5:C5"/>
    <mergeCell ref="D5:E5"/>
    <mergeCell ref="F5:G5"/>
    <mergeCell ref="J5:J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E94B189AF96A4893CA3915F083F0C4" ma:contentTypeVersion="5" ma:contentTypeDescription="Create a new document." ma:contentTypeScope="" ma:versionID="2e773ff4ba715493ad7cca7d285fab5a">
  <xsd:schema xmlns:xsd="http://www.w3.org/2001/XMLSchema" xmlns:xs="http://www.w3.org/2001/XMLSchema" xmlns:p="http://schemas.microsoft.com/office/2006/metadata/properties" xmlns:ns3="6cc0d25b-d21d-4a2c-b280-f6f47dc663cd" xmlns:ns4="510f1512-18a8-4cf4-9c0e-29dfe318b388" targetNamespace="http://schemas.microsoft.com/office/2006/metadata/properties" ma:root="true" ma:fieldsID="1a1f56344954ea558d14f32b6d82431c" ns3:_="" ns4:_="">
    <xsd:import namespace="6cc0d25b-d21d-4a2c-b280-f6f47dc663cd"/>
    <xsd:import namespace="510f1512-18a8-4cf4-9c0e-29dfe318b38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0d25b-d21d-4a2c-b280-f6f47dc663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0f1512-18a8-4cf4-9c0e-29dfe318b3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87173B-38E9-4108-A74C-9BB6AA9AE24A}">
  <ds:schemaRefs>
    <ds:schemaRef ds:uri="http://schemas.microsoft.com/sharepoint/v3/contenttype/forms"/>
  </ds:schemaRefs>
</ds:datastoreItem>
</file>

<file path=customXml/itemProps2.xml><?xml version="1.0" encoding="utf-8"?>
<ds:datastoreItem xmlns:ds="http://schemas.openxmlformats.org/officeDocument/2006/customXml" ds:itemID="{49FB1DE9-25C3-4588-9B4E-F9603D3FFF8B}">
  <ds:schemaRefs>
    <ds:schemaRef ds:uri="http://schemas.openxmlformats.org/package/2006/metadata/core-properties"/>
    <ds:schemaRef ds:uri="http://schemas.microsoft.com/office/2006/documentManagement/types"/>
    <ds:schemaRef ds:uri="6cc0d25b-d21d-4a2c-b280-f6f47dc663cd"/>
    <ds:schemaRef ds:uri="http://purl.org/dc/elements/1.1/"/>
    <ds:schemaRef ds:uri="http://schemas.microsoft.com/office/2006/metadata/properties"/>
    <ds:schemaRef ds:uri="510f1512-18a8-4cf4-9c0e-29dfe318b388"/>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BBB03B1-8C09-46B1-9DD4-9CCBA998BE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0d25b-d21d-4a2c-b280-f6f47dc663cd"/>
    <ds:schemaRef ds:uri="510f1512-18a8-4cf4-9c0e-29dfe318b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Budget Global</vt:lpstr>
      <vt:lpstr>Details par cathégories </vt:lpstr>
      <vt:lpstr>'Budget Global'!Zone_d_impression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Zelenovic;7</dc:creator>
  <cp:keywords>6</cp:keywords>
  <cp:lastModifiedBy>Alphonse</cp:lastModifiedBy>
  <cp:lastPrinted>2020-11-09T09:14:42Z</cp:lastPrinted>
  <dcterms:created xsi:type="dcterms:W3CDTF">2017-11-15T21:17:43Z</dcterms:created>
  <dcterms:modified xsi:type="dcterms:W3CDTF">2020-11-13T08:56:42Z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0x01010086E94B189AF96A4893CA3915F083F0C4</vt:lpwstr>
  </property>
</Properties>
</file>