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matthew_flynn_un_org/Documents/UN Habitat Somalia/2. Dhulka Nabada/Annual Report 2020/"/>
    </mc:Choice>
  </mc:AlternateContent>
  <xr:revisionPtr revIDLastSave="2" documentId="8_{BCD8C22A-98F1-4440-88DC-E99D70C1AF87}" xr6:coauthVersionLast="45" xr6:coauthVersionMax="45" xr10:uidLastSave="{4CCADA22-F867-4FE0-8DEB-DC2B7E6DFF21}"/>
  <bookViews>
    <workbookView xWindow="-110" yWindow="-110" windowWidth="19420" windowHeight="10420" activeTab="1" xr2:uid="{00000000-000D-0000-FFFF-FFFF00000000}"/>
  </bookViews>
  <sheets>
    <sheet name="Output budget" sheetId="1" r:id="rId1"/>
    <sheet name=" Bud Cat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M44" i="1" l="1"/>
  <c r="M45" i="1" s="1"/>
  <c r="O16" i="5"/>
  <c r="N43" i="1"/>
  <c r="G39" i="1"/>
  <c r="G43" i="1" s="1"/>
  <c r="G45" i="1" s="1"/>
  <c r="I42" i="1"/>
  <c r="I41" i="1"/>
  <c r="I40" i="1"/>
  <c r="L43" i="1"/>
  <c r="N39" i="1"/>
  <c r="M39" i="1"/>
  <c r="I39" i="1" s="1"/>
  <c r="I43" i="1" s="1"/>
  <c r="L39" i="1"/>
  <c r="K39" i="1"/>
  <c r="N19" i="1"/>
  <c r="M19" i="1"/>
  <c r="L19" i="1"/>
  <c r="K19" i="1"/>
  <c r="C45" i="1"/>
  <c r="F44" i="1"/>
  <c r="F45" i="1" s="1"/>
  <c r="E44" i="1"/>
  <c r="E45" i="1" s="1"/>
  <c r="C44" i="1"/>
  <c r="F43" i="1"/>
  <c r="E43" i="1"/>
  <c r="C43" i="1"/>
  <c r="J20" i="5"/>
  <c r="G20" i="5"/>
  <c r="D20" i="5"/>
  <c r="C39" i="1"/>
  <c r="I20" i="5"/>
  <c r="F20" i="5"/>
  <c r="C20" i="5"/>
  <c r="M15" i="5"/>
  <c r="L15" i="5"/>
  <c r="K15" i="5"/>
  <c r="M14" i="5"/>
  <c r="M16" i="5" s="1"/>
  <c r="L14" i="5"/>
  <c r="K14" i="5"/>
  <c r="J15" i="5"/>
  <c r="I15" i="5"/>
  <c r="H15" i="5"/>
  <c r="J14" i="5"/>
  <c r="I14" i="5"/>
  <c r="H14" i="5"/>
  <c r="H16" i="5" s="1"/>
  <c r="E16" i="5"/>
  <c r="G15" i="5"/>
  <c r="F15" i="5"/>
  <c r="E15" i="5"/>
  <c r="G14" i="5"/>
  <c r="G16" i="5" s="1"/>
  <c r="F14" i="5"/>
  <c r="E14" i="5"/>
  <c r="C15" i="5"/>
  <c r="C14" i="5"/>
  <c r="C16" i="5" s="1"/>
  <c r="K43" i="1" l="1"/>
  <c r="K44" i="1" s="1"/>
  <c r="I44" i="1"/>
  <c r="I45" i="1" s="1"/>
  <c r="L44" i="1"/>
  <c r="L45" i="1" s="1"/>
  <c r="N44" i="1"/>
  <c r="N45" i="1" s="1"/>
  <c r="L16" i="5"/>
  <c r="I16" i="5"/>
  <c r="J16" i="5"/>
  <c r="K16" i="5"/>
  <c r="F16" i="5"/>
  <c r="Q12" i="5"/>
  <c r="O13" i="5"/>
  <c r="O12" i="5"/>
  <c r="O11" i="5"/>
  <c r="O10" i="5"/>
  <c r="O9" i="5"/>
  <c r="O8" i="5"/>
  <c r="O7" i="5"/>
  <c r="O15" i="5"/>
  <c r="O14" i="5"/>
  <c r="J13" i="5"/>
  <c r="H13" i="5"/>
  <c r="D13" i="5"/>
  <c r="B13" i="5"/>
  <c r="N13" i="5" s="1"/>
  <c r="P12" i="5"/>
  <c r="D12" i="5"/>
  <c r="B12" i="5"/>
  <c r="N12" i="5" s="1"/>
  <c r="D11" i="5"/>
  <c r="P11" i="5" s="1"/>
  <c r="B11" i="5"/>
  <c r="N11" i="5" s="1"/>
  <c r="D10" i="5"/>
  <c r="P10" i="5" s="1"/>
  <c r="B10" i="5"/>
  <c r="N10" i="5" s="1"/>
  <c r="P9" i="5"/>
  <c r="N9" i="5"/>
  <c r="P8" i="5"/>
  <c r="B8" i="5"/>
  <c r="N7" i="5"/>
  <c r="D7" i="5"/>
  <c r="D15" i="5" s="1"/>
  <c r="B7" i="5"/>
  <c r="L20" i="5" l="1"/>
  <c r="M20" i="5"/>
  <c r="K45" i="1"/>
  <c r="Q11" i="5"/>
  <c r="Q10" i="5"/>
  <c r="Q9" i="5"/>
  <c r="B14" i="5"/>
  <c r="B15" i="5"/>
  <c r="P13" i="5"/>
  <c r="Q13" i="5" s="1"/>
  <c r="N14" i="5"/>
  <c r="B16" i="5"/>
  <c r="N16" i="5" s="1"/>
  <c r="N15" i="5"/>
  <c r="N8" i="5"/>
  <c r="Q8" i="5" s="1"/>
  <c r="P7" i="5"/>
  <c r="Q7" i="5" s="1"/>
  <c r="P15" i="5"/>
  <c r="D14" i="5"/>
  <c r="D39" i="1"/>
  <c r="D43" i="1" s="1"/>
  <c r="D44" i="1" s="1"/>
  <c r="D45" i="1" s="1"/>
  <c r="E39" i="1"/>
  <c r="F39" i="1"/>
  <c r="D19" i="1"/>
  <c r="E19" i="1"/>
  <c r="F19" i="1"/>
  <c r="G19" i="1"/>
  <c r="H19" i="1"/>
  <c r="C19" i="1"/>
  <c r="O20" i="5" l="1"/>
  <c r="Q20" i="5"/>
  <c r="Q15" i="5"/>
  <c r="D16" i="5"/>
  <c r="P16" i="5" s="1"/>
  <c r="Q16" i="5" s="1"/>
  <c r="P14" i="5"/>
  <c r="Q14" i="5" s="1"/>
</calcChain>
</file>

<file path=xl/sharedStrings.xml><?xml version="1.0" encoding="utf-8"?>
<sst xmlns="http://schemas.openxmlformats.org/spreadsheetml/2006/main" count="109" uniqueCount="87">
  <si>
    <t>Annex D - PBF project budget</t>
  </si>
  <si>
    <t>Outcome/ Output number</t>
  </si>
  <si>
    <t>Outcome/ output/ activity formulation:</t>
  </si>
  <si>
    <t>TOTAL $ FOR OUTCOME 1:</t>
  </si>
  <si>
    <t>TOTAL $ FOR OUTCOME 2:</t>
  </si>
  <si>
    <t>SUB-TOTAL PROJECT BUDGET: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</si>
  <si>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</si>
  <si>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</si>
  <si>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</si>
  <si>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</si>
  <si>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</si>
  <si>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</si>
  <si>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</si>
  <si>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</si>
  <si>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</si>
  <si>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</si>
  <si>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</si>
  <si>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</si>
  <si>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</si>
  <si>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</si>
  <si>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</si>
  <si>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</si>
  <si>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</si>
  <si>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</si>
  <si>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</si>
  <si>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</si>
  <si>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</si>
  <si>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</si>
  <si>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</si>
  <si>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</si>
  <si>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Output 2.2: Functional formal and community system, with proper information management on land cases to improve effective delivery of services on land disputes.</t>
  </si>
  <si>
    <t>Output 1.1: Capacity of federal government and member states to advocate and influence policy on Land rights is enhanced.</t>
  </si>
  <si>
    <t>OUTCOME 1: Strengthened capacity of authorities in policy development and legislation to increase justice, remedial and adjudication on land issues</t>
  </si>
  <si>
    <t xml:space="preserve">OUTCOME 2: Streamlined delivery of land administration and land rights services through appropriate infrastructure and information management systems </t>
  </si>
  <si>
    <t>Activity 1.1.1:Organization of two high level forums on land, conflict and state building</t>
  </si>
  <si>
    <t>Activity 1.1.2: Sponsor the participation of Federal Government and Federal Member States Delegates to participate in bilateral study tours in relevant and similar context States.</t>
  </si>
  <si>
    <t xml:space="preserve">Activity 1.1.3: Conduct training to government officials on policy development, drafting and implementation </t>
  </si>
  <si>
    <t xml:space="preserve">Activity 1.1.4: Development of Tool-kit on Best Practices on Land Governance </t>
  </si>
  <si>
    <t xml:space="preserve">Activity 1.1.5: Facilitate the participation of key technical specialists in each region to attend World Bank Land and Poverty Conference </t>
  </si>
  <si>
    <t xml:space="preserve">Output 1.2: Improved dialogue processes between communities and state officials on land dispute resolutions </t>
  </si>
  <si>
    <t>Activity 1.2.1: Organization of dialogue forums on land dispute resolution in target locations</t>
  </si>
  <si>
    <t>Activity 1.2.2: Development of community led dispute resolution toolkit</t>
  </si>
  <si>
    <t xml:space="preserve">Activity 1.2.3: Development of training manual for land dispute adjudicators </t>
  </si>
  <si>
    <t>Output 2.1: Established land dispute tribunals and committees’ capacity on land dispute cases is strengthened.</t>
  </si>
  <si>
    <t>Activity 2.1.1:  Establish and capacitate land dispute tribunals or committees</t>
  </si>
  <si>
    <t>Activity 2.1.2: Training on legal statutory analysis and legal reasoning for civil servants and customary leaders</t>
  </si>
  <si>
    <t>Activity 2.1.3: Support to capacitating and formalizing land dispute commissions</t>
  </si>
  <si>
    <t>Activity 2.1.4: Mobile outreach and legal aid support for land disputes (Vulnerable groups and IDP settlements)</t>
  </si>
  <si>
    <t>Activity 2.1.5: Development of training manuals for training session on grass-root negotiations, district level negotiations and FMS negotiations:</t>
  </si>
  <si>
    <t>Activity 2.2.1: Train district and community stakeholders on the core concepts, principles and methodologies for land and land disputes information management leveraging on the existing IOM Displacement Tracking Matrix system.</t>
  </si>
  <si>
    <t>Activity 2.2.2: Provide information technology equipment (laptops, data storage devices, printer/scanner etc.) to local authorities as institutional capacity building for improved information management on land cases.</t>
  </si>
  <si>
    <t>Activity 2.2.3: Provide support for registration, management and archiving of land cases</t>
  </si>
  <si>
    <t>Activity 2.2.4: Strengthen evidence based case referral systems on land disputes to formal land adjudication systems.</t>
  </si>
  <si>
    <t xml:space="preserve">Output 2.3: Appropriate infrastructure for land administration, land management, civil and administrative adjudication is established or upgraded. </t>
  </si>
  <si>
    <t>Activity 2.3.1: Conduct participatory infrastructural capacity assessment.</t>
  </si>
  <si>
    <t xml:space="preserve">Activity 2.3.2: Develop architectural designs and costed bills of quantity to facilitate rehabilitation or development of infrastructure. </t>
  </si>
  <si>
    <t>Activity 2.3.3: Facilitate selection and profiling of cash for work beneficiaries.</t>
  </si>
  <si>
    <t>Activity 2.3.4: Rehabilitate and/or develop key public infrastructure for land administration, land management, civil and administrative adjudication in target districts.</t>
  </si>
  <si>
    <t xml:space="preserve">Activity 2.3.5: Participatory land boundary demarcation exercises </t>
  </si>
  <si>
    <t>Activity 2.3.6 Develop land tenure databases</t>
  </si>
  <si>
    <t>Amount Recipient  Agency UNDP</t>
  </si>
  <si>
    <t xml:space="preserve">Established land dispute desks at Community Dispute Resolution Houseses in Jubaland (2), Southwest (2), Hirshabelle (1) and Galmudug (1) and their capacity on land dispute cases is strengthened. </t>
  </si>
  <si>
    <t>Budget by recipient organization (not including staff, general operating costs and indirect fee) - Please add a new column for each recipient organization (UN-Habitat)</t>
  </si>
  <si>
    <t>Amount Recipient  Agency IOM</t>
  </si>
  <si>
    <t>Amount Recipient  Agency UN-Habitat</t>
  </si>
  <si>
    <t>Budget by recipient organization (not including staff, general operating costs and indirect fee)- Please add a new column for each recipient organization (UNHCR)</t>
  </si>
  <si>
    <t>Budget by recipient organization (not including staff, general operating costs and indirect fee)- Please add a new column for each recipient organization (IOM)</t>
  </si>
  <si>
    <t>Budget by recipient organization (not including staff, general operating costs and indirect fee) - Please add a new column for each recipient organization (UNDP)</t>
  </si>
  <si>
    <t>Amount Recipient  Agency UNHCR</t>
  </si>
  <si>
    <t>Project Total</t>
  </si>
  <si>
    <t>Indirect support costs (7%):</t>
  </si>
  <si>
    <t>For this output, 25% of the budget will be dedicated to each of the four regions.</t>
  </si>
  <si>
    <t>For this output, 25% of the budget will be dedicated to each of the four regions. **This is contigent on realities of operation on the ground that will impact costs.</t>
  </si>
  <si>
    <t>Expenditure</t>
  </si>
  <si>
    <t>Total Expenditure</t>
  </si>
  <si>
    <t>Burn Rates:</t>
  </si>
  <si>
    <t>Tranche 1:</t>
  </si>
  <si>
    <t>Total:</t>
  </si>
  <si>
    <t>IOM</t>
  </si>
  <si>
    <t>UNDP</t>
  </si>
  <si>
    <t>UN Habitat</t>
  </si>
  <si>
    <t>UNHCR</t>
  </si>
  <si>
    <t>UN Habitat Expenditure</t>
  </si>
  <si>
    <t>IOM Expenditure</t>
  </si>
  <si>
    <t>UNHCR Expenditure</t>
  </si>
  <si>
    <t>UNDP Expenditure</t>
  </si>
  <si>
    <t xml:space="preserve">Total expenditure November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</si>
</sst>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4" tint="-0.249977111117893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3" fontId="0" fillId="0" borderId="0" xfId="0" applyNumberFormat="1"/>
    <xf numFmtId="43" fontId="5" fillId="0" borderId="10" xfId="1" applyFont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5" fillId="4" borderId="10" xfId="1" applyFont="1" applyFill="1" applyBorder="1" applyAlignment="1">
      <alignment horizontal="right" vertical="center" wrapText="1"/>
    </xf>
    <xf numFmtId="3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43" fontId="0" fillId="0" borderId="0" xfId="1" applyFont="1"/>
    <xf numFmtId="164" fontId="0" fillId="0" borderId="0" xfId="0" applyNumberFormat="1"/>
    <xf numFmtId="43" fontId="5" fillId="6" borderId="10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5" fillId="7" borderId="10" xfId="1" applyFont="1" applyFill="1" applyBorder="1" applyAlignment="1">
      <alignment horizontal="right" vertical="center" wrapText="1"/>
    </xf>
    <xf numFmtId="43" fontId="5" fillId="7" borderId="10" xfId="1" applyFont="1" applyFill="1" applyBorder="1" applyAlignment="1">
      <alignment horizontal="center" vertical="center" wrapText="1"/>
    </xf>
    <xf numFmtId="43" fontId="13" fillId="7" borderId="10" xfId="1" applyFont="1" applyFill="1" applyBorder="1" applyAlignment="1">
      <alignment horizontal="right" vertical="center" wrapText="1"/>
    </xf>
    <xf numFmtId="43" fontId="13" fillId="5" borderId="10" xfId="1" applyFont="1" applyFill="1" applyBorder="1" applyAlignment="1">
      <alignment horizontal="right" vertical="center" wrapText="1"/>
    </xf>
    <xf numFmtId="9" fontId="0" fillId="0" borderId="0" xfId="2" applyFont="1"/>
    <xf numFmtId="44" fontId="0" fillId="0" borderId="0" xfId="0" applyNumberFormat="1"/>
    <xf numFmtId="43" fontId="5" fillId="0" borderId="16" xfId="1" applyFont="1" applyBorder="1" applyAlignment="1">
      <alignment horizontal="right" vertical="center" wrapText="1"/>
    </xf>
    <xf numFmtId="43" fontId="5" fillId="7" borderId="15" xfId="1" applyFont="1" applyFill="1" applyBorder="1" applyAlignment="1">
      <alignment horizontal="right" vertical="center" wrapText="1"/>
    </xf>
    <xf numFmtId="43" fontId="5" fillId="9" borderId="10" xfId="1" applyFont="1" applyFill="1" applyBorder="1" applyAlignment="1">
      <alignment horizontal="right" vertical="center" wrapText="1"/>
    </xf>
    <xf numFmtId="43" fontId="13" fillId="9" borderId="10" xfId="1" applyFont="1" applyFill="1" applyBorder="1" applyAlignment="1">
      <alignment horizontal="right" vertical="center" wrapText="1"/>
    </xf>
    <xf numFmtId="43" fontId="13" fillId="5" borderId="16" xfId="1" applyFont="1" applyFill="1" applyBorder="1" applyAlignment="1">
      <alignment horizontal="right" vertical="center" wrapText="1"/>
    </xf>
    <xf numFmtId="43" fontId="13" fillId="5" borderId="1" xfId="1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1" fillId="7" borderId="4" xfId="1" applyFont="1" applyFill="1" applyBorder="1" applyAlignment="1">
      <alignment vertical="center" wrapText="1"/>
    </xf>
    <xf numFmtId="43" fontId="10" fillId="7" borderId="4" xfId="1" applyFont="1" applyFill="1" applyBorder="1" applyAlignment="1">
      <alignment vertical="center" wrapText="1"/>
    </xf>
    <xf numFmtId="43" fontId="10" fillId="7" borderId="1" xfId="1" applyFont="1" applyFill="1" applyBorder="1" applyAlignment="1">
      <alignment vertical="center" wrapText="1"/>
    </xf>
    <xf numFmtId="43" fontId="1" fillId="7" borderId="1" xfId="1" applyFont="1" applyFill="1" applyBorder="1" applyAlignment="1">
      <alignment vertical="center" wrapText="1"/>
    </xf>
    <xf numFmtId="0" fontId="0" fillId="0" borderId="19" xfId="0" applyBorder="1"/>
    <xf numFmtId="9" fontId="0" fillId="0" borderId="19" xfId="2" applyFont="1" applyBorder="1"/>
    <xf numFmtId="9" fontId="6" fillId="0" borderId="19" xfId="2" applyFont="1" applyBorder="1"/>
    <xf numFmtId="9" fontId="6" fillId="0" borderId="20" xfId="2" applyFont="1" applyBorder="1"/>
    <xf numFmtId="0" fontId="0" fillId="0" borderId="21" xfId="0" applyBorder="1"/>
    <xf numFmtId="0" fontId="0" fillId="0" borderId="23" xfId="0" applyBorder="1"/>
    <xf numFmtId="0" fontId="0" fillId="0" borderId="18" xfId="0" applyBorder="1"/>
    <xf numFmtId="0" fontId="6" fillId="0" borderId="18" xfId="0" applyFont="1" applyBorder="1"/>
    <xf numFmtId="0" fontId="6" fillId="0" borderId="27" xfId="0" applyFont="1" applyBorder="1"/>
    <xf numFmtId="43" fontId="12" fillId="7" borderId="1" xfId="1" applyFont="1" applyFill="1" applyBorder="1" applyAlignment="1">
      <alignment vertical="center" wrapText="1"/>
    </xf>
    <xf numFmtId="43" fontId="1" fillId="7" borderId="3" xfId="1" applyFont="1" applyFill="1" applyBorder="1" applyAlignment="1">
      <alignment vertical="center" wrapText="1"/>
    </xf>
    <xf numFmtId="43" fontId="11" fillId="7" borderId="4" xfId="1" applyFont="1" applyFill="1" applyBorder="1" applyAlignment="1">
      <alignment vertical="center" wrapText="1"/>
    </xf>
    <xf numFmtId="9" fontId="1" fillId="7" borderId="2" xfId="2" applyFont="1" applyFill="1" applyBorder="1" applyAlignment="1">
      <alignment vertical="center" wrapText="1"/>
    </xf>
    <xf numFmtId="9" fontId="1" fillId="7" borderId="4" xfId="2" applyFont="1" applyFill="1" applyBorder="1" applyAlignment="1">
      <alignment vertical="center" wrapText="1"/>
    </xf>
    <xf numFmtId="9" fontId="2" fillId="7" borderId="1" xfId="2" applyFont="1" applyFill="1" applyBorder="1" applyAlignment="1">
      <alignment vertical="center" wrapText="1"/>
    </xf>
    <xf numFmtId="9" fontId="1" fillId="7" borderId="1" xfId="2" applyFont="1" applyFill="1" applyBorder="1" applyAlignment="1">
      <alignment vertical="center" wrapText="1"/>
    </xf>
    <xf numFmtId="9" fontId="12" fillId="7" borderId="1" xfId="2" applyFont="1" applyFill="1" applyBorder="1" applyAlignment="1">
      <alignment vertical="center" wrapText="1"/>
    </xf>
    <xf numFmtId="43" fontId="2" fillId="7" borderId="4" xfId="1" applyFont="1" applyFill="1" applyBorder="1" applyAlignment="1">
      <alignment vertical="center" wrapText="1"/>
    </xf>
    <xf numFmtId="43" fontId="1" fillId="7" borderId="2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vertical="center" wrapText="1"/>
    </xf>
    <xf numFmtId="0" fontId="14" fillId="0" borderId="0" xfId="0" applyFont="1"/>
    <xf numFmtId="43" fontId="1" fillId="0" borderId="1" xfId="1" applyFont="1" applyBorder="1"/>
    <xf numFmtId="43" fontId="1" fillId="0" borderId="0" xfId="0" applyNumberFormat="1" applyFont="1"/>
    <xf numFmtId="43" fontId="1" fillId="0" borderId="3" xfId="1" applyFont="1" applyFill="1" applyBorder="1" applyAlignment="1">
      <alignment vertical="center" wrapText="1"/>
    </xf>
    <xf numFmtId="43" fontId="1" fillId="8" borderId="4" xfId="1" applyFont="1" applyFill="1" applyBorder="1" applyAlignment="1">
      <alignment vertical="center" wrapText="1"/>
    </xf>
    <xf numFmtId="43" fontId="2" fillId="8" borderId="1" xfId="1" applyFont="1" applyFill="1" applyBorder="1" applyAlignment="1">
      <alignment vertical="center" wrapText="1"/>
    </xf>
    <xf numFmtId="43" fontId="1" fillId="8" borderId="1" xfId="1" applyFont="1" applyFill="1" applyBorder="1" applyAlignment="1">
      <alignment vertical="center" wrapText="1"/>
    </xf>
    <xf numFmtId="43" fontId="1" fillId="8" borderId="1" xfId="1" applyFont="1" applyFill="1" applyBorder="1"/>
    <xf numFmtId="43" fontId="12" fillId="8" borderId="1" xfId="1" applyFont="1" applyFill="1" applyBorder="1" applyAlignment="1">
      <alignment vertical="center" wrapText="1"/>
    </xf>
    <xf numFmtId="43" fontId="1" fillId="8" borderId="2" xfId="1" applyFont="1" applyFill="1" applyBorder="1" applyAlignment="1">
      <alignment vertical="center" wrapText="1"/>
    </xf>
    <xf numFmtId="43" fontId="1" fillId="7" borderId="5" xfId="1" applyFont="1" applyFill="1" applyBorder="1" applyAlignment="1">
      <alignment horizontal="center" vertical="center" wrapText="1"/>
    </xf>
    <xf numFmtId="43" fontId="1" fillId="7" borderId="6" xfId="1" applyFont="1" applyFill="1" applyBorder="1" applyAlignment="1">
      <alignment horizontal="center" vertical="center" wrapText="1"/>
    </xf>
    <xf numFmtId="43" fontId="1" fillId="7" borderId="2" xfId="1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3" fontId="2" fillId="7" borderId="1" xfId="1" applyFont="1" applyFill="1" applyBorder="1" applyAlignment="1">
      <alignment vertical="center" wrapText="1"/>
    </xf>
    <xf numFmtId="43" fontId="1" fillId="7" borderId="4" xfId="1" applyFont="1" applyFill="1" applyBorder="1" applyAlignment="1">
      <alignment vertical="center" wrapText="1"/>
    </xf>
    <xf numFmtId="43" fontId="1" fillId="7" borderId="1" xfId="1" applyFont="1" applyFill="1" applyBorder="1" applyAlignment="1">
      <alignment vertical="center" wrapText="1"/>
    </xf>
    <xf numFmtId="43" fontId="12" fillId="7" borderId="1" xfId="1" applyFont="1" applyFill="1" applyBorder="1" applyAlignment="1">
      <alignment vertical="center" wrapText="1"/>
    </xf>
    <xf numFmtId="43" fontId="1" fillId="7" borderId="2" xfId="1" applyFont="1" applyFill="1" applyBorder="1" applyAlignment="1">
      <alignment vertical="center" wrapText="1"/>
    </xf>
    <xf numFmtId="43" fontId="1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zoomScale="50" zoomScaleNormal="50" zoomScaleSheetLayoutView="100" zoomScalePageLayoutView="80" workbookViewId="0">
      <pane ySplit="7" topLeftCell="A39" activePane="bottomLeft" state="frozen"/>
      <selection pane="bottomLeft" activeCell="I42" sqref="I42"/>
    </sheetView>
  </sheetViews>
  <sheetFormatPr defaultColWidth="8.7265625" defaultRowHeight="14.5" x14ac:dyDescent="0.35"/>
  <cols>
    <col min="1" max="1" width="24" customWidth="1"/>
    <col min="2" max="5" width="24.453125" customWidth="1"/>
    <col min="6" max="6" width="25.453125" customWidth="1"/>
    <col min="7" max="7" width="22.453125" style="30" customWidth="1"/>
    <col min="8" max="9" width="20.7265625" customWidth="1"/>
    <col min="10" max="10" width="28.453125" customWidth="1"/>
    <col min="11" max="13" width="23" style="15" bestFit="1" customWidth="1"/>
    <col min="14" max="14" width="24.26953125" style="15" customWidth="1"/>
  </cols>
  <sheetData>
    <row r="1" spans="1:14" ht="21" x14ac:dyDescent="0.5">
      <c r="A1" s="7" t="s">
        <v>0</v>
      </c>
      <c r="B1" s="6"/>
      <c r="C1" s="6"/>
      <c r="D1" s="6"/>
      <c r="E1" s="6"/>
    </row>
    <row r="2" spans="1:14" ht="15.5" x14ac:dyDescent="0.35">
      <c r="A2" s="1"/>
      <c r="B2" s="1"/>
      <c r="C2" s="1"/>
      <c r="D2" s="1"/>
      <c r="E2" s="1"/>
    </row>
    <row r="3" spans="1:14" ht="15.5" x14ac:dyDescent="0.35">
      <c r="A3" s="1" t="s">
        <v>24</v>
      </c>
      <c r="B3" s="1"/>
      <c r="C3" s="1"/>
      <c r="D3" s="1"/>
      <c r="E3" s="1"/>
    </row>
    <row r="5" spans="1:14" ht="15.5" x14ac:dyDescent="0.35">
      <c r="A5" s="1" t="s">
        <v>29</v>
      </c>
    </row>
    <row r="6" spans="1:14" ht="15" thickBot="1" x14ac:dyDescent="0.4"/>
    <row r="7" spans="1:14" ht="109" thickBot="1" x14ac:dyDescent="0.4">
      <c r="A7" s="18" t="s">
        <v>1</v>
      </c>
      <c r="B7" s="19" t="s">
        <v>2</v>
      </c>
      <c r="C7" s="19" t="s">
        <v>62</v>
      </c>
      <c r="D7" s="19" t="s">
        <v>66</v>
      </c>
      <c r="E7" s="19" t="s">
        <v>65</v>
      </c>
      <c r="F7" s="19" t="s">
        <v>67</v>
      </c>
      <c r="G7" s="55" t="s">
        <v>7</v>
      </c>
      <c r="H7" s="19" t="s">
        <v>8</v>
      </c>
      <c r="I7" s="19" t="s">
        <v>86</v>
      </c>
      <c r="K7" s="42" t="s">
        <v>82</v>
      </c>
      <c r="L7" s="61" t="s">
        <v>83</v>
      </c>
      <c r="M7" s="104" t="s">
        <v>84</v>
      </c>
      <c r="N7" s="72" t="s">
        <v>85</v>
      </c>
    </row>
    <row r="8" spans="1:14" ht="15.5" customHeight="1" thickBot="1" x14ac:dyDescent="0.4">
      <c r="A8" s="86" t="s">
        <v>32</v>
      </c>
      <c r="B8" s="87"/>
      <c r="C8" s="87"/>
      <c r="D8" s="87"/>
      <c r="E8" s="87"/>
      <c r="F8" s="87"/>
      <c r="G8" s="87"/>
      <c r="H8" s="87"/>
      <c r="I8" s="88"/>
      <c r="K8" s="76"/>
      <c r="L8" s="77"/>
      <c r="M8" s="77"/>
      <c r="N8" s="78"/>
    </row>
    <row r="9" spans="1:14" ht="90.5" thickBot="1" x14ac:dyDescent="0.4">
      <c r="A9" s="20" t="s">
        <v>31</v>
      </c>
      <c r="B9" s="21"/>
      <c r="C9" s="39"/>
      <c r="D9" s="39"/>
      <c r="E9" s="39"/>
      <c r="F9" s="39"/>
      <c r="G9" s="56"/>
      <c r="H9" s="54" t="s">
        <v>71</v>
      </c>
      <c r="I9" s="54"/>
      <c r="K9" s="53"/>
      <c r="L9" s="39"/>
      <c r="M9" s="101"/>
      <c r="N9" s="67"/>
    </row>
    <row r="10" spans="1:14" ht="62.5" thickBot="1" x14ac:dyDescent="0.4">
      <c r="A10" s="22" t="s">
        <v>34</v>
      </c>
      <c r="B10" s="21"/>
      <c r="C10" s="39">
        <v>35000</v>
      </c>
      <c r="D10" s="39"/>
      <c r="E10" s="39"/>
      <c r="F10" s="39"/>
      <c r="G10" s="56">
        <v>0.05</v>
      </c>
      <c r="H10" s="39"/>
      <c r="I10" s="39"/>
      <c r="K10" s="53">
        <v>17047</v>
      </c>
      <c r="L10" s="39"/>
      <c r="M10" s="101"/>
      <c r="N10" s="67"/>
    </row>
    <row r="11" spans="1:14" ht="124.5" thickBot="1" x14ac:dyDescent="0.4">
      <c r="A11" s="22" t="s">
        <v>35</v>
      </c>
      <c r="B11" s="21"/>
      <c r="C11" s="39">
        <v>18000</v>
      </c>
      <c r="D11" s="39"/>
      <c r="E11" s="39"/>
      <c r="F11" s="39"/>
      <c r="G11" s="56"/>
      <c r="H11" s="39"/>
      <c r="I11" s="39"/>
      <c r="K11" s="53"/>
      <c r="L11" s="39"/>
      <c r="M11" s="101"/>
      <c r="N11" s="67"/>
    </row>
    <row r="12" spans="1:14" ht="78" thickBot="1" x14ac:dyDescent="0.4">
      <c r="A12" s="22" t="s">
        <v>36</v>
      </c>
      <c r="B12" s="21"/>
      <c r="C12" s="39">
        <v>16000</v>
      </c>
      <c r="D12" s="39"/>
      <c r="E12" s="39"/>
      <c r="F12" s="39"/>
      <c r="G12" s="56">
        <v>0.1</v>
      </c>
      <c r="H12" s="39"/>
      <c r="I12" s="39"/>
      <c r="K12" s="53">
        <v>16000</v>
      </c>
      <c r="L12" s="39"/>
      <c r="M12" s="101"/>
      <c r="N12" s="67"/>
    </row>
    <row r="13" spans="1:14" ht="62.5" thickBot="1" x14ac:dyDescent="0.4">
      <c r="A13" s="22" t="s">
        <v>37</v>
      </c>
      <c r="B13" s="21"/>
      <c r="C13" s="39">
        <v>14000</v>
      </c>
      <c r="D13" s="39"/>
      <c r="E13" s="39"/>
      <c r="F13" s="39"/>
      <c r="G13" s="56"/>
      <c r="H13" s="39"/>
      <c r="I13" s="39"/>
      <c r="K13" s="53">
        <v>14000</v>
      </c>
      <c r="L13" s="39"/>
      <c r="M13" s="101"/>
      <c r="N13" s="67"/>
    </row>
    <row r="14" spans="1:14" ht="93.5" thickBot="1" x14ac:dyDescent="0.4">
      <c r="A14" s="22" t="s">
        <v>38</v>
      </c>
      <c r="B14" s="21"/>
      <c r="C14" s="39">
        <v>36000</v>
      </c>
      <c r="D14" s="39"/>
      <c r="E14" s="39"/>
      <c r="F14" s="39"/>
      <c r="G14" s="56"/>
      <c r="H14" s="39"/>
      <c r="I14" s="39"/>
      <c r="K14" s="53"/>
      <c r="L14" s="39"/>
      <c r="M14" s="101"/>
      <c r="N14" s="67"/>
    </row>
    <row r="15" spans="1:14" ht="75.5" thickBot="1" x14ac:dyDescent="0.4">
      <c r="A15" s="20" t="s">
        <v>39</v>
      </c>
      <c r="B15" s="21"/>
      <c r="C15" s="39"/>
      <c r="D15" s="39"/>
      <c r="E15" s="39"/>
      <c r="F15" s="39"/>
      <c r="G15" s="56"/>
      <c r="H15" s="39"/>
      <c r="I15" s="39"/>
      <c r="K15" s="53"/>
      <c r="L15" s="39"/>
      <c r="M15" s="101"/>
      <c r="N15" s="67"/>
    </row>
    <row r="16" spans="1:14" ht="78" thickBot="1" x14ac:dyDescent="0.4">
      <c r="A16" s="22" t="s">
        <v>40</v>
      </c>
      <c r="B16" s="21"/>
      <c r="C16" s="39">
        <v>20000</v>
      </c>
      <c r="D16" s="39"/>
      <c r="E16" s="39">
        <v>162960</v>
      </c>
      <c r="F16" s="39"/>
      <c r="G16" s="56">
        <v>0.1</v>
      </c>
      <c r="H16" s="54" t="s">
        <v>71</v>
      </c>
      <c r="I16" s="54"/>
      <c r="K16" s="53">
        <v>20000</v>
      </c>
      <c r="L16" s="39"/>
      <c r="M16" s="101">
        <v>134000</v>
      </c>
      <c r="N16" s="67"/>
    </row>
    <row r="17" spans="1:14" ht="62.5" thickBot="1" x14ac:dyDescent="0.4">
      <c r="A17" s="22" t="s">
        <v>41</v>
      </c>
      <c r="B17" s="21"/>
      <c r="C17" s="39">
        <v>20000</v>
      </c>
      <c r="D17" s="39"/>
      <c r="E17" s="39"/>
      <c r="F17" s="39"/>
      <c r="G17" s="56"/>
      <c r="H17" s="39"/>
      <c r="I17" s="39"/>
      <c r="K17" s="53">
        <v>20000</v>
      </c>
      <c r="L17" s="39"/>
      <c r="M17" s="101"/>
      <c r="N17" s="67"/>
    </row>
    <row r="18" spans="1:14" ht="62.5" thickBot="1" x14ac:dyDescent="0.4">
      <c r="A18" s="22" t="s">
        <v>42</v>
      </c>
      <c r="B18" s="21"/>
      <c r="C18" s="39">
        <v>20000</v>
      </c>
      <c r="D18" s="39"/>
      <c r="E18" s="39"/>
      <c r="F18" s="39"/>
      <c r="G18" s="56"/>
      <c r="H18" s="39"/>
      <c r="I18" s="39"/>
      <c r="K18" s="53">
        <v>20000</v>
      </c>
      <c r="L18" s="39"/>
      <c r="M18" s="101"/>
      <c r="N18" s="67"/>
    </row>
    <row r="19" spans="1:14" ht="16.5" customHeight="1" thickBot="1" x14ac:dyDescent="0.4">
      <c r="A19" s="83" t="s">
        <v>3</v>
      </c>
      <c r="B19" s="84"/>
      <c r="C19" s="25">
        <f>SUM(C9:C18)</f>
        <v>179000</v>
      </c>
      <c r="D19" s="25">
        <f t="shared" ref="D19:H19" si="0">SUM(D9:D18)</f>
        <v>0</v>
      </c>
      <c r="E19" s="25">
        <f t="shared" si="0"/>
        <v>162960</v>
      </c>
      <c r="F19" s="25">
        <f t="shared" si="0"/>
        <v>0</v>
      </c>
      <c r="G19" s="57">
        <f t="shared" si="0"/>
        <v>0.25</v>
      </c>
      <c r="H19" s="25">
        <f t="shared" si="0"/>
        <v>0</v>
      </c>
      <c r="I19" s="25"/>
      <c r="K19" s="25">
        <f>SUM(K9:K18)</f>
        <v>107047</v>
      </c>
      <c r="L19" s="25">
        <f t="shared" ref="L19:N19" si="1">SUM(L9:L18)</f>
        <v>0</v>
      </c>
      <c r="M19" s="100">
        <f t="shared" si="1"/>
        <v>134000</v>
      </c>
      <c r="N19" s="68">
        <f t="shared" si="1"/>
        <v>0</v>
      </c>
    </row>
    <row r="20" spans="1:14" ht="15.5" customHeight="1" thickBot="1" x14ac:dyDescent="0.4">
      <c r="A20" s="83" t="s">
        <v>33</v>
      </c>
      <c r="B20" s="85"/>
      <c r="C20" s="85"/>
      <c r="D20" s="85"/>
      <c r="E20" s="85"/>
      <c r="F20" s="85"/>
      <c r="G20" s="85"/>
      <c r="H20" s="85"/>
      <c r="I20" s="84"/>
      <c r="K20" s="73"/>
      <c r="L20" s="74"/>
      <c r="M20" s="74"/>
      <c r="N20" s="75"/>
    </row>
    <row r="21" spans="1:14" ht="75.5" thickBot="1" x14ac:dyDescent="0.4">
      <c r="A21" s="23" t="s">
        <v>43</v>
      </c>
      <c r="B21" s="22"/>
      <c r="C21" s="39"/>
      <c r="D21" s="39"/>
      <c r="E21" s="39"/>
      <c r="F21" s="39"/>
      <c r="G21" s="56"/>
      <c r="H21" s="54" t="s">
        <v>71</v>
      </c>
      <c r="I21" s="54"/>
      <c r="J21" s="15"/>
      <c r="K21" s="53"/>
      <c r="L21" s="39"/>
      <c r="M21" s="101"/>
      <c r="N21" s="67"/>
    </row>
    <row r="22" spans="1:14" ht="140" thickBot="1" x14ac:dyDescent="0.4">
      <c r="A22" s="22" t="s">
        <v>44</v>
      </c>
      <c r="B22" s="21" t="s">
        <v>61</v>
      </c>
      <c r="C22" s="39"/>
      <c r="D22" s="39"/>
      <c r="E22" s="39"/>
      <c r="F22" s="39">
        <v>521000</v>
      </c>
      <c r="G22" s="56">
        <v>0.05</v>
      </c>
      <c r="H22" s="39"/>
      <c r="I22" s="39">
        <v>170263.63</v>
      </c>
      <c r="J22" s="15"/>
      <c r="K22" s="53"/>
      <c r="L22" s="39"/>
      <c r="M22" s="101"/>
      <c r="N22" s="67">
        <v>170263.63</v>
      </c>
    </row>
    <row r="23" spans="1:14" ht="78" thickBot="1" x14ac:dyDescent="0.4">
      <c r="A23" s="22" t="s">
        <v>45</v>
      </c>
      <c r="B23" s="21"/>
      <c r="C23" s="39">
        <v>12000</v>
      </c>
      <c r="D23" s="39"/>
      <c r="E23" s="39"/>
      <c r="F23" s="39"/>
      <c r="G23" s="56"/>
      <c r="H23" s="39"/>
      <c r="I23" s="39"/>
      <c r="J23" s="15"/>
      <c r="K23" s="53">
        <v>12000</v>
      </c>
      <c r="L23" s="39"/>
      <c r="M23" s="101"/>
      <c r="N23" s="67"/>
    </row>
    <row r="24" spans="1:14" ht="62.5" thickBot="1" x14ac:dyDescent="0.4">
      <c r="A24" s="22" t="s">
        <v>46</v>
      </c>
      <c r="B24" s="21"/>
      <c r="C24" s="39">
        <v>60000</v>
      </c>
      <c r="D24" s="39"/>
      <c r="E24" s="39"/>
      <c r="F24" s="39"/>
      <c r="G24" s="56"/>
      <c r="H24" s="39"/>
      <c r="I24" s="39"/>
      <c r="J24" s="15"/>
      <c r="K24" s="53">
        <v>60000</v>
      </c>
      <c r="L24" s="39"/>
      <c r="M24" s="101"/>
      <c r="N24" s="67"/>
    </row>
    <row r="25" spans="1:14" ht="78" thickBot="1" x14ac:dyDescent="0.4">
      <c r="A25" s="22" t="s">
        <v>47</v>
      </c>
      <c r="B25" s="21"/>
      <c r="C25" s="39"/>
      <c r="D25" s="39"/>
      <c r="E25" s="39"/>
      <c r="F25" s="39"/>
      <c r="G25" s="56"/>
      <c r="H25" s="39"/>
      <c r="I25" s="39"/>
      <c r="J25" s="15"/>
      <c r="K25" s="53"/>
      <c r="L25" s="39"/>
      <c r="M25" s="101"/>
      <c r="N25" s="67"/>
    </row>
    <row r="26" spans="1:14" ht="109" thickBot="1" x14ac:dyDescent="0.4">
      <c r="A26" s="22" t="s">
        <v>48</v>
      </c>
      <c r="B26" s="21"/>
      <c r="C26" s="39"/>
      <c r="D26" s="39"/>
      <c r="E26" s="39"/>
      <c r="F26" s="39"/>
      <c r="G26" s="56"/>
      <c r="H26" s="39"/>
      <c r="I26" s="39"/>
      <c r="J26" s="15"/>
      <c r="K26" s="53"/>
      <c r="L26" s="39"/>
      <c r="M26" s="101"/>
      <c r="N26" s="67"/>
    </row>
    <row r="27" spans="1:14" ht="135.5" thickBot="1" x14ac:dyDescent="0.4">
      <c r="A27" s="20" t="s">
        <v>30</v>
      </c>
      <c r="B27" s="21"/>
      <c r="C27" s="39"/>
      <c r="D27" s="60"/>
      <c r="E27" s="39"/>
      <c r="F27" s="39"/>
      <c r="G27" s="56"/>
      <c r="H27" s="54" t="s">
        <v>72</v>
      </c>
      <c r="I27" s="54"/>
      <c r="J27" s="15"/>
      <c r="K27" s="53"/>
      <c r="L27" s="39"/>
      <c r="M27" s="101"/>
      <c r="N27" s="67"/>
    </row>
    <row r="28" spans="1:14" ht="155.5" thickBot="1" x14ac:dyDescent="0.4">
      <c r="A28" s="22" t="s">
        <v>49</v>
      </c>
      <c r="B28" s="21"/>
      <c r="C28" s="39"/>
      <c r="D28" s="39">
        <v>4500</v>
      </c>
      <c r="E28" s="39">
        <v>10000</v>
      </c>
      <c r="F28" s="39"/>
      <c r="G28" s="56"/>
      <c r="H28" s="39"/>
      <c r="I28" s="39"/>
      <c r="J28" s="15"/>
      <c r="K28" s="53"/>
      <c r="L28" s="62">
        <v>6821</v>
      </c>
      <c r="M28" s="101">
        <v>7000</v>
      </c>
      <c r="N28" s="67"/>
    </row>
    <row r="29" spans="1:14" ht="155.5" thickBot="1" x14ac:dyDescent="0.4">
      <c r="A29" s="22" t="s">
        <v>50</v>
      </c>
      <c r="B29" s="21"/>
      <c r="C29" s="39"/>
      <c r="D29" s="39">
        <v>18000</v>
      </c>
      <c r="E29" s="39">
        <v>25000</v>
      </c>
      <c r="F29" s="39"/>
      <c r="G29" s="56"/>
      <c r="H29" s="39"/>
      <c r="I29" s="39"/>
      <c r="J29" s="15"/>
      <c r="K29" s="53"/>
      <c r="L29" s="39">
        <v>0</v>
      </c>
      <c r="M29" s="101"/>
      <c r="N29" s="67"/>
    </row>
    <row r="30" spans="1:14" ht="62.5" thickBot="1" x14ac:dyDescent="0.4">
      <c r="A30" s="22" t="s">
        <v>51</v>
      </c>
      <c r="B30" s="21"/>
      <c r="C30" s="39"/>
      <c r="D30" s="39">
        <v>3300</v>
      </c>
      <c r="E30" s="39"/>
      <c r="F30" s="39"/>
      <c r="G30" s="56"/>
      <c r="H30" s="39"/>
      <c r="I30" s="39"/>
      <c r="J30" s="15"/>
      <c r="K30" s="53"/>
      <c r="L30" s="62">
        <v>4734</v>
      </c>
      <c r="M30" s="101"/>
      <c r="N30" s="67"/>
    </row>
    <row r="31" spans="1:14" ht="78" thickBot="1" x14ac:dyDescent="0.4">
      <c r="A31" s="22" t="s">
        <v>52</v>
      </c>
      <c r="B31" s="21"/>
      <c r="C31" s="39"/>
      <c r="D31" s="39"/>
      <c r="E31" s="39"/>
      <c r="F31" s="39"/>
      <c r="G31" s="56"/>
      <c r="H31" s="39"/>
      <c r="I31" s="39"/>
      <c r="J31" s="15"/>
      <c r="K31" s="53"/>
      <c r="L31" s="39"/>
      <c r="M31" s="101"/>
      <c r="N31" s="67"/>
    </row>
    <row r="32" spans="1:14" ht="105.5" thickBot="1" x14ac:dyDescent="0.4">
      <c r="A32" s="20" t="s">
        <v>53</v>
      </c>
      <c r="B32" s="21"/>
      <c r="C32" s="39"/>
      <c r="D32" s="39"/>
      <c r="E32" s="39"/>
      <c r="F32" s="39"/>
      <c r="G32" s="56"/>
      <c r="H32" s="54" t="s">
        <v>71</v>
      </c>
      <c r="I32" s="54"/>
      <c r="J32" s="15"/>
      <c r="K32" s="53"/>
      <c r="L32" s="39"/>
      <c r="M32" s="101"/>
      <c r="N32" s="67"/>
    </row>
    <row r="33" spans="1:14" ht="62.5" thickBot="1" x14ac:dyDescent="0.4">
      <c r="A33" s="22" t="s">
        <v>54</v>
      </c>
      <c r="B33" s="21"/>
      <c r="C33" s="39"/>
      <c r="D33" s="39">
        <v>3450</v>
      </c>
      <c r="E33" s="39"/>
      <c r="F33" s="39"/>
      <c r="G33" s="56"/>
      <c r="H33" s="39"/>
      <c r="I33" s="39"/>
      <c r="J33" s="15"/>
      <c r="K33" s="53"/>
      <c r="L33" s="62">
        <v>3917</v>
      </c>
      <c r="M33" s="101"/>
      <c r="N33" s="67"/>
    </row>
    <row r="34" spans="1:14" ht="48" customHeight="1" thickBot="1" x14ac:dyDescent="0.4">
      <c r="A34" s="22" t="s">
        <v>55</v>
      </c>
      <c r="B34" s="21"/>
      <c r="C34" s="39"/>
      <c r="D34" s="39">
        <v>22500</v>
      </c>
      <c r="E34" s="39"/>
      <c r="F34" s="39"/>
      <c r="G34" s="56"/>
      <c r="H34" s="39"/>
      <c r="I34" s="39"/>
      <c r="J34" s="15"/>
      <c r="K34" s="53"/>
      <c r="L34" s="62">
        <v>863</v>
      </c>
      <c r="M34" s="101"/>
      <c r="N34" s="67"/>
    </row>
    <row r="35" spans="1:14" ht="62.5" thickBot="1" x14ac:dyDescent="0.4">
      <c r="A35" s="22" t="s">
        <v>56</v>
      </c>
      <c r="B35" s="21"/>
      <c r="C35" s="39"/>
      <c r="D35" s="39">
        <v>48750</v>
      </c>
      <c r="E35" s="39"/>
      <c r="F35" s="39"/>
      <c r="G35" s="56"/>
      <c r="H35" s="39"/>
      <c r="I35" s="39"/>
      <c r="J35" s="15"/>
      <c r="K35" s="53"/>
      <c r="L35" s="62">
        <v>33323</v>
      </c>
      <c r="M35" s="101"/>
      <c r="N35" s="67"/>
    </row>
    <row r="36" spans="1:14" ht="140" thickBot="1" x14ac:dyDescent="0.4">
      <c r="A36" s="18" t="s">
        <v>57</v>
      </c>
      <c r="B36" s="21"/>
      <c r="C36" s="39"/>
      <c r="D36" s="39">
        <v>288750</v>
      </c>
      <c r="E36" s="39"/>
      <c r="F36" s="39"/>
      <c r="G36" s="56"/>
      <c r="H36" s="39"/>
      <c r="I36" s="39"/>
      <c r="J36" s="15"/>
      <c r="K36" s="53"/>
      <c r="L36" s="62">
        <v>281296</v>
      </c>
      <c r="M36" s="101"/>
      <c r="N36" s="67"/>
    </row>
    <row r="37" spans="1:14" ht="62.5" thickBot="1" x14ac:dyDescent="0.4">
      <c r="A37" s="18" t="s">
        <v>58</v>
      </c>
      <c r="B37" s="21"/>
      <c r="C37" s="39"/>
      <c r="D37" s="39">
        <v>3300</v>
      </c>
      <c r="E37" s="39"/>
      <c r="F37" s="39"/>
      <c r="G37" s="56"/>
      <c r="H37" s="39"/>
      <c r="I37" s="39"/>
      <c r="J37" s="15"/>
      <c r="K37" s="53"/>
      <c r="L37" s="62">
        <v>5338</v>
      </c>
      <c r="M37" s="101"/>
      <c r="N37" s="67"/>
    </row>
    <row r="38" spans="1:14" ht="31.5" thickBot="1" x14ac:dyDescent="0.4">
      <c r="A38" s="18" t="s">
        <v>59</v>
      </c>
      <c r="B38" s="21"/>
      <c r="C38" s="39"/>
      <c r="D38" s="39"/>
      <c r="E38" s="39">
        <v>80000</v>
      </c>
      <c r="F38" s="39"/>
      <c r="G38" s="56"/>
      <c r="H38" s="39"/>
      <c r="I38" s="39"/>
      <c r="J38" s="15"/>
      <c r="K38" s="53"/>
      <c r="L38" s="39"/>
      <c r="M38" s="101">
        <v>46000</v>
      </c>
      <c r="N38" s="67"/>
    </row>
    <row r="39" spans="1:14" ht="16.5" customHeight="1" thickBot="1" x14ac:dyDescent="0.4">
      <c r="A39" s="83" t="s">
        <v>4</v>
      </c>
      <c r="B39" s="85"/>
      <c r="C39" s="25">
        <f>SUM(C21:C38)</f>
        <v>72000</v>
      </c>
      <c r="D39" s="25">
        <f t="shared" ref="D39:G39" si="2">SUM(D21:D38)</f>
        <v>392550</v>
      </c>
      <c r="E39" s="25">
        <f t="shared" si="2"/>
        <v>115000</v>
      </c>
      <c r="F39" s="25">
        <f t="shared" si="2"/>
        <v>521000</v>
      </c>
      <c r="G39" s="57">
        <f t="shared" si="2"/>
        <v>0.05</v>
      </c>
      <c r="H39" s="25"/>
      <c r="I39" s="25">
        <f>K39+L39+M39+N39</f>
        <v>631555.63</v>
      </c>
      <c r="J39" s="15"/>
      <c r="K39" s="25">
        <f>SUM(K21:K38)</f>
        <v>72000</v>
      </c>
      <c r="L39" s="25">
        <f t="shared" ref="L39:N39" si="3">SUM(L21:L38)</f>
        <v>336292</v>
      </c>
      <c r="M39" s="100">
        <f t="shared" si="3"/>
        <v>53000</v>
      </c>
      <c r="N39" s="68">
        <f t="shared" si="3"/>
        <v>170263.63</v>
      </c>
    </row>
    <row r="40" spans="1:14" ht="51.75" customHeight="1" thickBot="1" x14ac:dyDescent="0.4">
      <c r="A40" s="18" t="s">
        <v>25</v>
      </c>
      <c r="B40" s="21"/>
      <c r="C40" s="39">
        <v>136000</v>
      </c>
      <c r="D40" s="39">
        <v>198688</v>
      </c>
      <c r="E40" s="39"/>
      <c r="F40" s="39">
        <v>154960</v>
      </c>
      <c r="G40" s="56"/>
      <c r="H40" s="39"/>
      <c r="I40" s="42">
        <f t="shared" ref="I40:I42" si="4">K40+L40+M40+N40</f>
        <v>314212.81</v>
      </c>
      <c r="K40" s="53">
        <v>117357</v>
      </c>
      <c r="L40" s="62">
        <v>71676</v>
      </c>
      <c r="M40" s="101"/>
      <c r="N40" s="67">
        <v>125179.81</v>
      </c>
    </row>
    <row r="41" spans="1:14" ht="50.25" customHeight="1" thickBot="1" x14ac:dyDescent="0.4">
      <c r="A41" s="18" t="s">
        <v>26</v>
      </c>
      <c r="B41" s="21"/>
      <c r="C41" s="40">
        <v>171581</v>
      </c>
      <c r="D41" s="39">
        <v>45075</v>
      </c>
      <c r="E41" s="39">
        <v>10000</v>
      </c>
      <c r="F41" s="40">
        <v>103091.6</v>
      </c>
      <c r="G41" s="56"/>
      <c r="H41" s="39"/>
      <c r="I41" s="42">
        <f t="shared" si="4"/>
        <v>240296.69</v>
      </c>
      <c r="J41" s="31"/>
      <c r="K41" s="53">
        <v>68566</v>
      </c>
      <c r="L41" s="66">
        <v>121148</v>
      </c>
      <c r="M41" s="101"/>
      <c r="N41" s="67">
        <v>50582.69</v>
      </c>
    </row>
    <row r="42" spans="1:14" ht="16" thickBot="1" x14ac:dyDescent="0.4">
      <c r="A42" s="22" t="s">
        <v>27</v>
      </c>
      <c r="B42" s="24"/>
      <c r="C42" s="42"/>
      <c r="D42" s="42"/>
      <c r="E42" s="39"/>
      <c r="F42" s="41">
        <v>117052.25</v>
      </c>
      <c r="G42" s="58"/>
      <c r="H42" s="42"/>
      <c r="I42" s="42">
        <f t="shared" si="4"/>
        <v>7480.53</v>
      </c>
      <c r="K42" s="42">
        <v>0</v>
      </c>
      <c r="L42" s="42">
        <v>0</v>
      </c>
      <c r="M42" s="102">
        <v>0</v>
      </c>
      <c r="N42" s="69">
        <v>7480.53</v>
      </c>
    </row>
    <row r="43" spans="1:14" ht="16.5" customHeight="1" thickBot="1" x14ac:dyDescent="0.4">
      <c r="A43" s="79" t="s">
        <v>5</v>
      </c>
      <c r="B43" s="80"/>
      <c r="C43" s="25">
        <f t="shared" ref="C43:G43" si="5">C19+C39+C40+C41+C42</f>
        <v>558581</v>
      </c>
      <c r="D43" s="25">
        <f t="shared" si="5"/>
        <v>636313</v>
      </c>
      <c r="E43" s="25">
        <f t="shared" si="5"/>
        <v>287960</v>
      </c>
      <c r="F43" s="25">
        <f t="shared" si="5"/>
        <v>896103.85</v>
      </c>
      <c r="G43" s="57">
        <f t="shared" si="5"/>
        <v>0.3</v>
      </c>
      <c r="H43" s="25"/>
      <c r="I43" s="25">
        <f>I19+I39+I40+I41+I42</f>
        <v>1193545.6599999999</v>
      </c>
      <c r="J43" s="8"/>
      <c r="K43" s="25">
        <f t="shared" ref="K43:N43" si="6">K19+K39+K40+K41+K42</f>
        <v>364970</v>
      </c>
      <c r="L43" s="25">
        <f t="shared" si="6"/>
        <v>529116</v>
      </c>
      <c r="M43" s="100">
        <f t="shared" ref="M43" si="7">M19+M39+M40+M41+M42</f>
        <v>187000</v>
      </c>
      <c r="N43" s="68">
        <f t="shared" si="6"/>
        <v>353506.66000000003</v>
      </c>
    </row>
    <row r="44" spans="1:14" s="63" customFormat="1" ht="16.5" customHeight="1" thickBot="1" x14ac:dyDescent="0.4">
      <c r="A44" s="81" t="s">
        <v>70</v>
      </c>
      <c r="B44" s="82"/>
      <c r="C44" s="64">
        <f t="shared" ref="C44:F44" si="8">C43*0.07</f>
        <v>39100.670000000006</v>
      </c>
      <c r="D44" s="64">
        <f t="shared" si="8"/>
        <v>44541.91</v>
      </c>
      <c r="E44" s="64">
        <f t="shared" si="8"/>
        <v>20157.2</v>
      </c>
      <c r="F44" s="64">
        <f t="shared" si="8"/>
        <v>62727.269500000002</v>
      </c>
      <c r="G44" s="64"/>
      <c r="H44" s="64"/>
      <c r="I44" s="64">
        <f>I43*0.07</f>
        <v>83548.196200000006</v>
      </c>
      <c r="J44" s="65"/>
      <c r="K44" s="64">
        <f t="shared" ref="K44:N44" si="9">K43*0.07</f>
        <v>25547.9</v>
      </c>
      <c r="L44" s="64">
        <f t="shared" si="9"/>
        <v>37038.120000000003</v>
      </c>
      <c r="M44" s="105">
        <f t="shared" ref="M44" si="10">M43*0.07</f>
        <v>13090.000000000002</v>
      </c>
      <c r="N44" s="70">
        <f t="shared" si="9"/>
        <v>24745.466200000006</v>
      </c>
    </row>
    <row r="45" spans="1:14" ht="16.5" customHeight="1" thickBot="1" x14ac:dyDescent="0.4">
      <c r="A45" s="79" t="s">
        <v>6</v>
      </c>
      <c r="B45" s="80"/>
      <c r="C45" s="52">
        <f t="shared" ref="C45:F45" si="11">SUM(C43,C44)</f>
        <v>597681.67000000004</v>
      </c>
      <c r="D45" s="52">
        <f t="shared" si="11"/>
        <v>680854.91</v>
      </c>
      <c r="E45" s="52">
        <f t="shared" si="11"/>
        <v>308117.2</v>
      </c>
      <c r="F45" s="52">
        <f t="shared" si="11"/>
        <v>958831.11950000003</v>
      </c>
      <c r="G45" s="59">
        <f t="shared" ref="G45" si="12">SUM(G43,H44)</f>
        <v>0.3</v>
      </c>
      <c r="H45" s="52"/>
      <c r="I45" s="52">
        <f>SUM(I43,I44)</f>
        <v>1277093.8561999998</v>
      </c>
      <c r="J45" s="16"/>
      <c r="K45" s="52">
        <f t="shared" ref="K45:N45" si="13">SUM(K43,K44)</f>
        <v>390517.9</v>
      </c>
      <c r="L45" s="52">
        <f t="shared" si="13"/>
        <v>566154.12</v>
      </c>
      <c r="M45" s="103">
        <f t="shared" ref="M45" si="14">SUM(M43,M44)</f>
        <v>200090</v>
      </c>
      <c r="N45" s="71">
        <f t="shared" si="13"/>
        <v>378252.12620000006</v>
      </c>
    </row>
    <row r="47" spans="1:14" ht="15.5" x14ac:dyDescent="0.35">
      <c r="B47" s="14"/>
      <c r="C47" s="13"/>
      <c r="D47" s="13"/>
      <c r="E47" s="13"/>
      <c r="F47" s="13"/>
      <c r="J47" s="8"/>
    </row>
    <row r="48" spans="1:14" ht="15.5" x14ac:dyDescent="0.35">
      <c r="B48" s="14"/>
      <c r="C48" s="13"/>
      <c r="D48" s="13"/>
      <c r="E48" s="13"/>
      <c r="F48" s="13"/>
    </row>
    <row r="49" spans="2:6" x14ac:dyDescent="0.35">
      <c r="B49" s="14"/>
      <c r="C49" s="8"/>
      <c r="D49" s="8"/>
      <c r="E49" s="8"/>
      <c r="F49" s="8"/>
    </row>
    <row r="50" spans="2:6" x14ac:dyDescent="0.35">
      <c r="D50" s="12"/>
      <c r="F50" s="8"/>
    </row>
    <row r="51" spans="2:6" ht="25.5" customHeight="1" x14ac:dyDescent="0.35">
      <c r="B51" s="14"/>
      <c r="C51" s="8"/>
      <c r="D51" s="8"/>
      <c r="E51" s="8"/>
      <c r="F51" s="8"/>
    </row>
    <row r="52" spans="2:6" x14ac:dyDescent="0.35">
      <c r="B52" s="14"/>
    </row>
  </sheetData>
  <mergeCells count="9">
    <mergeCell ref="K20:N20"/>
    <mergeCell ref="K8:N8"/>
    <mergeCell ref="A45:B45"/>
    <mergeCell ref="A44:B44"/>
    <mergeCell ref="A19:B19"/>
    <mergeCell ref="A39:B39"/>
    <mergeCell ref="A43:B43"/>
    <mergeCell ref="A8:I8"/>
    <mergeCell ref="A20:I20"/>
  </mergeCells>
  <pageMargins left="0.7" right="0.7" top="0.75" bottom="0.75" header="0.3" footer="0.3"/>
  <pageSetup scale="74" orientation="landscape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"/>
  <sheetViews>
    <sheetView tabSelected="1" zoomScale="60" zoomScaleNormal="60" zoomScalePageLayoutView="90" workbookViewId="0">
      <selection activeCell="K8" sqref="K8"/>
    </sheetView>
  </sheetViews>
  <sheetFormatPr defaultColWidth="8.7265625" defaultRowHeight="14.5" x14ac:dyDescent="0.35"/>
  <cols>
    <col min="1" max="1" width="15.453125" customWidth="1"/>
    <col min="2" max="3" width="14" customWidth="1"/>
    <col min="4" max="4" width="13.7265625" customWidth="1"/>
    <col min="5" max="5" width="14.1796875" customWidth="1"/>
    <col min="6" max="6" width="13.453125" customWidth="1"/>
    <col min="7" max="8" width="14" customWidth="1"/>
    <col min="9" max="9" width="13" customWidth="1"/>
    <col min="10" max="11" width="18.453125" customWidth="1"/>
    <col min="12" max="12" width="11.54296875" bestFit="1" customWidth="1"/>
    <col min="13" max="13" width="17.1796875" customWidth="1"/>
    <col min="14" max="15" width="13.7265625" customWidth="1"/>
    <col min="16" max="16" width="17.453125" customWidth="1"/>
    <col min="17" max="17" width="11.26953125" bestFit="1" customWidth="1"/>
    <col min="21" max="22" width="11.453125" bestFit="1" customWidth="1"/>
  </cols>
  <sheetData>
    <row r="1" spans="1:22" ht="15.5" x14ac:dyDescent="0.35">
      <c r="A1" s="1" t="s">
        <v>28</v>
      </c>
      <c r="B1" s="1"/>
      <c r="C1" s="1"/>
      <c r="D1" s="1"/>
      <c r="E1" s="1"/>
      <c r="F1" s="1"/>
    </row>
    <row r="2" spans="1:22" x14ac:dyDescent="0.35">
      <c r="A2" s="5"/>
      <c r="B2" s="5"/>
      <c r="C2" s="5"/>
      <c r="D2" s="5"/>
      <c r="E2" s="5"/>
      <c r="F2" s="5"/>
    </row>
    <row r="3" spans="1:22" x14ac:dyDescent="0.35">
      <c r="A3" s="5" t="s">
        <v>24</v>
      </c>
      <c r="B3" s="5"/>
      <c r="C3" s="5"/>
      <c r="D3" s="5"/>
      <c r="E3" s="5"/>
      <c r="F3" s="5"/>
      <c r="U3" s="15"/>
      <c r="V3" s="15"/>
    </row>
    <row r="4" spans="1:22" ht="15" thickBot="1" x14ac:dyDescent="0.4">
      <c r="U4" s="15"/>
      <c r="V4" s="15"/>
    </row>
    <row r="5" spans="1:22" ht="15" customHeight="1" thickBot="1" x14ac:dyDescent="0.4">
      <c r="A5" s="95" t="s">
        <v>9</v>
      </c>
      <c r="B5" s="97" t="s">
        <v>63</v>
      </c>
      <c r="C5" s="98"/>
      <c r="D5" s="99"/>
      <c r="E5" s="97" t="s">
        <v>60</v>
      </c>
      <c r="F5" s="98"/>
      <c r="G5" s="99"/>
      <c r="H5" s="97" t="s">
        <v>64</v>
      </c>
      <c r="I5" s="98"/>
      <c r="J5" s="99"/>
      <c r="K5" s="97" t="s">
        <v>68</v>
      </c>
      <c r="L5" s="98"/>
      <c r="M5" s="99"/>
      <c r="N5" s="95" t="s">
        <v>22</v>
      </c>
      <c r="O5" s="95" t="s">
        <v>74</v>
      </c>
      <c r="P5" s="95" t="s">
        <v>23</v>
      </c>
      <c r="Q5" s="95" t="s">
        <v>69</v>
      </c>
    </row>
    <row r="6" spans="1:22" ht="15" thickBot="1" x14ac:dyDescent="0.4">
      <c r="A6" s="96"/>
      <c r="B6" s="2" t="s">
        <v>11</v>
      </c>
      <c r="C6" s="2" t="s">
        <v>73</v>
      </c>
      <c r="D6" s="2" t="s">
        <v>12</v>
      </c>
      <c r="E6" s="2" t="s">
        <v>11</v>
      </c>
      <c r="F6" s="2" t="s">
        <v>73</v>
      </c>
      <c r="G6" s="2" t="s">
        <v>12</v>
      </c>
      <c r="H6" s="2" t="s">
        <v>11</v>
      </c>
      <c r="I6" s="2" t="s">
        <v>73</v>
      </c>
      <c r="J6" s="2" t="s">
        <v>12</v>
      </c>
      <c r="K6" s="2" t="s">
        <v>11</v>
      </c>
      <c r="L6" s="2" t="s">
        <v>73</v>
      </c>
      <c r="M6" s="2" t="s">
        <v>12</v>
      </c>
      <c r="N6" s="96"/>
      <c r="O6" s="96"/>
      <c r="P6" s="96"/>
      <c r="Q6" s="96"/>
      <c r="U6" s="8"/>
      <c r="V6" s="8"/>
    </row>
    <row r="7" spans="1:22" ht="26.5" thickBot="1" x14ac:dyDescent="0.4">
      <c r="A7" s="3" t="s">
        <v>13</v>
      </c>
      <c r="B7" s="34">
        <f>198688*70%</f>
        <v>139081.59999999998</v>
      </c>
      <c r="C7" s="35">
        <v>71676</v>
      </c>
      <c r="D7" s="34">
        <f>198688*30%</f>
        <v>59606.399999999994</v>
      </c>
      <c r="E7" s="26">
        <v>108472</v>
      </c>
      <c r="F7" s="26">
        <v>157155</v>
      </c>
      <c r="G7" s="26">
        <v>46488</v>
      </c>
      <c r="H7" s="34">
        <v>95200</v>
      </c>
      <c r="I7" s="34">
        <v>117356.53</v>
      </c>
      <c r="J7" s="34">
        <v>40800</v>
      </c>
      <c r="K7" s="9">
        <v>114072</v>
      </c>
      <c r="L7" s="26">
        <v>72000</v>
      </c>
      <c r="M7" s="9">
        <v>48888</v>
      </c>
      <c r="N7" s="17">
        <f t="shared" ref="N7:N16" si="0">SUM(B7,E7,H7,K7)</f>
        <v>456825.59999999998</v>
      </c>
      <c r="O7" s="17">
        <f t="shared" ref="O7:O16" si="1">SUM(C7,F7,I7,L7)</f>
        <v>418187.53</v>
      </c>
      <c r="P7" s="17">
        <f t="shared" ref="P7:P16" si="2">SUM(D7,G7,J7,M7)</f>
        <v>195782.39999999999</v>
      </c>
      <c r="Q7" s="10">
        <f t="shared" ref="Q7:Q13" si="3">SUM(N7+P7)</f>
        <v>652608</v>
      </c>
    </row>
    <row r="8" spans="1:22" ht="39.5" thickBot="1" x14ac:dyDescent="0.4">
      <c r="A8" s="3" t="s">
        <v>14</v>
      </c>
      <c r="B8" s="34">
        <f>18000*70%</f>
        <v>12600</v>
      </c>
      <c r="C8" s="35"/>
      <c r="D8" s="34">
        <v>5400</v>
      </c>
      <c r="E8" s="27">
        <v>24998.400000000001</v>
      </c>
      <c r="F8" s="27">
        <v>0</v>
      </c>
      <c r="G8" s="26">
        <v>10713.6</v>
      </c>
      <c r="H8" s="34">
        <v>3500</v>
      </c>
      <c r="I8" s="34">
        <v>29040</v>
      </c>
      <c r="J8" s="34">
        <v>1500</v>
      </c>
      <c r="K8" s="9">
        <v>0</v>
      </c>
      <c r="L8" s="26">
        <v>0</v>
      </c>
      <c r="M8" s="9">
        <v>0</v>
      </c>
      <c r="N8" s="17">
        <f t="shared" si="0"/>
        <v>41098.400000000001</v>
      </c>
      <c r="O8" s="17">
        <f t="shared" si="1"/>
        <v>29040</v>
      </c>
      <c r="P8" s="17">
        <f t="shared" si="2"/>
        <v>17613.599999999999</v>
      </c>
      <c r="Q8" s="10">
        <f t="shared" si="3"/>
        <v>58712</v>
      </c>
    </row>
    <row r="9" spans="1:22" ht="65.5" thickBot="1" x14ac:dyDescent="0.4">
      <c r="A9" s="3" t="s">
        <v>15</v>
      </c>
      <c r="B9" s="34">
        <v>0</v>
      </c>
      <c r="C9" s="35">
        <v>0</v>
      </c>
      <c r="D9" s="34">
        <v>0</v>
      </c>
      <c r="E9" s="26">
        <v>0</v>
      </c>
      <c r="F9" s="26">
        <v>0</v>
      </c>
      <c r="G9" s="26">
        <v>0</v>
      </c>
      <c r="H9" s="34">
        <v>2100</v>
      </c>
      <c r="I9" s="34">
        <v>0</v>
      </c>
      <c r="J9" s="34">
        <v>900</v>
      </c>
      <c r="K9" s="9">
        <v>0</v>
      </c>
      <c r="L9" s="33">
        <v>0</v>
      </c>
      <c r="M9" s="9">
        <v>0</v>
      </c>
      <c r="N9" s="17">
        <f t="shared" si="0"/>
        <v>2100</v>
      </c>
      <c r="O9" s="17">
        <f t="shared" si="1"/>
        <v>0</v>
      </c>
      <c r="P9" s="17">
        <f t="shared" si="2"/>
        <v>900</v>
      </c>
      <c r="Q9" s="10">
        <f t="shared" si="3"/>
        <v>3000</v>
      </c>
    </row>
    <row r="10" spans="1:22" ht="26.5" thickBot="1" x14ac:dyDescent="0.4">
      <c r="A10" s="3" t="s">
        <v>16</v>
      </c>
      <c r="B10" s="34">
        <f>319200*70%</f>
        <v>223440</v>
      </c>
      <c r="C10" s="35">
        <v>326602</v>
      </c>
      <c r="D10" s="34">
        <f>319200*30%</f>
        <v>95760</v>
      </c>
      <c r="E10" s="26">
        <v>0</v>
      </c>
      <c r="F10" s="26">
        <v>19349</v>
      </c>
      <c r="G10" s="26">
        <v>0</v>
      </c>
      <c r="H10" s="34">
        <v>215740</v>
      </c>
      <c r="I10" s="34">
        <v>179047.38</v>
      </c>
      <c r="J10" s="34">
        <v>92460</v>
      </c>
      <c r="K10" s="32">
        <v>0</v>
      </c>
      <c r="L10" s="38">
        <v>0</v>
      </c>
      <c r="M10" s="9">
        <v>0</v>
      </c>
      <c r="N10" s="17">
        <f t="shared" si="0"/>
        <v>439180</v>
      </c>
      <c r="O10" s="17">
        <f t="shared" si="1"/>
        <v>524998.38</v>
      </c>
      <c r="P10" s="17">
        <f t="shared" si="2"/>
        <v>188220</v>
      </c>
      <c r="Q10" s="10">
        <f t="shared" si="3"/>
        <v>627400</v>
      </c>
    </row>
    <row r="11" spans="1:22" ht="15" thickBot="1" x14ac:dyDescent="0.4">
      <c r="A11" s="3" t="s">
        <v>17</v>
      </c>
      <c r="B11" s="34">
        <f>6600*70%</f>
        <v>4620</v>
      </c>
      <c r="C11" s="35">
        <v>21614</v>
      </c>
      <c r="D11" s="34">
        <f>6600*30%</f>
        <v>1980</v>
      </c>
      <c r="E11" s="26">
        <v>58329.599999999999</v>
      </c>
      <c r="F11" s="26">
        <v>29332.29</v>
      </c>
      <c r="G11" s="26">
        <v>24998.400000000001</v>
      </c>
      <c r="H11" s="34">
        <v>11991</v>
      </c>
      <c r="I11" s="34">
        <v>6392.03</v>
      </c>
      <c r="J11" s="34">
        <v>5139</v>
      </c>
      <c r="K11" s="9">
        <v>0</v>
      </c>
      <c r="L11" s="33">
        <v>0</v>
      </c>
      <c r="M11" s="9">
        <v>0</v>
      </c>
      <c r="N11" s="17">
        <f t="shared" si="0"/>
        <v>74940.600000000006</v>
      </c>
      <c r="O11" s="17">
        <f t="shared" si="1"/>
        <v>57338.32</v>
      </c>
      <c r="P11" s="17">
        <f t="shared" si="2"/>
        <v>32117.4</v>
      </c>
      <c r="Q11" s="10">
        <f t="shared" si="3"/>
        <v>107058</v>
      </c>
    </row>
    <row r="12" spans="1:22" ht="39.5" thickBot="1" x14ac:dyDescent="0.4">
      <c r="A12" s="3" t="s">
        <v>18</v>
      </c>
      <c r="B12" s="34">
        <f>48750*70%</f>
        <v>34125</v>
      </c>
      <c r="C12" s="35">
        <v>26612</v>
      </c>
      <c r="D12" s="34">
        <f>48750*30%</f>
        <v>14625</v>
      </c>
      <c r="E12" s="26">
        <v>364053.75</v>
      </c>
      <c r="F12" s="26">
        <v>263662.71999999997</v>
      </c>
      <c r="G12" s="26">
        <v>154958.5</v>
      </c>
      <c r="H12" s="34">
        <v>0</v>
      </c>
      <c r="I12" s="34">
        <v>0</v>
      </c>
      <c r="J12" s="34">
        <v>0</v>
      </c>
      <c r="K12" s="32">
        <v>87500</v>
      </c>
      <c r="L12" s="38">
        <v>140484</v>
      </c>
      <c r="M12" s="9">
        <v>37500</v>
      </c>
      <c r="N12" s="17">
        <f t="shared" si="0"/>
        <v>485678.75</v>
      </c>
      <c r="O12" s="17">
        <f t="shared" si="1"/>
        <v>430758.72</v>
      </c>
      <c r="P12" s="17">
        <f t="shared" si="2"/>
        <v>207083.5</v>
      </c>
      <c r="Q12" s="10">
        <f t="shared" si="3"/>
        <v>692762.25</v>
      </c>
    </row>
    <row r="13" spans="1:22" ht="39.5" thickBot="1" x14ac:dyDescent="0.4">
      <c r="A13" s="3" t="s">
        <v>19</v>
      </c>
      <c r="B13" s="34">
        <f>70875*70%</f>
        <v>49612.5</v>
      </c>
      <c r="C13" s="35">
        <v>82612</v>
      </c>
      <c r="D13" s="34">
        <f>70875*30%</f>
        <v>21262.5</v>
      </c>
      <c r="E13" s="28">
        <v>72261</v>
      </c>
      <c r="F13" s="28">
        <v>103268.99</v>
      </c>
      <c r="G13" s="28">
        <v>30830.6</v>
      </c>
      <c r="H13" s="34">
        <f>62475.7-0.44</f>
        <v>62475.259999999995</v>
      </c>
      <c r="I13" s="34">
        <v>33134.19</v>
      </c>
      <c r="J13" s="34">
        <f>26775.3-0.19</f>
        <v>26775.11</v>
      </c>
      <c r="K13" s="9">
        <v>0</v>
      </c>
      <c r="L13" s="33">
        <v>0</v>
      </c>
      <c r="M13" s="9">
        <v>0</v>
      </c>
      <c r="N13" s="17">
        <f t="shared" si="0"/>
        <v>184348.76</v>
      </c>
      <c r="O13" s="17">
        <f t="shared" si="1"/>
        <v>219015.18</v>
      </c>
      <c r="P13" s="17">
        <f t="shared" si="2"/>
        <v>78868.209999999992</v>
      </c>
      <c r="Q13" s="10">
        <f t="shared" si="3"/>
        <v>263216.96999999997</v>
      </c>
    </row>
    <row r="14" spans="1:22" ht="26.5" thickBot="1" x14ac:dyDescent="0.4">
      <c r="A14" s="4" t="s">
        <v>20</v>
      </c>
      <c r="B14" s="29">
        <f>SUM(B7:B13)</f>
        <v>463479.1</v>
      </c>
      <c r="C14" s="29">
        <f>SUM(C7:C13)</f>
        <v>529116</v>
      </c>
      <c r="D14" s="29">
        <f t="shared" ref="D14" si="4">SUM(D7:D13)</f>
        <v>198633.9</v>
      </c>
      <c r="E14" s="29">
        <f>SUM(E7:E13)</f>
        <v>628114.75</v>
      </c>
      <c r="F14" s="29">
        <f>SUM(F7:F13)</f>
        <v>572768</v>
      </c>
      <c r="G14" s="29">
        <f t="shared" ref="G14" si="5">SUM(G7:G13)</f>
        <v>267989.09999999998</v>
      </c>
      <c r="H14" s="29">
        <f>SUM(H7:H13)</f>
        <v>391006.26</v>
      </c>
      <c r="I14" s="29">
        <f>SUM(I7:I13)</f>
        <v>364970.13000000006</v>
      </c>
      <c r="J14" s="29">
        <f t="shared" ref="J14" si="6">SUM(J7:J13)</f>
        <v>167574.10999999999</v>
      </c>
      <c r="K14" s="36">
        <f>SUM(K7:K13)</f>
        <v>201572</v>
      </c>
      <c r="L14" s="37">
        <f>SUM(L7:L13)</f>
        <v>212484</v>
      </c>
      <c r="M14" s="29">
        <f t="shared" ref="M14" si="7">SUM(M7:M13)</f>
        <v>86388</v>
      </c>
      <c r="N14" s="11">
        <f t="shared" si="0"/>
        <v>1684172.11</v>
      </c>
      <c r="O14" s="11">
        <f t="shared" si="1"/>
        <v>1679338.1300000001</v>
      </c>
      <c r="P14" s="11">
        <f t="shared" si="2"/>
        <v>720585.11</v>
      </c>
      <c r="Q14" s="10">
        <f>SUM(N14+P14)</f>
        <v>2404757.2200000002</v>
      </c>
    </row>
    <row r="15" spans="1:22" ht="26.5" thickBot="1" x14ac:dyDescent="0.4">
      <c r="A15" s="3" t="s">
        <v>21</v>
      </c>
      <c r="B15" s="34">
        <f t="shared" ref="B15:M15" si="8">7%*(SUM(B7:B13))</f>
        <v>32443.537</v>
      </c>
      <c r="C15" s="34">
        <f t="shared" si="8"/>
        <v>37038.120000000003</v>
      </c>
      <c r="D15" s="34">
        <f t="shared" si="8"/>
        <v>13904.373000000001</v>
      </c>
      <c r="E15" s="26">
        <f t="shared" si="8"/>
        <v>43968.032500000001</v>
      </c>
      <c r="F15" s="26">
        <f t="shared" si="8"/>
        <v>40093.760000000002</v>
      </c>
      <c r="G15" s="26">
        <f t="shared" si="8"/>
        <v>18759.237000000001</v>
      </c>
      <c r="H15" s="34">
        <f t="shared" si="8"/>
        <v>27370.438200000004</v>
      </c>
      <c r="I15" s="34">
        <f t="shared" si="8"/>
        <v>25547.909100000008</v>
      </c>
      <c r="J15" s="34">
        <f t="shared" si="8"/>
        <v>11730.1877</v>
      </c>
      <c r="K15" s="26">
        <f t="shared" si="8"/>
        <v>14110.04</v>
      </c>
      <c r="L15" s="26">
        <f t="shared" si="8"/>
        <v>14873.880000000001</v>
      </c>
      <c r="M15" s="26">
        <f t="shared" si="8"/>
        <v>6047.1600000000008</v>
      </c>
      <c r="N15" s="17">
        <f t="shared" si="0"/>
        <v>117892.0477</v>
      </c>
      <c r="O15" s="17">
        <f t="shared" si="1"/>
        <v>117553.66910000001</v>
      </c>
      <c r="P15" s="17">
        <f t="shared" si="2"/>
        <v>50440.957700000006</v>
      </c>
      <c r="Q15" s="10">
        <f>SUM(N15+P15)</f>
        <v>168333.00539999999</v>
      </c>
    </row>
    <row r="16" spans="1:22" ht="15" thickBot="1" x14ac:dyDescent="0.4">
      <c r="A16" s="4" t="s">
        <v>10</v>
      </c>
      <c r="B16" s="10">
        <f t="shared" ref="B16:M16" si="9">B14+B15</f>
        <v>495922.63699999999</v>
      </c>
      <c r="C16" s="10">
        <f t="shared" si="9"/>
        <v>566154.12</v>
      </c>
      <c r="D16" s="10">
        <f t="shared" si="9"/>
        <v>212538.27299999999</v>
      </c>
      <c r="E16" s="10">
        <f t="shared" si="9"/>
        <v>672082.78249999997</v>
      </c>
      <c r="F16" s="10">
        <f t="shared" si="9"/>
        <v>612861.76</v>
      </c>
      <c r="G16" s="10">
        <f t="shared" si="9"/>
        <v>286748.337</v>
      </c>
      <c r="H16" s="10">
        <f t="shared" si="9"/>
        <v>418376.69819999998</v>
      </c>
      <c r="I16" s="10">
        <f t="shared" si="9"/>
        <v>390518.03910000005</v>
      </c>
      <c r="J16" s="10">
        <f t="shared" si="9"/>
        <v>179304.2977</v>
      </c>
      <c r="K16" s="10">
        <f t="shared" si="9"/>
        <v>215682.04</v>
      </c>
      <c r="L16" s="10">
        <f t="shared" si="9"/>
        <v>227357.88</v>
      </c>
      <c r="M16" s="10">
        <f t="shared" si="9"/>
        <v>92435.16</v>
      </c>
      <c r="N16" s="10">
        <f t="shared" si="0"/>
        <v>1802064.1576999999</v>
      </c>
      <c r="O16" s="10">
        <f t="shared" si="1"/>
        <v>1796891.7990999999</v>
      </c>
      <c r="P16" s="10">
        <f t="shared" si="2"/>
        <v>771026.06770000001</v>
      </c>
      <c r="Q16" s="10">
        <f>SUM(N16+P16)</f>
        <v>2573090.2253999999</v>
      </c>
    </row>
    <row r="17" spans="1:17" ht="15" thickBot="1" x14ac:dyDescent="0.4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P17" s="15"/>
    </row>
    <row r="18" spans="1:17" ht="15" thickBot="1" x14ac:dyDescent="0.4">
      <c r="A18" s="89" t="s">
        <v>75</v>
      </c>
      <c r="B18" s="92" t="s">
        <v>78</v>
      </c>
      <c r="C18" s="93"/>
      <c r="D18" s="94"/>
      <c r="E18" s="92" t="s">
        <v>79</v>
      </c>
      <c r="F18" s="93"/>
      <c r="G18" s="94"/>
      <c r="H18" s="92" t="s">
        <v>80</v>
      </c>
      <c r="I18" s="93"/>
      <c r="J18" s="94"/>
      <c r="K18" s="92" t="s">
        <v>81</v>
      </c>
      <c r="L18" s="93"/>
      <c r="M18" s="94"/>
      <c r="N18" s="92" t="s">
        <v>69</v>
      </c>
      <c r="O18" s="93"/>
      <c r="P18" s="93"/>
      <c r="Q18" s="94"/>
    </row>
    <row r="19" spans="1:17" x14ac:dyDescent="0.35">
      <c r="A19" s="90"/>
      <c r="B19" s="48"/>
      <c r="C19" s="49" t="s">
        <v>76</v>
      </c>
      <c r="D19" s="50" t="s">
        <v>77</v>
      </c>
      <c r="E19" s="49"/>
      <c r="F19" s="49" t="s">
        <v>76</v>
      </c>
      <c r="G19" s="50" t="s">
        <v>77</v>
      </c>
      <c r="H19" s="49"/>
      <c r="I19" s="49" t="s">
        <v>76</v>
      </c>
      <c r="J19" s="50" t="s">
        <v>77</v>
      </c>
      <c r="K19" s="49"/>
      <c r="L19" s="49" t="s">
        <v>76</v>
      </c>
      <c r="M19" s="50" t="s">
        <v>77</v>
      </c>
      <c r="N19" s="49"/>
      <c r="O19" s="49" t="s">
        <v>76</v>
      </c>
      <c r="P19" s="49"/>
      <c r="Q19" s="51" t="s">
        <v>77</v>
      </c>
    </row>
    <row r="20" spans="1:17" ht="15" thickBot="1" x14ac:dyDescent="0.4">
      <c r="A20" s="91"/>
      <c r="B20" s="47"/>
      <c r="C20" s="44">
        <f>C16/B16</f>
        <v>1.1416178205230829</v>
      </c>
      <c r="D20" s="45">
        <f>C16/(B16+D16)</f>
        <v>0.79913247436615809</v>
      </c>
      <c r="E20" s="43"/>
      <c r="F20" s="44">
        <f>F16/E16</f>
        <v>0.91188433323688078</v>
      </c>
      <c r="G20" s="45">
        <f>F16/(E16+G16)</f>
        <v>0.63917591694310871</v>
      </c>
      <c r="H20" s="43"/>
      <c r="I20" s="44">
        <f>I16/H16</f>
        <v>0.93341249830629325</v>
      </c>
      <c r="J20" s="45">
        <f>I16/(H16+J16)</f>
        <v>0.65338875048544953</v>
      </c>
      <c r="K20" s="43"/>
      <c r="L20" s="44">
        <f>L16/K16</f>
        <v>1.0541345028079296</v>
      </c>
      <c r="M20" s="45">
        <f>L16/(K16+M16)</f>
        <v>0.73789415196555075</v>
      </c>
      <c r="N20" s="43"/>
      <c r="O20" s="44">
        <f>O16/N16</f>
        <v>0.99712975890569766</v>
      </c>
      <c r="P20" s="44"/>
      <c r="Q20" s="46">
        <f>O16/Q16</f>
        <v>0.69833998876610093</v>
      </c>
    </row>
    <row r="21" spans="1:17" x14ac:dyDescent="0.35">
      <c r="E21" s="8"/>
      <c r="F21" s="8"/>
    </row>
  </sheetData>
  <mergeCells count="15">
    <mergeCell ref="N5:N6"/>
    <mergeCell ref="P5:P6"/>
    <mergeCell ref="Q5:Q6"/>
    <mergeCell ref="A5:A6"/>
    <mergeCell ref="B5:D5"/>
    <mergeCell ref="E5:G5"/>
    <mergeCell ref="H5:J5"/>
    <mergeCell ref="K5:M5"/>
    <mergeCell ref="O5:O6"/>
    <mergeCell ref="A18:A20"/>
    <mergeCell ref="N18:Q18"/>
    <mergeCell ref="K18:M18"/>
    <mergeCell ref="H18:J18"/>
    <mergeCell ref="E18:G18"/>
    <mergeCell ref="B18:D18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51F5BDF81494D93B86D755849E120" ma:contentTypeVersion="13" ma:contentTypeDescription="Create a new document." ma:contentTypeScope="" ma:versionID="4f3e868caf3b5437ddcf9fea92157f75">
  <xsd:schema xmlns:xsd="http://www.w3.org/2001/XMLSchema" xmlns:xs="http://www.w3.org/2001/XMLSchema" xmlns:p="http://schemas.microsoft.com/office/2006/metadata/properties" xmlns:ns3="40d5d30c-7f01-48a2-9a20-a1340c159d1b" xmlns:ns4="c46f3a78-a028-490c-9626-f3aeb2da18b9" targetNamespace="http://schemas.microsoft.com/office/2006/metadata/properties" ma:root="true" ma:fieldsID="21297db78b8302df64820a714f44dd69" ns3:_="" ns4:_="">
    <xsd:import namespace="40d5d30c-7f01-48a2-9a20-a1340c159d1b"/>
    <xsd:import namespace="c46f3a78-a028-490c-9626-f3aeb2da18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5d30c-7f01-48a2-9a20-a1340c159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f3a78-a028-490c-9626-f3aeb2da1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92B45-0465-4CEE-A398-5EE8B6D8422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6f3a78-a028-490c-9626-f3aeb2da18b9"/>
    <ds:schemaRef ds:uri="http://purl.org/dc/elements/1.1/"/>
    <ds:schemaRef ds:uri="http://schemas.microsoft.com/office/2006/metadata/properties"/>
    <ds:schemaRef ds:uri="40d5d30c-7f01-48a2-9a20-a1340c159d1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44B638-3D0B-40B7-BAEE-8067C3C9A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F1B73-DC5E-44EC-B15A-4FB03FA28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5d30c-7f01-48a2-9a20-a1340c159d1b"/>
    <ds:schemaRef ds:uri="c46f3a78-a028-490c-9626-f3aeb2da18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budget</vt:lpstr>
      <vt:lpstr> Bud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Matthew Flynn</cp:lastModifiedBy>
  <cp:lastPrinted>2017-12-11T22:51:21Z</cp:lastPrinted>
  <dcterms:created xsi:type="dcterms:W3CDTF">2017-11-15T21:17:43Z</dcterms:created>
  <dcterms:modified xsi:type="dcterms:W3CDTF">2020-11-27T14:11:56Z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0x0101000C151F5BDF81494D93B86D755849E120</vt:lpwstr>
  </property>
</Properties>
</file>