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2020 PBF Reporting\Annual reports\Advancing reconciliation\Final\"/>
    </mc:Choice>
  </mc:AlternateContent>
  <xr:revisionPtr revIDLastSave="0" documentId="8_{5123A6B1-AA15-4E51-87C3-579238756296}" xr6:coauthVersionLast="45" xr6:coauthVersionMax="45" xr10:uidLastSave="{00000000-0000-0000-0000-000000000000}"/>
  <bookViews>
    <workbookView xWindow="-108" yWindow="-108" windowWidth="23256" windowHeight="12576" activeTab="1" xr2:uid="{00000000-000D-0000-FFFF-FFFF00000000}"/>
  </bookViews>
  <sheets>
    <sheet name="Activity" sheetId="6" r:id="rId1"/>
    <sheet name="Category" sheetId="5"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Q9" i="5" l="1"/>
  <c r="AP9" i="5"/>
  <c r="AQ7" i="5"/>
  <c r="AR8" i="5" l="1"/>
  <c r="AR9" i="5"/>
  <c r="AR10" i="5"/>
  <c r="AR12" i="5"/>
  <c r="AR7" i="5"/>
  <c r="AL10" i="5"/>
  <c r="AL11" i="5"/>
  <c r="AL12" i="5"/>
  <c r="AL9" i="5"/>
  <c r="C87" i="6"/>
  <c r="M77" i="6"/>
  <c r="E77" i="6"/>
  <c r="G77" i="6" s="1"/>
  <c r="M76" i="6"/>
  <c r="L75" i="6"/>
  <c r="K75" i="6"/>
  <c r="I75" i="6"/>
  <c r="H75" i="6"/>
  <c r="F75" i="6"/>
  <c r="G74" i="6"/>
  <c r="E73" i="6"/>
  <c r="G73" i="6" s="1"/>
  <c r="H72" i="6"/>
  <c r="H70" i="6" s="1"/>
  <c r="G72" i="6"/>
  <c r="K71" i="6"/>
  <c r="K70" i="6" s="1"/>
  <c r="P70" i="6"/>
  <c r="L70" i="6"/>
  <c r="I70" i="6"/>
  <c r="F70" i="6"/>
  <c r="E70" i="6"/>
  <c r="J69" i="6"/>
  <c r="J68" i="6"/>
  <c r="J67" i="6"/>
  <c r="J66" i="6"/>
  <c r="H65" i="6"/>
  <c r="J65" i="6" s="1"/>
  <c r="H64" i="6"/>
  <c r="J64" i="6" s="1"/>
  <c r="H63" i="6"/>
  <c r="J63" i="6" s="1"/>
  <c r="J62" i="6"/>
  <c r="H61" i="6"/>
  <c r="J61" i="6" s="1"/>
  <c r="J60" i="6"/>
  <c r="J59" i="6"/>
  <c r="J58" i="6"/>
  <c r="J57" i="6"/>
  <c r="K56" i="6"/>
  <c r="I56" i="6"/>
  <c r="E56" i="6"/>
  <c r="K55" i="6"/>
  <c r="M55" i="6" s="1"/>
  <c r="M54" i="6"/>
  <c r="G53" i="6"/>
  <c r="G52" i="6"/>
  <c r="E51" i="6"/>
  <c r="E42" i="6" s="1"/>
  <c r="E41" i="6" s="1"/>
  <c r="G50" i="6"/>
  <c r="G49" i="6"/>
  <c r="G48" i="6"/>
  <c r="G47" i="6"/>
  <c r="G46" i="6"/>
  <c r="G45" i="6"/>
  <c r="G44" i="6"/>
  <c r="G43" i="6"/>
  <c r="L42" i="6"/>
  <c r="I42" i="6"/>
  <c r="H42" i="6"/>
  <c r="F42" i="6"/>
  <c r="F41" i="6" s="1"/>
  <c r="M40" i="6"/>
  <c r="M39" i="6"/>
  <c r="K39" i="6"/>
  <c r="K38" i="6"/>
  <c r="M38" i="6" s="1"/>
  <c r="M37" i="6"/>
  <c r="M36" i="6"/>
  <c r="K35" i="6"/>
  <c r="M35" i="6" s="1"/>
  <c r="K34" i="6"/>
  <c r="M34" i="6" s="1"/>
  <c r="K33" i="6"/>
  <c r="M33" i="6" s="1"/>
  <c r="K32" i="6"/>
  <c r="M32" i="6" s="1"/>
  <c r="L31" i="6"/>
  <c r="K31" i="6"/>
  <c r="H31" i="6"/>
  <c r="E31" i="6"/>
  <c r="G30" i="6"/>
  <c r="G29" i="6"/>
  <c r="G28" i="6"/>
  <c r="G27" i="6"/>
  <c r="G26" i="6"/>
  <c r="G25" i="6"/>
  <c r="K24" i="6"/>
  <c r="K7" i="6" s="1"/>
  <c r="M23" i="6"/>
  <c r="G22" i="6"/>
  <c r="G21" i="6"/>
  <c r="G20" i="6"/>
  <c r="G19" i="6"/>
  <c r="E18" i="6"/>
  <c r="G18" i="6" s="1"/>
  <c r="G17" i="6"/>
  <c r="G16" i="6"/>
  <c r="G15" i="6"/>
  <c r="G14" i="6"/>
  <c r="G13" i="6"/>
  <c r="J12" i="6"/>
  <c r="J11" i="6"/>
  <c r="H10" i="6"/>
  <c r="J10" i="6" s="1"/>
  <c r="H9" i="6"/>
  <c r="J9" i="6" s="1"/>
  <c r="H8" i="6"/>
  <c r="L7" i="6"/>
  <c r="I7" i="6"/>
  <c r="I6" i="6" s="1"/>
  <c r="F7" i="6"/>
  <c r="F6" i="6" s="1"/>
  <c r="G51" i="6" l="1"/>
  <c r="K42" i="6"/>
  <c r="J72" i="6"/>
  <c r="G75" i="6"/>
  <c r="E75" i="6"/>
  <c r="E7" i="6"/>
  <c r="E6" i="6" s="1"/>
  <c r="K6" i="6"/>
  <c r="M42" i="6"/>
  <c r="G70" i="6"/>
  <c r="L41" i="6"/>
  <c r="M31" i="6"/>
  <c r="K41" i="6"/>
  <c r="K78" i="6" s="1"/>
  <c r="K79" i="6" s="1"/>
  <c r="H7" i="6"/>
  <c r="H6" i="6" s="1"/>
  <c r="I41" i="6"/>
  <c r="J70" i="6"/>
  <c r="L6" i="6"/>
  <c r="L78" i="6" s="1"/>
  <c r="I78" i="6"/>
  <c r="G42" i="6"/>
  <c r="G41" i="6"/>
  <c r="F78" i="6"/>
  <c r="J6" i="6"/>
  <c r="E78" i="6"/>
  <c r="E79" i="6" s="1"/>
  <c r="E80" i="6" s="1"/>
  <c r="G6" i="6"/>
  <c r="M70" i="6"/>
  <c r="J7" i="6"/>
  <c r="J8" i="6"/>
  <c r="M24" i="6"/>
  <c r="H56" i="6"/>
  <c r="J56" i="6" s="1"/>
  <c r="M71" i="6"/>
  <c r="G7" i="6"/>
  <c r="M41" i="6" l="1"/>
  <c r="M6" i="6"/>
  <c r="K80" i="6"/>
  <c r="M78" i="6"/>
  <c r="G78" i="6"/>
  <c r="H41" i="6"/>
  <c r="H78" i="6" l="1"/>
  <c r="J41" i="6"/>
  <c r="H79" i="6" l="1"/>
  <c r="H80" i="6" s="1"/>
  <c r="J78" i="6"/>
  <c r="AC12" i="5" l="1"/>
  <c r="AC10" i="5"/>
  <c r="AC9" i="5"/>
  <c r="AC6" i="5"/>
  <c r="T14" i="5" l="1"/>
  <c r="L14" i="5"/>
  <c r="D14" i="5"/>
  <c r="AQ13" i="5"/>
  <c r="AP13" i="5"/>
  <c r="AO13" i="5"/>
  <c r="AO14" i="5" s="1"/>
  <c r="AK13" i="5"/>
  <c r="AJ13" i="5"/>
  <c r="AJ14" i="5" s="1"/>
  <c r="AG13" i="5"/>
  <c r="AG14" i="5" s="1"/>
  <c r="AF13" i="5"/>
  <c r="AF14" i="5" s="1"/>
  <c r="AB13" i="5"/>
  <c r="AA13" i="5"/>
  <c r="P13" i="5"/>
  <c r="P14" i="5" s="1"/>
  <c r="H13" i="5"/>
  <c r="AW12" i="5"/>
  <c r="AV12" i="5"/>
  <c r="AN12" i="5"/>
  <c r="AM12" i="5"/>
  <c r="AI12" i="5"/>
  <c r="AH12" i="5"/>
  <c r="AE12" i="5"/>
  <c r="AD12" i="5"/>
  <c r="Z12" i="5"/>
  <c r="Y12" i="5"/>
  <c r="T12" i="5"/>
  <c r="S12" i="5" s="1"/>
  <c r="R12" i="5"/>
  <c r="V12" i="5" s="1"/>
  <c r="X12" i="5" s="1"/>
  <c r="L12" i="5"/>
  <c r="J12" i="5" s="1"/>
  <c r="O12" i="5" s="1"/>
  <c r="Q12" i="5" s="1"/>
  <c r="E12" i="5"/>
  <c r="D12" i="5"/>
  <c r="C12" i="5" s="1"/>
  <c r="AW11" i="5"/>
  <c r="AV11" i="5"/>
  <c r="AN11" i="5"/>
  <c r="AM11" i="5"/>
  <c r="AI11" i="5"/>
  <c r="AH11" i="5"/>
  <c r="AE11" i="5"/>
  <c r="AD11" i="5"/>
  <c r="T11" i="5"/>
  <c r="S11" i="5" s="1"/>
  <c r="L11" i="5"/>
  <c r="K11" i="5" s="1"/>
  <c r="G11" i="5"/>
  <c r="I11" i="5" s="1"/>
  <c r="AW10" i="5"/>
  <c r="AV10" i="5"/>
  <c r="AN10" i="5"/>
  <c r="AM10" i="5"/>
  <c r="AI10" i="5"/>
  <c r="AH10" i="5"/>
  <c r="AE10" i="5"/>
  <c r="AD10" i="5"/>
  <c r="Y10" i="5"/>
  <c r="T10" i="5"/>
  <c r="S10" i="5" s="1"/>
  <c r="L10" i="5"/>
  <c r="K10" i="5" s="1"/>
  <c r="E10" i="5"/>
  <c r="D10" i="5"/>
  <c r="B10" i="5" s="1"/>
  <c r="G10" i="5" s="1"/>
  <c r="I10" i="5" s="1"/>
  <c r="AW9" i="5"/>
  <c r="AV9" i="5"/>
  <c r="AN9" i="5"/>
  <c r="AM9" i="5"/>
  <c r="AI9" i="5"/>
  <c r="AH9" i="5"/>
  <c r="AE9" i="5"/>
  <c r="AD9" i="5"/>
  <c r="Z9" i="5"/>
  <c r="Y9" i="5"/>
  <c r="T9" i="5"/>
  <c r="S9" i="5" s="1"/>
  <c r="M9" i="5"/>
  <c r="M13" i="5" s="1"/>
  <c r="L9" i="5"/>
  <c r="J9" i="5" s="1"/>
  <c r="O9" i="5" s="1"/>
  <c r="Q9" i="5" s="1"/>
  <c r="E9" i="5"/>
  <c r="D9" i="5"/>
  <c r="B9" i="5" s="1"/>
  <c r="G9" i="5" s="1"/>
  <c r="I9" i="5" s="1"/>
  <c r="AW8" i="5"/>
  <c r="AV8" i="5"/>
  <c r="AN8" i="5"/>
  <c r="AM8" i="5"/>
  <c r="V8" i="5"/>
  <c r="X8" i="5" s="1"/>
  <c r="U8" i="5" s="1"/>
  <c r="AC8" i="5" s="1"/>
  <c r="O8" i="5"/>
  <c r="Q8" i="5" s="1"/>
  <c r="D8" i="5"/>
  <c r="C8" i="5" s="1"/>
  <c r="AW7" i="5"/>
  <c r="AV7" i="5"/>
  <c r="AN7" i="5"/>
  <c r="AM7" i="5"/>
  <c r="W7" i="5"/>
  <c r="T7" i="5"/>
  <c r="R7" i="5" s="1"/>
  <c r="V7" i="5" s="1"/>
  <c r="K7" i="5"/>
  <c r="J7" i="5"/>
  <c r="D7" i="5"/>
  <c r="B7" i="5" s="1"/>
  <c r="G7" i="5" s="1"/>
  <c r="I7" i="5" s="1"/>
  <c r="AW6" i="5"/>
  <c r="AV6" i="5"/>
  <c r="Z6" i="5"/>
  <c r="AT6" i="5" s="1"/>
  <c r="Y6" i="5"/>
  <c r="W6" i="5"/>
  <c r="T6" i="5"/>
  <c r="S6" i="5" s="1"/>
  <c r="O6" i="5"/>
  <c r="Q6" i="5" s="1"/>
  <c r="G6" i="5"/>
  <c r="I6" i="5" s="1"/>
  <c r="AE13" i="5" l="1"/>
  <c r="AN13" i="5"/>
  <c r="E13" i="5"/>
  <c r="AS9" i="5"/>
  <c r="AL13" i="5"/>
  <c r="X7" i="5"/>
  <c r="U7" i="5" s="1"/>
  <c r="Y7" i="5" s="1"/>
  <c r="AI13" i="5"/>
  <c r="AD13" i="5"/>
  <c r="AG15" i="5"/>
  <c r="C10" i="5"/>
  <c r="R10" i="5"/>
  <c r="V10" i="5" s="1"/>
  <c r="X10" i="5" s="1"/>
  <c r="C9" i="5"/>
  <c r="J11" i="5"/>
  <c r="N11" i="5" s="1"/>
  <c r="S7" i="5"/>
  <c r="S13" i="5" s="1"/>
  <c r="J10" i="5"/>
  <c r="N10" i="5" s="1"/>
  <c r="AP15" i="5"/>
  <c r="AR13" i="5"/>
  <c r="AW13" i="5"/>
  <c r="N9" i="5"/>
  <c r="AT10" i="5"/>
  <c r="AS10" i="5"/>
  <c r="AS12" i="5"/>
  <c r="W13" i="5"/>
  <c r="W14" i="5" s="1"/>
  <c r="W15" i="5" s="1"/>
  <c r="R9" i="5"/>
  <c r="V9" i="5" s="1"/>
  <c r="X9" i="5" s="1"/>
  <c r="AT12" i="5"/>
  <c r="B8" i="5"/>
  <c r="AH13" i="5"/>
  <c r="AH14" i="5" s="1"/>
  <c r="R11" i="5"/>
  <c r="V11" i="5" s="1"/>
  <c r="X11" i="5" s="1"/>
  <c r="U11" i="5" s="1"/>
  <c r="Y11" i="5" s="1"/>
  <c r="K12" i="5"/>
  <c r="H14" i="5"/>
  <c r="H15" i="5" s="1"/>
  <c r="AB14" i="5"/>
  <c r="AB15" i="5" s="1"/>
  <c r="AO15" i="5"/>
  <c r="Y8" i="5"/>
  <c r="Z8" i="5"/>
  <c r="AT8" i="5" s="1"/>
  <c r="AI14" i="5"/>
  <c r="AI15" i="5" s="1"/>
  <c r="AE14" i="5"/>
  <c r="AE15" i="5" s="1"/>
  <c r="Z7" i="5"/>
  <c r="AT7" i="5" s="1"/>
  <c r="AT9" i="5"/>
  <c r="AU9" i="5" s="1"/>
  <c r="AX9" i="5" s="1"/>
  <c r="C14" i="5"/>
  <c r="B14" i="5"/>
  <c r="AK15" i="5"/>
  <c r="AV13" i="5"/>
  <c r="L13" i="5"/>
  <c r="L15" i="5" s="1"/>
  <c r="K9" i="5"/>
  <c r="N12" i="5"/>
  <c r="AM13" i="5"/>
  <c r="AN14" i="5"/>
  <c r="AN15" i="5" s="1"/>
  <c r="T13" i="5"/>
  <c r="T15" i="5" s="1"/>
  <c r="X16" i="5" s="1"/>
  <c r="R6" i="5"/>
  <c r="AD14" i="5"/>
  <c r="AD15" i="5" s="1"/>
  <c r="M14" i="5"/>
  <c r="M15" i="5" s="1"/>
  <c r="AA14" i="5"/>
  <c r="AF15" i="5"/>
  <c r="S14" i="5"/>
  <c r="R14" i="5"/>
  <c r="D13" i="5"/>
  <c r="D15" i="5" s="1"/>
  <c r="C7" i="5"/>
  <c r="AS6" i="5"/>
  <c r="F7" i="5"/>
  <c r="O7" i="5"/>
  <c r="Q7" i="5" s="1"/>
  <c r="E14" i="5"/>
  <c r="F9" i="5"/>
  <c r="F10" i="5"/>
  <c r="B12" i="5"/>
  <c r="P15" i="5"/>
  <c r="K14" i="5"/>
  <c r="J14" i="5"/>
  <c r="AU12" i="5" l="1"/>
  <c r="AX12" i="5" s="1"/>
  <c r="AW14" i="5"/>
  <c r="AW15" i="5" s="1"/>
  <c r="U13" i="5"/>
  <c r="AC13" i="5" s="1"/>
  <c r="I79" i="6"/>
  <c r="I80" i="6" s="1"/>
  <c r="J80" i="6" s="1"/>
  <c r="AL14" i="5"/>
  <c r="AJ15" i="5"/>
  <c r="AL15" i="5" s="1"/>
  <c r="C13" i="5"/>
  <c r="C15" i="5" s="1"/>
  <c r="O10" i="5"/>
  <c r="Q10" i="5" s="1"/>
  <c r="J13" i="5"/>
  <c r="N13" i="5" s="1"/>
  <c r="AA15" i="5"/>
  <c r="L80" i="6"/>
  <c r="M80" i="6" s="1"/>
  <c r="O11" i="5"/>
  <c r="Q11" i="5" s="1"/>
  <c r="Q13" i="5" s="1"/>
  <c r="Q14" i="5" s="1"/>
  <c r="Q15" i="5" s="1"/>
  <c r="Z11" i="5"/>
  <c r="AT11" i="5" s="1"/>
  <c r="AC11" i="5"/>
  <c r="F79" i="6"/>
  <c r="F80" i="6" s="1"/>
  <c r="G80" i="6" s="1"/>
  <c r="AR14" i="5"/>
  <c r="AU10" i="5"/>
  <c r="AX10" i="5" s="1"/>
  <c r="K13" i="5"/>
  <c r="S15" i="5"/>
  <c r="AU15" i="5"/>
  <c r="Z13" i="5"/>
  <c r="Z14" i="5" s="1"/>
  <c r="AT14" i="5" s="1"/>
  <c r="AQ15" i="5"/>
  <c r="AR15" i="5" s="1"/>
  <c r="F8" i="5"/>
  <c r="G8" i="5"/>
  <c r="I8" i="5" s="1"/>
  <c r="R13" i="5"/>
  <c r="V6" i="5"/>
  <c r="AM14" i="5"/>
  <c r="N14" i="5"/>
  <c r="F14" i="5"/>
  <c r="E15" i="5"/>
  <c r="AS11" i="5"/>
  <c r="AS7" i="5"/>
  <c r="Y13" i="5"/>
  <c r="AS8" i="5"/>
  <c r="G12" i="5"/>
  <c r="F12" i="5"/>
  <c r="AH15" i="5"/>
  <c r="AV14" i="5"/>
  <c r="B13" i="5"/>
  <c r="AU6" i="5"/>
  <c r="AX6" i="5" s="1"/>
  <c r="U14" i="5" l="1"/>
  <c r="U15" i="5" s="1"/>
  <c r="O13" i="5"/>
  <c r="O14" i="5" s="1"/>
  <c r="O15" i="5" s="1"/>
  <c r="AT13" i="5"/>
  <c r="AT15" i="5" s="1"/>
  <c r="AU11" i="5"/>
  <c r="AX11" i="5" s="1"/>
  <c r="K15" i="5"/>
  <c r="J15" i="5"/>
  <c r="N15" i="5" s="1"/>
  <c r="AC14" i="5"/>
  <c r="AC15" i="5"/>
  <c r="AV15" i="5"/>
  <c r="AX15" i="5" s="1"/>
  <c r="AM15" i="5"/>
  <c r="AS13" i="5"/>
  <c r="Y14" i="5"/>
  <c r="Y15" i="5" s="1"/>
  <c r="AU8" i="5"/>
  <c r="AX8" i="5" s="1"/>
  <c r="AU7" i="5"/>
  <c r="AX7" i="5" s="1"/>
  <c r="V13" i="5"/>
  <c r="X6" i="5"/>
  <c r="X13" i="5" s="1"/>
  <c r="I12" i="5"/>
  <c r="I13" i="5" s="1"/>
  <c r="G13" i="5"/>
  <c r="B15" i="5"/>
  <c r="F15" i="5" s="1"/>
  <c r="F13" i="5"/>
  <c r="R15" i="5"/>
  <c r="Z15" i="5"/>
  <c r="AU13" i="5" l="1"/>
  <c r="AX13" i="5" s="1"/>
  <c r="X14" i="5"/>
  <c r="X15" i="5" s="1"/>
  <c r="W16" i="5" s="1"/>
  <c r="G14" i="5"/>
  <c r="G15" i="5" s="1"/>
  <c r="V14" i="5"/>
  <c r="V15" i="5" s="1"/>
  <c r="I14" i="5"/>
  <c r="I15" i="5" s="1"/>
  <c r="AS14" i="5"/>
  <c r="AU14" i="5" l="1"/>
  <c r="AX14" i="5" s="1"/>
  <c r="AS15" i="5"/>
</calcChain>
</file>

<file path=xl/sharedStrings.xml><?xml version="1.0" encoding="utf-8"?>
<sst xmlns="http://schemas.openxmlformats.org/spreadsheetml/2006/main" count="290" uniqueCount="188">
  <si>
    <t>Table 2 - Project budget by UN cost category</t>
  </si>
  <si>
    <t>CATEGORIES</t>
  </si>
  <si>
    <t>OHCHR</t>
  </si>
  <si>
    <t>UNDP</t>
  </si>
  <si>
    <t>UN Women</t>
  </si>
  <si>
    <t>BUDGET REVISION TOTALS</t>
  </si>
  <si>
    <t>Tranche 1 (70%)</t>
  </si>
  <si>
    <t>Tranche 2 (30%)</t>
  </si>
  <si>
    <t>Total</t>
  </si>
  <si>
    <t>Expenses &amp; PO</t>
  </si>
  <si>
    <t>Del (%)</t>
  </si>
  <si>
    <t>BUDGET REVISION</t>
  </si>
  <si>
    <t>Budget Revision Total</t>
  </si>
  <si>
    <t>Budget Revision</t>
  </si>
  <si>
    <t>Expenses</t>
  </si>
  <si>
    <t>PO/Adv</t>
  </si>
  <si>
    <t>Total    Tranche 1</t>
  </si>
  <si>
    <t>Total    Tranche 2</t>
  </si>
  <si>
    <t>PROJECT TOTAL</t>
  </si>
  <si>
    <t>Total Expenses</t>
  </si>
  <si>
    <t>Total PO/Adv</t>
  </si>
  <si>
    <t>Total Del (%)</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</si>
  <si>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</si>
  <si>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</si>
  <si>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</si>
  <si>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</si>
  <si>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</si>
  <si>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</si>
  <si>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</si>
  <si>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</si>
  <si>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</si>
  <si>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TOTAL</t>
  </si>
  <si>
    <t>Budget                Total</t>
  </si>
  <si>
    <t>Annex C - project budget</t>
  </si>
  <si>
    <t xml:space="preserve">Project:  Advancing Reconciliation through Legislative and Civic Engagement  </t>
  </si>
  <si>
    <t>Table 1 - project budget by Outcome, output and activity</t>
  </si>
  <si>
    <t>UNWOMEN</t>
  </si>
  <si>
    <t>Outcomes/ outputs</t>
  </si>
  <si>
    <t>Activities</t>
  </si>
  <si>
    <t>Budget category</t>
  </si>
  <si>
    <t>Budget details</t>
  </si>
  <si>
    <r>
      <t xml:space="preserve">Budget by recipient organization in USD - </t>
    </r>
    <r>
      <rPr>
        <b/>
        <sz val="12"/>
        <color indexed="10"/>
        <rFont val="Times New Roman"/>
        <family val="1"/>
      </rPr>
      <t>Please add a new column for each recipient organization</t>
    </r>
    <r>
      <rPr>
        <b/>
        <sz val="12"/>
        <color theme="1"/>
        <rFont val="Times New Roman"/>
        <family val="1"/>
      </rPr>
      <t xml:space="preserve"> - OHCHR</t>
    </r>
  </si>
  <si>
    <t>Level of expenditure/ commitments in USD (to provide at time of project progress reporting): OHCHR</t>
  </si>
  <si>
    <t>Level of Delivery in % - OHCHR</t>
  </si>
  <si>
    <r>
      <t xml:space="preserve">Budget by recipient organization in USD - </t>
    </r>
    <r>
      <rPr>
        <b/>
        <sz val="12"/>
        <color indexed="10"/>
        <rFont val="Times New Roman"/>
        <family val="1"/>
      </rPr>
      <t>Please add a new column for each recipient organization</t>
    </r>
    <r>
      <rPr>
        <b/>
        <sz val="12"/>
        <color theme="1"/>
        <rFont val="Times New Roman"/>
        <family val="1"/>
      </rPr>
      <t xml:space="preserve"> - UNDP</t>
    </r>
  </si>
  <si>
    <t>Level of expenditure/ commitments in USD (to provide at time of project progress reporting): UNDP</t>
  </si>
  <si>
    <t>Level of Delivery in % - UNDP</t>
  </si>
  <si>
    <r>
      <t xml:space="preserve">Budget by recipient organization in USD - </t>
    </r>
    <r>
      <rPr>
        <b/>
        <sz val="12"/>
        <color indexed="10"/>
        <rFont val="Times New Roman"/>
        <family val="1"/>
      </rPr>
      <t>Please add a new column for each recipient organization</t>
    </r>
    <r>
      <rPr>
        <b/>
        <sz val="12"/>
        <color theme="1"/>
        <rFont val="Times New Roman"/>
        <family val="1"/>
      </rPr>
      <t xml:space="preserve"> - UNWOMEN</t>
    </r>
  </si>
  <si>
    <t>Level of expenditure/ commitments in USD (to provide at time of project progress reporting): UNWOMEN</t>
  </si>
  <si>
    <t>Level of Delivery in % - UNWOMEN</t>
  </si>
  <si>
    <t>Percent of budget for each output reserved for direct action on gender equality:</t>
  </si>
  <si>
    <t>Any remarks (e.g. on types of inputs provided or budget justification, for example if high TA or travel costs)</t>
  </si>
  <si>
    <t xml:space="preserve">Outcome 1: Law-making, oversight functions of the Liberian Legislature and Law Reform Commission enhanced to review and align existing laws and bills for effective protection of human rights of all. </t>
  </si>
  <si>
    <t>Output 1.1:Enhanced capacity of leadership/membership of relevant Committees to address drivers of conflict through appropriate legislations</t>
  </si>
  <si>
    <t>Activity 1.1.1:</t>
  </si>
  <si>
    <t xml:space="preserve">Provide tailored training and mentoring to both the members and support staff of the different Parliamentary committees on HR based legal review and drafting </t>
  </si>
  <si>
    <t>Full conference package (residential workshop), lunch, dinner and two break teas for 60 pax including 5 facilitators for 2 days at 130 per night</t>
  </si>
  <si>
    <t>Parliamentary committees and support Staff training, training ,  DSA and transport refund</t>
  </si>
  <si>
    <t>Fuel reimbursement for 30 parliamentarians (100 USD -round trip)</t>
  </si>
  <si>
    <t>Activity 1.1.2:</t>
  </si>
  <si>
    <t>Develop and validate practical guidelines on HR based legal reform and parliamentary oversight</t>
  </si>
  <si>
    <t xml:space="preserve">Validation workshop - DSA for four staff (LRC, UN Women, OHCHR and UNDP) </t>
  </si>
  <si>
    <t>Activity 1.1.3:</t>
  </si>
  <si>
    <t>Compile lessons learned from former committee members</t>
  </si>
  <si>
    <t>DCAF - Staff, training manual, training venue, catering, DSA and transportation</t>
  </si>
  <si>
    <t xml:space="preserve">Activity 1.1.4 </t>
  </si>
  <si>
    <t xml:space="preserve">Convene high level meetings with the Executive, MoJ, MIA, MoGSCP, Legislature, Legislative drafting Bureau and Legislative Budget Office to advocate for ammendment of two laws and enactment of four bills </t>
  </si>
  <si>
    <t xml:space="preserve">Full conference package for high level meeting with political leadership (executive organ, legislature and relevant line Ministries). Conduct three-one- day strategic meetings/including follow up meetings (full conference package for 40 pax) to garner political buyin on law reforms @ 100 USD </t>
  </si>
  <si>
    <t xml:space="preserve">Hall hire and PA system ( four- one-day meetings </t>
  </si>
  <si>
    <t xml:space="preserve">Fuel or Transport refund </t>
  </si>
  <si>
    <t>Activity 1.1.5:</t>
  </si>
  <si>
    <t xml:space="preserve">Provide technical support  to the LRC and Legislative drafting bureau to review two domestic laws and propose ammendments. </t>
  </si>
  <si>
    <t>Hire international Consultant to provide technical support and mentorship to the legislative drafting team and LRC to review and draft high quality ammendment bills</t>
  </si>
  <si>
    <t>Activity 1.1.6:</t>
  </si>
  <si>
    <t>Facilitate  LRC and Legislators to consult Liberian relevant stakeholders at national and sub national level on proposed ammendments  and solicit buy-in  for the passage of four bills.</t>
  </si>
  <si>
    <t xml:space="preserve">DSA and transport refund for participants 15 paxs  ( 1 legislators from each of the counties,  seven staff , 2 LRC staff,  1 UN Women,1 OHCHR and 1 UNDP, 1 INCHR and participants coming from outside counties including two days    for travel between counties for resource teams from Monrovia </t>
  </si>
  <si>
    <t>Venue and catering services  for the consultative meetings between LRC and Parliamentarians and other stakeholders at county level -Breakfast lunch, one break teas. ( 55 pax  @ 40 USD X one-day meeting X 15)</t>
  </si>
  <si>
    <t xml:space="preserve">Facilitate of rapporteurs to collate feeadback from national and sub national consultations reporting fee for 4 National facilitators @ 200$/day </t>
  </si>
  <si>
    <t>Activity 1.1.7:</t>
  </si>
  <si>
    <t>Facilitate  awareness raising and  dissemination of enacted laws.</t>
  </si>
  <si>
    <t>DSA and transport refund for county level dissemination meetings</t>
  </si>
  <si>
    <t xml:space="preserve">Conference facilities (break fast,lunch for one-day dissemination meetings at county level </t>
  </si>
  <si>
    <t>Printing of ammended laws , Publicity on radio and print</t>
  </si>
  <si>
    <t>Activity 1.1.8</t>
  </si>
  <si>
    <t>Develop guidelines for legal drafters and members of the research unit on HR based legal research, legal review and drafting (UN Women)</t>
  </si>
  <si>
    <t xml:space="preserve">International professional fee, (air tickets and DSA) </t>
  </si>
  <si>
    <t xml:space="preserve">Workshop to validate and strenghten the capacity of legal drafters and legal researches </t>
  </si>
  <si>
    <t>Activity 1.1.9:</t>
  </si>
  <si>
    <t>Hire international consultant to support the Parliament in elaboration of a human rights and gender checklist to support review of emerging bills in line with relevant human rights standards and principles before  the bills are assented to by the President.</t>
  </si>
  <si>
    <t>International consultant (20X USD 1000)</t>
  </si>
  <si>
    <t xml:space="preserve">Validate and print the draft human rights checklists </t>
  </si>
  <si>
    <t>Activity 1.1.10</t>
  </si>
  <si>
    <t>Conduct  training for first time legislators and Senate members appointed to relevant committees of the legislature on human right standards and gender considerations</t>
  </si>
  <si>
    <t>Full conference package (three days residential workshop for 43 legislators), lunch, dinner and two break teas including 3 facilitators  USD240 per night</t>
  </si>
  <si>
    <t>Workshop and seminar suppliers, media coverage, documentations, communication's materials</t>
  </si>
  <si>
    <t>Faciliation fees for 6 paxs</t>
  </si>
  <si>
    <t xml:space="preserve">Fuel refund /Transport refund </t>
  </si>
  <si>
    <t>Output 1.2. Interaction between the Liberian legislature and external oversight bodies, civil society organisations (CSOs) and the general public increased to influence the legislature to promote HR based legislation that addresses emerging human rights and gender concerns</t>
  </si>
  <si>
    <t>Activity 1.2.1:</t>
  </si>
  <si>
    <t xml:space="preserve">Facilitate meetings with Committees (Human rights, and gender), external oversight bodies (INCHR), representatives from women’s organizations and civil society and local constituents so that emerging human rights and gender concerns are addressed in proposed legislative reforms  </t>
  </si>
  <si>
    <t xml:space="preserve">Transport refund for 40 participants for 2 days at the rate of 80 USD per night </t>
  </si>
  <si>
    <t xml:space="preserve">Activity 1.2.2. </t>
  </si>
  <si>
    <t xml:space="preserve">Facilitate the interaction between the LRC and various stakeholders including women’s organizations, women with disabilities and other vulnerable groups to inform amendments of  laws and advocate for enactment of bills.  </t>
  </si>
  <si>
    <t>6. Transfers and Grants to Counterparts 4. Contractual services</t>
  </si>
  <si>
    <t xml:space="preserve">DSA and transportation for participants </t>
  </si>
  <si>
    <t>Activity 1.2.3</t>
  </si>
  <si>
    <t>Organize a training for a pool of women on advocacy, and HR based legal review and law drafting in support of reviewing and redrafting of amendment bills to address discriminatory provisions in existing laws in compliance with international and regional human rights standards. It is further expected to strengthen the capacity of women organizations and vulnerable groups on advocacy and legal review and law drafting</t>
  </si>
  <si>
    <t>International Consultant</t>
  </si>
  <si>
    <t xml:space="preserve"> trainings , training venue, catering, DSA and transportation</t>
  </si>
  <si>
    <t xml:space="preserve">Activity 1.2.4. </t>
  </si>
  <si>
    <t xml:space="preserve">Information on the recommendations from the TRC related to legislative reform and the outcomes of the legislative reform will be disseminated among CSOs and vulnerable groups to strengthen their role as oversight bodies </t>
  </si>
  <si>
    <t xml:space="preserve"> trainings , training venue, catering, DSA and transportation, printing </t>
  </si>
  <si>
    <t>Outcome 2: Transitional justice processes and institutional mechanisms increasingly facilitate the realization of right to truth telling, reparations  to achieve national reconciliation and peace</t>
  </si>
  <si>
    <t xml:space="preserve">Output 2.1: Capacity of INCHR, TJWG, CSO, at National and sub- National level strengthened for the implementation of TRC recommendations </t>
  </si>
  <si>
    <t xml:space="preserve">Activity 2.1.1 </t>
  </si>
  <si>
    <r>
      <t xml:space="preserve"> Support INCHR to conduct a national colloquium in collaboration with Ministries, Agencies Corporation and CSOs to seek views of Liberian citizenry on the way forward on implementation of the TRC report</t>
    </r>
    <r>
      <rPr>
        <b/>
        <sz val="12"/>
        <rFont val="Times New Roman"/>
        <family val="1"/>
      </rPr>
      <t>(OHCHR).</t>
    </r>
  </si>
  <si>
    <t>Full conference package (2-day) residential workshop for 80 participants ), lunch, and two break teas (70 X 2 dayX 240 USD)</t>
  </si>
  <si>
    <t xml:space="preserve">Transport refund for 100 participants round trip @ 40 USD </t>
  </si>
  <si>
    <t xml:space="preserve">Assorted stationary and printing of TRC report </t>
  </si>
  <si>
    <t>Guest speakers (5 X200X2)</t>
  </si>
  <si>
    <t>Printing of reports and flyers and information and education materials  posters, Publicity of the event on radio and print</t>
  </si>
  <si>
    <t>Individual Consultant(IC) with expertise on HRs &amp; transitional justice</t>
  </si>
  <si>
    <t>Activity 2.1.2</t>
  </si>
  <si>
    <r>
      <t xml:space="preserve"> Support the Transitional Justice Working Group (TJWG)to conduct follow up advocacy meetings with relevant MACs to lobby for the implementation of the TRC recommendations and support convening of TJWG working group eight-one day quarterly meetings to assess progress on the engagement with MACs of government</t>
    </r>
    <r>
      <rPr>
        <b/>
        <sz val="12"/>
        <rFont val="Times New Roman"/>
        <family val="1"/>
      </rPr>
      <t>(OHCHR)</t>
    </r>
  </si>
  <si>
    <t>Full conference package for  one day non-residential workshops for 25 participantsX 8 X 35 USD at national and county level on emerging issues; Conduct eight quarterly(one-day) meetings with MACs (25 paxs X25 USDX8)</t>
  </si>
  <si>
    <t xml:space="preserve">Traansport Refundsfor INCHR and TWG, OHCHR and other actors such as MoJ/MoG for five vehicles to carry out outreach </t>
  </si>
  <si>
    <t>Individual Consultant(IC)</t>
  </si>
  <si>
    <t xml:space="preserve">stationaires  and printing </t>
  </si>
  <si>
    <t>Activity 2.1.3</t>
  </si>
  <si>
    <r>
      <t xml:space="preserve">Strengthen capacity of INCHR and the Transitional Justice Unit  in kind and technical support to adequately perform its tasks across the country </t>
    </r>
    <r>
      <rPr>
        <b/>
        <sz val="12"/>
        <rFont val="Times New Roman"/>
        <family val="1"/>
      </rPr>
      <t>.(OHCHR)</t>
    </r>
  </si>
  <si>
    <t>3. Equipment, ( computers, desks and chairs for INCHR TJ unit)</t>
  </si>
  <si>
    <t>Procure relevant equipment and funiture for INCHR transitional unit</t>
  </si>
  <si>
    <t>Activity 2.1.5</t>
  </si>
  <si>
    <t xml:space="preserve">Undertake a research on the gender responsiveness of the palava huts and to find a mechanism of coordination and interconnection between the palava huts and the Peace huts. </t>
  </si>
  <si>
    <t>Validation workshop</t>
  </si>
  <si>
    <t xml:space="preserve">International Consultant </t>
  </si>
  <si>
    <t xml:space="preserve">Output 2.2: TRC recommendations related to Memorialization, truth-telling and atonement further implemented </t>
  </si>
  <si>
    <t>2.2.1</t>
  </si>
  <si>
    <r>
      <t>Support the identification of mass graves sites through GIS for present and future construction of memorials</t>
    </r>
    <r>
      <rPr>
        <b/>
        <sz val="12"/>
        <rFont val="Times New Roman"/>
        <family val="1"/>
      </rPr>
      <t>(UNDP)</t>
    </r>
  </si>
  <si>
    <t>Hire a international or national consultant to conduct  GIS mapping for the memorial sites</t>
  </si>
  <si>
    <t>Transport/ fuel costs for the consultant, INCHR to memorial sites  and DSA for a team of 4 (Consultant, MoJ, INCHR and Driver)</t>
  </si>
  <si>
    <t>2.2.2</t>
  </si>
  <si>
    <r>
      <t xml:space="preserve">Support the erection of fourteen additional memorials on mass graves sites </t>
    </r>
    <r>
      <rPr>
        <b/>
        <sz val="12"/>
        <rFont val="Times New Roman"/>
        <family val="1"/>
      </rPr>
      <t xml:space="preserve">(UNDP) </t>
    </r>
  </si>
  <si>
    <t>Hire contractors and procure required materials for fening and construction of space</t>
  </si>
  <si>
    <t>2.2.3</t>
  </si>
  <si>
    <t xml:space="preserve">Complete phase II of the Du Port Road memorial (with fencing and an office/theatre space)
</t>
  </si>
  <si>
    <t>Hire contractors and procure required materials for fencing and complete Du Port Road memorial</t>
  </si>
  <si>
    <t>2.2.4</t>
  </si>
  <si>
    <t>Conduct a series of district-level engagement sessions with a focus on the marginalized groups, ethnic / religious groups, and government actors to effectively address critical community conflicts at a safe space.</t>
  </si>
  <si>
    <t>Hall rental and catering</t>
  </si>
  <si>
    <t>5. Travel</t>
  </si>
  <si>
    <t>Participants from other districts (DSA and transportation)</t>
  </si>
  <si>
    <t>2.2.5</t>
  </si>
  <si>
    <t>Hold 7 county level consultations building into a second national reconciliation conference (UNDP)</t>
  </si>
  <si>
    <t>Hire 1 facilitator, catering service, hall rental, for 2  days, stationeries</t>
  </si>
  <si>
    <t xml:space="preserve">DSA for 2  nights and transportation reimbursement for 50 persons @$60.00 round  trip </t>
  </si>
  <si>
    <t>2.2.6</t>
  </si>
  <si>
    <t>Facilitate the holding of 1 national reconciliation conference where 7 county-level reconciliation action plans will be endorsed (UNDP)</t>
  </si>
  <si>
    <t>Hire 3  facilitators  for 2  days</t>
  </si>
  <si>
    <t xml:space="preserve">DSA for 2  nights and transportation reimbursement for 175 persons @$60.00 round  trip </t>
  </si>
  <si>
    <t>2.2.7</t>
  </si>
  <si>
    <t xml:space="preserve">Support to the Government to organize three (3) dialogues with all branches of government to promote reconciliation at the national level under the President’s leadership </t>
  </si>
  <si>
    <t>4. Contractual Services</t>
  </si>
  <si>
    <t>Full conference package, including lunch,  and tea breaks for 200 Participants  including 5 facilitators for 1 days  (3 star hotel). Stationeries</t>
  </si>
  <si>
    <t xml:space="preserve">Transport refund for 175 participants for one day at the rate of  60 USD round trip and DSA for 2 nights for county participants </t>
  </si>
  <si>
    <t>2.2.8.</t>
  </si>
  <si>
    <t>Support to the Ministry of Internal Affairs  in collaboration with the Ministry of State  to hold Eight (4) inter-party dialogues to relieve tensions, build understanding and commence practical steps towards national cohesion and development.   (UNDP)</t>
  </si>
  <si>
    <t xml:space="preserve">6. Contractual services </t>
  </si>
  <si>
    <t>Full conference package, including lunch,  and tea breaks for 50 Participant  including 2 facilitators for 1 day  (3 star hotel). 4 separate events. Stationeries</t>
  </si>
  <si>
    <t>M&amp;E</t>
  </si>
  <si>
    <t>Activity 2.2.1</t>
  </si>
  <si>
    <t xml:space="preserve">Establish a participatory and gender-sensitive monitoring and evaluation (M&amp;E) mechanism to collect gender and age-disaggregated data and supervise a gender equitable implementation of the activities, including the development of project-wide M&amp;E plan and annual reports in a timely manner
</t>
  </si>
  <si>
    <t>National UNV (Evaluation and reporting) for 18 months</t>
  </si>
  <si>
    <t>Activity 2.2. 2:</t>
  </si>
  <si>
    <t xml:space="preserve">Undertake regular M&amp;E assessments of all activities and interventions (progress reports, data collection and analysis, field visits, focus group discussions, spot-checks, etc.) including the baseline data collection and internal mid-term review of the project progress </t>
  </si>
  <si>
    <t xml:space="preserve">DSA for project technical team joint programme monitoring and evaluation and consultant travel (air ticket and terminal expenses </t>
  </si>
  <si>
    <t>Activity 2.2.3</t>
  </si>
  <si>
    <t xml:space="preserve">Conduct independent final project evaluation </t>
  </si>
  <si>
    <t>Hire one external international and national consultants to conduct end of project evaluation and Sustainability Plan  (professional fees and DSA)</t>
  </si>
  <si>
    <t>External evaluation -travel</t>
  </si>
  <si>
    <t xml:space="preserve">Management </t>
  </si>
  <si>
    <t>General operating costs</t>
  </si>
  <si>
    <t xml:space="preserve">Management support </t>
  </si>
  <si>
    <t>General operating and other direct costs (fuel, phone, office supplies etc.)</t>
  </si>
  <si>
    <t>SUB-TOTAL:</t>
  </si>
  <si>
    <t>7% GMS</t>
  </si>
  <si>
    <t>GRAND TOTAL:</t>
  </si>
  <si>
    <t>8. Indirect Support Costs           (must be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</si>
</sst>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409]* #,##0.00_);_([$$-409]* \(#,##0.00\);_([$$-409]* &quot;-&quot;??_);_(@_)"/>
    <numFmt numFmtId="168" formatCode="_-* #,##0\ _€_-;\-* #,##0\ _€_-;_-* &quot;-&quot;??\ _€_-;_-@_-"/>
    <numFmt numFmtId="169" formatCode="_(* #,##0.0_);_(* \(#,##0.0\);_(* &quot;-&quot;??_);_(@_)"/>
  </numFmts>
  <fonts count="5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1"/>
      <name val="Calibri"/>
      <family val="2"/>
      <scheme val="minor"/>
    </font>
    <font>
      <b/>
      <sz val="10"/>
      <color theme="1"/>
      <name val="Calibri"/>
      <family val="2"/>
    </font>
    <font>
      <b/>
      <sz val="14"/>
      <color theme="1"/>
      <name val="Calibri"/>
      <family val="2"/>
    </font>
    <font>
      <b/>
      <sz val="12"/>
      <color theme="1"/>
      <name val="Calibri"/>
      <family val="2"/>
    </font>
    <font>
      <b/>
      <sz val="11"/>
      <color rgb="FFFF0000"/>
      <name val="Calibri"/>
      <family val="2"/>
      <scheme val="minor"/>
    </font>
    <font>
      <sz val="10"/>
      <color theme="1"/>
      <name val="Calibri"/>
      <family val="2"/>
    </font>
    <font>
      <sz val="10"/>
      <color rgb="FFFF0000"/>
      <name val="Calibri"/>
      <family val="2"/>
    </font>
    <font>
      <sz val="10"/>
      <name val="Calibri"/>
      <family val="2"/>
    </font>
    <font>
      <sz val="10"/>
      <color theme="1"/>
      <name val="Calibri"/>
      <family val="2"/>
      <scheme val="minor"/>
    </font>
    <font>
      <sz val="10"/>
      <color rgb="FFFF0000"/>
      <name val="Calibri"/>
      <family val="2"/>
      <scheme val="minor"/>
    </font>
    <font>
      <sz val="11"/>
      <name val="Calibri"/>
      <family val="2"/>
      <scheme val="minor"/>
    </font>
    <font>
      <b/>
      <sz val="10"/>
      <name val="Calibri"/>
      <family val="2"/>
    </font>
    <font>
      <b/>
      <sz val="10"/>
      <color rgb="FFFF0000"/>
      <name val="Calibri"/>
      <family val="2"/>
    </font>
    <font>
      <b/>
      <sz val="10"/>
      <color theme="1"/>
      <name val="Calibri"/>
      <family val="2"/>
      <scheme val="minor"/>
    </font>
    <font>
      <b/>
      <sz val="10"/>
      <color rgb="FFFF0000"/>
      <name val="Calibri"/>
      <family val="2"/>
      <scheme val="minor"/>
    </font>
    <font>
      <b/>
      <sz val="12"/>
      <color theme="0"/>
      <name val="Times New Roman"/>
      <family val="1"/>
    </font>
    <font>
      <b/>
      <sz val="16"/>
      <name val="Times New Roman"/>
      <family val="1"/>
    </font>
    <font>
      <sz val="11"/>
      <color theme="1"/>
      <name val="Times New Roman"/>
      <family val="1"/>
    </font>
    <font>
      <b/>
      <sz val="12"/>
      <name val="Times New Roman"/>
      <family val="1"/>
    </font>
    <font>
      <b/>
      <sz val="12"/>
      <color theme="1"/>
      <name val="Times New Roman"/>
      <family val="1"/>
    </font>
    <font>
      <b/>
      <sz val="12"/>
      <color indexed="10"/>
      <name val="Times New Roman"/>
      <family val="1"/>
    </font>
    <font>
      <sz val="12"/>
      <name val="Times New Roman"/>
      <family val="1"/>
    </font>
    <font>
      <b/>
      <sz val="11"/>
      <name val="Times New Roman"/>
      <family val="1"/>
    </font>
    <font>
      <b/>
      <sz val="14"/>
      <color theme="1"/>
      <name val="Times New Roman"/>
      <family val="1"/>
    </font>
    <font>
      <sz val="14"/>
      <color theme="1"/>
      <name val="Times New Roman"/>
      <family val="1"/>
    </font>
    <font>
      <b/>
      <sz val="11"/>
      <color theme="1"/>
      <name val="Times New Roman"/>
      <family val="1"/>
    </font>
    <font>
      <b/>
      <sz val="11"/>
      <color theme="0"/>
      <name val="Times New Roman"/>
      <family val="1"/>
    </font>
    <font>
      <sz val="11"/>
      <color theme="0"/>
      <name val="Times New Roman"/>
      <family val="1"/>
    </font>
    <font>
      <sz val="11"/>
      <name val="Times New Roman"/>
      <family val="1"/>
    </font>
    <font>
      <sz val="10"/>
      <name val="Times New Roman"/>
      <family val="1"/>
    </font>
    <font>
      <sz val="10"/>
      <color theme="1"/>
      <name val="Times New Roman"/>
      <family val="1"/>
    </font>
    <font>
      <sz val="11"/>
      <color rgb="FFFF0000"/>
      <name val="Times New Roman"/>
      <family val="1"/>
    </font>
    <font>
      <sz val="14"/>
      <color theme="0"/>
      <name val="Times New Roman"/>
      <family val="1"/>
    </font>
    <font>
      <sz val="12"/>
      <color theme="0"/>
      <name val="Times New Roman"/>
      <family val="1"/>
    </font>
    <font>
      <sz val="12"/>
      <color theme="1"/>
      <name val="Times New Roman"/>
      <family val="1"/>
    </font>
    <font>
      <sz val="11"/>
      <color theme="5"/>
      <name val="Times New Roman"/>
      <family val="1"/>
    </font>
    <font>
      <u/>
      <sz val="11"/>
      <color theme="10"/>
      <name val="Calibri"/>
      <family val="2"/>
      <scheme val="minor"/>
    </font>
    <font>
      <b/>
      <sz val="14"/>
      <color theme="0"/>
      <name val="Times New Roman"/>
      <family val="1"/>
    </font>
    <font>
      <sz val="12"/>
      <color theme="1"/>
      <name val="Calibri"/>
      <family val="2"/>
      <scheme val="minor"/>
    </font>
    <font>
      <sz val="11"/>
      <color rgb="FF000000"/>
      <name val="Times New Roman"/>
      <family val="1"/>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0070C0"/>
        <bgColor indexed="64"/>
      </patternFill>
    </fill>
    <fill>
      <patternFill patternType="solid">
        <fgColor theme="4"/>
        <bgColor indexed="64"/>
      </patternFill>
    </fill>
  </fills>
  <borders count="8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s>
  <cellStyleXfs count="4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5" fillId="0" borderId="0" applyNumberFormat="0" applyFill="0" applyBorder="0" applyAlignment="0" applyProtection="0"/>
  </cellStyleXfs>
  <cellXfs count="617">
    <xf numFmtId="0" fontId="0" fillId="0" borderId="0" xfId="0"/>
    <xf numFmtId="43" fontId="0" fillId="0" borderId="0" xfId="0" applyNumberFormat="1"/>
    <xf numFmtId="0" fontId="18" fillId="0" borderId="0" xfId="0" applyFont="1"/>
    <xf numFmtId="0" fontId="19" fillId="0" borderId="0" xfId="0" applyFont="1"/>
    <xf numFmtId="0" fontId="16" fillId="33" borderId="34"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3" borderId="36" xfId="0" applyFont="1" applyFill="1" applyBorder="1" applyAlignment="1">
      <alignment horizontal="center" vertical="center" wrapText="1"/>
    </xf>
    <xf numFmtId="0" fontId="16" fillId="33" borderId="22" xfId="0" applyFont="1" applyFill="1" applyBorder="1" applyAlignment="1">
      <alignment horizontal="center" vertical="center" wrapText="1"/>
    </xf>
    <xf numFmtId="0" fontId="16" fillId="33" borderId="38"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47" xfId="0" applyFont="1" applyFill="1" applyBorder="1" applyAlignment="1">
      <alignment horizontal="center" vertical="center" wrapText="1"/>
    </xf>
    <xf numFmtId="165" fontId="0" fillId="0" borderId="0" xfId="0" applyNumberFormat="1"/>
    <xf numFmtId="166" fontId="34" fillId="0" borderId="0" xfId="2" applyNumberFormat="1" applyFont="1" applyAlignment="1">
      <alignment vertical="top"/>
    </xf>
    <xf numFmtId="0" fontId="0" fillId="0" borderId="0" xfId="0" applyAlignment="1">
      <alignment vertical="center" wrapText="1"/>
    </xf>
    <xf numFmtId="43" fontId="32" fillId="0" borderId="0" xfId="0" applyNumberFormat="1" applyFont="1"/>
    <xf numFmtId="9" fontId="0" fillId="0" borderId="0" xfId="3" applyFont="1"/>
    <xf numFmtId="9" fontId="19" fillId="0" borderId="0" xfId="3" applyFont="1"/>
    <xf numFmtId="0" fontId="27" fillId="0" borderId="0" xfId="0" applyFont="1"/>
    <xf numFmtId="9" fontId="27" fillId="0" borderId="0" xfId="3" applyFont="1"/>
    <xf numFmtId="165" fontId="27" fillId="0" borderId="0" xfId="0" applyNumberFormat="1" applyFont="1"/>
    <xf numFmtId="0" fontId="36" fillId="0" borderId="0" xfId="0" applyFont="1" applyAlignment="1">
      <alignment vertical="top"/>
    </xf>
    <xf numFmtId="0" fontId="35" fillId="40" borderId="13" xfId="0" applyFont="1" applyFill="1" applyBorder="1" applyAlignment="1">
      <alignment horizontal="center" vertical="center"/>
    </xf>
    <xf numFmtId="0" fontId="35" fillId="40" borderId="47" xfId="0" applyFont="1" applyFill="1" applyBorder="1" applyAlignment="1">
      <alignment horizontal="center" vertical="center"/>
    </xf>
    <xf numFmtId="0" fontId="35" fillId="40" borderId="15" xfId="0" applyFont="1" applyFill="1" applyBorder="1" applyAlignment="1">
      <alignment horizontal="center" vertical="center"/>
    </xf>
    <xf numFmtId="0" fontId="37" fillId="37" borderId="34" xfId="0" applyFont="1" applyFill="1" applyBorder="1" applyAlignment="1">
      <alignment horizontal="center" vertical="center" wrapText="1"/>
    </xf>
    <xf numFmtId="0" fontId="37" fillId="37" borderId="76" xfId="0" applyFont="1" applyFill="1" applyBorder="1" applyAlignment="1">
      <alignment horizontal="center" vertical="center" wrapText="1"/>
    </xf>
    <xf numFmtId="0" fontId="37" fillId="37" borderId="77" xfId="0" applyFont="1" applyFill="1" applyBorder="1" applyAlignment="1">
      <alignment horizontal="center" vertical="center" wrapText="1"/>
    </xf>
    <xf numFmtId="43" fontId="38" fillId="36" borderId="47" xfId="1" applyFont="1" applyFill="1" applyBorder="1" applyAlignment="1">
      <alignment horizontal="center" vertical="center" wrapText="1"/>
    </xf>
    <xf numFmtId="43" fontId="38" fillId="36" borderId="15" xfId="1" applyFont="1" applyFill="1" applyBorder="1" applyAlignment="1">
      <alignment horizontal="center" vertical="center" wrapText="1"/>
    </xf>
    <xf numFmtId="9" fontId="40" fillId="36" borderId="36" xfId="3" applyFont="1" applyFill="1" applyBorder="1" applyAlignment="1">
      <alignment horizontal="center" vertical="center" wrapText="1"/>
    </xf>
    <xf numFmtId="43" fontId="38" fillId="35" borderId="47" xfId="1" applyFont="1" applyFill="1" applyBorder="1" applyAlignment="1">
      <alignment horizontal="center" vertical="center" wrapText="1"/>
    </xf>
    <xf numFmtId="43" fontId="38" fillId="35" borderId="15" xfId="1" applyFont="1" applyFill="1" applyBorder="1" applyAlignment="1">
      <alignment horizontal="center" vertical="center" wrapText="1"/>
    </xf>
    <xf numFmtId="9" fontId="40" fillId="35" borderId="77" xfId="3" applyFont="1" applyFill="1" applyBorder="1" applyAlignment="1">
      <alignment horizontal="center" vertical="center" wrapText="1"/>
    </xf>
    <xf numFmtId="43" fontId="38" fillId="41" borderId="47" xfId="1" applyFont="1" applyFill="1" applyBorder="1" applyAlignment="1">
      <alignment horizontal="center" vertical="center" wrapText="1"/>
    </xf>
    <xf numFmtId="43" fontId="38" fillId="41" borderId="15" xfId="1" applyFont="1" applyFill="1" applyBorder="1" applyAlignment="1">
      <alignment horizontal="center" vertical="center" wrapText="1"/>
    </xf>
    <xf numFmtId="9" fontId="40" fillId="41" borderId="36" xfId="3" applyFont="1" applyFill="1" applyBorder="1" applyAlignment="1">
      <alignment horizontal="center" vertical="center" wrapText="1"/>
    </xf>
    <xf numFmtId="0" fontId="37" fillId="37" borderId="15" xfId="0" applyFont="1" applyFill="1" applyBorder="1" applyAlignment="1">
      <alignment vertical="center" wrapText="1"/>
    </xf>
    <xf numFmtId="0" fontId="38" fillId="37" borderId="15" xfId="0" applyFont="1" applyFill="1" applyBorder="1" applyAlignment="1">
      <alignment vertical="center" wrapText="1"/>
    </xf>
    <xf numFmtId="43" fontId="42" fillId="36" borderId="55" xfId="1" applyFont="1" applyFill="1" applyBorder="1" applyAlignment="1">
      <alignment horizontal="left" wrapText="1"/>
    </xf>
    <xf numFmtId="9" fontId="43" fillId="36" borderId="58" xfId="3" applyFont="1" applyFill="1" applyBorder="1" applyAlignment="1">
      <alignment horizontal="center" wrapText="1"/>
    </xf>
    <xf numFmtId="43" fontId="42" fillId="35" borderId="55" xfId="1" applyFont="1" applyFill="1" applyBorder="1" applyAlignment="1">
      <alignment horizontal="left" wrapText="1"/>
    </xf>
    <xf numFmtId="9" fontId="43" fillId="35" borderId="57" xfId="3" applyFont="1" applyFill="1" applyBorder="1" applyAlignment="1">
      <alignment horizontal="center" wrapText="1"/>
    </xf>
    <xf numFmtId="43" fontId="42" fillId="41" borderId="55" xfId="1" applyFont="1" applyFill="1" applyBorder="1" applyAlignment="1">
      <alignment horizontal="left" wrapText="1"/>
    </xf>
    <xf numFmtId="9" fontId="43" fillId="41" borderId="58" xfId="3" applyFont="1" applyFill="1" applyBorder="1" applyAlignment="1">
      <alignment horizontal="center" wrapText="1"/>
    </xf>
    <xf numFmtId="9" fontId="42" fillId="33" borderId="59" xfId="3" applyFont="1" applyFill="1" applyBorder="1" applyAlignment="1">
      <alignment wrapText="1"/>
    </xf>
    <xf numFmtId="43" fontId="44" fillId="33" borderId="58" xfId="1" applyFont="1" applyFill="1" applyBorder="1"/>
    <xf numFmtId="43" fontId="45" fillId="42" borderId="60" xfId="1" applyFont="1" applyFill="1" applyBorder="1" applyAlignment="1">
      <alignment wrapText="1"/>
    </xf>
    <xf numFmtId="9" fontId="43" fillId="42" borderId="58" xfId="3" applyFont="1" applyFill="1" applyBorder="1" applyAlignment="1">
      <alignment horizontal="center" wrapText="1"/>
    </xf>
    <xf numFmtId="9" fontId="46" fillId="42" borderId="62" xfId="3" applyFont="1" applyFill="1" applyBorder="1" applyAlignment="1">
      <alignment horizontal="center" wrapText="1"/>
    </xf>
    <xf numFmtId="9" fontId="46" fillId="42" borderId="68" xfId="3" applyFont="1" applyFill="1" applyBorder="1" applyAlignment="1">
      <alignment horizontal="center" wrapText="1"/>
    </xf>
    <xf numFmtId="9" fontId="42" fillId="42" borderId="67" xfId="3" applyFont="1" applyFill="1" applyBorder="1" applyAlignment="1">
      <alignment wrapText="1"/>
    </xf>
    <xf numFmtId="43" fontId="44" fillId="42" borderId="68" xfId="1" applyFont="1" applyFill="1" applyBorder="1"/>
    <xf numFmtId="0" fontId="47" fillId="0" borderId="61" xfId="0" applyFont="1" applyBorder="1" applyAlignment="1">
      <alignment horizontal="left" vertical="top" wrapText="1"/>
    </xf>
    <xf numFmtId="0" fontId="47" fillId="0" borderId="62" xfId="0" applyFont="1" applyBorder="1" applyAlignment="1">
      <alignment horizontal="left" vertical="top" wrapText="1"/>
    </xf>
    <xf numFmtId="43" fontId="47" fillId="36" borderId="60" xfId="1" applyFont="1" applyFill="1" applyBorder="1"/>
    <xf numFmtId="43" fontId="47" fillId="36" borderId="61" xfId="1" applyFont="1" applyFill="1" applyBorder="1"/>
    <xf numFmtId="43" fontId="47" fillId="35" borderId="60" xfId="1" applyFont="1" applyFill="1" applyBorder="1" applyAlignment="1">
      <alignment wrapText="1"/>
    </xf>
    <xf numFmtId="43" fontId="47" fillId="35" borderId="61" xfId="1" applyFont="1" applyFill="1" applyBorder="1" applyAlignment="1">
      <alignment wrapText="1"/>
    </xf>
    <xf numFmtId="9" fontId="47" fillId="35" borderId="62" xfId="3" applyFont="1" applyFill="1" applyBorder="1" applyAlignment="1">
      <alignment horizontal="center" wrapText="1"/>
    </xf>
    <xf numFmtId="43" fontId="47" fillId="41" borderId="60" xfId="1" applyFont="1" applyFill="1" applyBorder="1" applyAlignment="1">
      <alignment wrapText="1"/>
    </xf>
    <xf numFmtId="43" fontId="47" fillId="41" borderId="61" xfId="1" applyFont="1" applyFill="1" applyBorder="1" applyAlignment="1">
      <alignment wrapText="1"/>
    </xf>
    <xf numFmtId="9" fontId="47" fillId="41" borderId="68" xfId="3" applyFont="1" applyFill="1" applyBorder="1" applyAlignment="1">
      <alignment horizontal="center" wrapText="1"/>
    </xf>
    <xf numFmtId="9" fontId="47" fillId="0" borderId="67" xfId="0" applyNumberFormat="1" applyFont="1" applyBorder="1" applyAlignment="1">
      <alignment wrapText="1"/>
    </xf>
    <xf numFmtId="43" fontId="47" fillId="0" borderId="68" xfId="1" applyFont="1" applyBorder="1"/>
    <xf numFmtId="0" fontId="47" fillId="0" borderId="61" xfId="0" applyFont="1" applyBorder="1" applyAlignment="1">
      <alignment horizontal="left" vertical="top"/>
    </xf>
    <xf numFmtId="43" fontId="47" fillId="36" borderId="60" xfId="1" applyFont="1" applyFill="1" applyBorder="1" applyAlignment="1">
      <alignment wrapText="1"/>
    </xf>
    <xf numFmtId="43" fontId="47" fillId="36" borderId="61" xfId="1" applyFont="1" applyFill="1" applyBorder="1" applyAlignment="1">
      <alignment wrapText="1"/>
    </xf>
    <xf numFmtId="0" fontId="47" fillId="0" borderId="60" xfId="0" applyFont="1" applyBorder="1" applyAlignment="1">
      <alignment horizontal="left" vertical="top" wrapText="1"/>
    </xf>
    <xf numFmtId="0" fontId="47" fillId="0" borderId="62" xfId="0" applyFont="1" applyBorder="1" applyAlignment="1">
      <alignment vertical="top" wrapText="1"/>
    </xf>
    <xf numFmtId="9" fontId="47" fillId="0" borderId="67" xfId="0" applyNumberFormat="1" applyFont="1" applyBorder="1"/>
    <xf numFmtId="0" fontId="47" fillId="0" borderId="72" xfId="0" applyFont="1" applyBorder="1" applyAlignment="1">
      <alignment horizontal="left" vertical="top" wrapText="1"/>
    </xf>
    <xf numFmtId="0" fontId="47" fillId="39" borderId="62" xfId="0" applyFont="1" applyFill="1" applyBorder="1" applyAlignment="1">
      <alignment vertical="top" wrapText="1"/>
    </xf>
    <xf numFmtId="43" fontId="47" fillId="36" borderId="72" xfId="1" applyFont="1" applyFill="1" applyBorder="1" applyAlignment="1">
      <alignment wrapText="1"/>
    </xf>
    <xf numFmtId="0" fontId="47" fillId="0" borderId="71" xfId="0" applyFont="1" applyBorder="1" applyAlignment="1">
      <alignment vertical="top" wrapText="1"/>
    </xf>
    <xf numFmtId="0" fontId="48" fillId="0" borderId="61" xfId="0" applyFont="1" applyBorder="1" applyAlignment="1">
      <alignment vertical="top" wrapText="1"/>
    </xf>
    <xf numFmtId="0" fontId="48" fillId="0" borderId="61" xfId="0" applyFont="1" applyBorder="1" applyAlignment="1">
      <alignment horizontal="left" vertical="top" wrapText="1"/>
    </xf>
    <xf numFmtId="0" fontId="49" fillId="39" borderId="62" xfId="0" applyFont="1" applyFill="1" applyBorder="1" applyAlignment="1">
      <alignment vertical="top" wrapText="1"/>
    </xf>
    <xf numFmtId="43" fontId="36" fillId="36" borderId="41" xfId="1" applyFont="1" applyFill="1" applyBorder="1"/>
    <xf numFmtId="43" fontId="36" fillId="36" borderId="61" xfId="1" applyFont="1" applyFill="1" applyBorder="1"/>
    <xf numFmtId="43" fontId="36" fillId="35" borderId="60" xfId="1" applyFont="1" applyFill="1" applyBorder="1" applyAlignment="1">
      <alignment wrapText="1"/>
    </xf>
    <xf numFmtId="43" fontId="36" fillId="35" borderId="61" xfId="1" applyFont="1" applyFill="1" applyBorder="1" applyAlignment="1">
      <alignment wrapText="1"/>
    </xf>
    <xf numFmtId="9" fontId="36" fillId="35" borderId="62" xfId="3" applyFont="1" applyFill="1" applyBorder="1" applyAlignment="1">
      <alignment horizontal="center" wrapText="1"/>
    </xf>
    <xf numFmtId="43" fontId="36" fillId="41" borderId="60" xfId="1" applyFont="1" applyFill="1" applyBorder="1" applyAlignment="1">
      <alignment wrapText="1"/>
    </xf>
    <xf numFmtId="43" fontId="36" fillId="41" borderId="61" xfId="1" applyFont="1" applyFill="1" applyBorder="1" applyAlignment="1">
      <alignment wrapText="1"/>
    </xf>
    <xf numFmtId="9" fontId="36" fillId="41" borderId="68" xfId="3" applyFont="1" applyFill="1" applyBorder="1" applyAlignment="1">
      <alignment horizontal="center" wrapText="1"/>
    </xf>
    <xf numFmtId="0" fontId="36" fillId="39" borderId="67" xfId="0" applyFont="1" applyFill="1" applyBorder="1"/>
    <xf numFmtId="43" fontId="36" fillId="0" borderId="68" xfId="1" applyFont="1" applyBorder="1"/>
    <xf numFmtId="0" fontId="36" fillId="39" borderId="0" xfId="0" applyFont="1" applyFill="1" applyAlignment="1">
      <alignment vertical="top"/>
    </xf>
    <xf numFmtId="0" fontId="48" fillId="39" borderId="61" xfId="0" applyFont="1" applyFill="1" applyBorder="1" applyAlignment="1">
      <alignment horizontal="left" vertical="top" wrapText="1"/>
    </xf>
    <xf numFmtId="0" fontId="48" fillId="39" borderId="62" xfId="0" applyFont="1" applyFill="1" applyBorder="1" applyAlignment="1">
      <alignment vertical="top" wrapText="1"/>
    </xf>
    <xf numFmtId="43" fontId="36" fillId="36" borderId="60" xfId="1" applyFont="1" applyFill="1" applyBorder="1"/>
    <xf numFmtId="43" fontId="36" fillId="36" borderId="56" xfId="1" applyFont="1" applyFill="1" applyBorder="1"/>
    <xf numFmtId="0" fontId="36" fillId="0" borderId="67" xfId="0" applyFont="1" applyBorder="1"/>
    <xf numFmtId="43" fontId="36" fillId="36" borderId="60" xfId="1" applyFont="1" applyFill="1" applyBorder="1" applyAlignment="1">
      <alignment wrapText="1"/>
    </xf>
    <xf numFmtId="43" fontId="36" fillId="36" borderId="61" xfId="1" applyFont="1" applyFill="1" applyBorder="1" applyAlignment="1">
      <alignment wrapText="1"/>
    </xf>
    <xf numFmtId="0" fontId="47" fillId="0" borderId="74" xfId="0" applyFont="1" applyBorder="1" applyAlignment="1">
      <alignment horizontal="left" vertical="top" wrapText="1"/>
    </xf>
    <xf numFmtId="43" fontId="36" fillId="36" borderId="71" xfId="1" applyFont="1" applyFill="1" applyBorder="1" applyAlignment="1">
      <alignment wrapText="1"/>
    </xf>
    <xf numFmtId="43" fontId="36" fillId="36" borderId="72" xfId="1" applyFont="1" applyFill="1" applyBorder="1" applyAlignment="1">
      <alignment wrapText="1"/>
    </xf>
    <xf numFmtId="43" fontId="36" fillId="35" borderId="71" xfId="1" applyFont="1" applyFill="1" applyBorder="1" applyAlignment="1">
      <alignment wrapText="1"/>
    </xf>
    <xf numFmtId="43" fontId="36" fillId="35" borderId="72" xfId="1" applyFont="1" applyFill="1" applyBorder="1" applyAlignment="1">
      <alignment wrapText="1"/>
    </xf>
    <xf numFmtId="9" fontId="36" fillId="35" borderId="74" xfId="3" applyFont="1" applyFill="1" applyBorder="1" applyAlignment="1">
      <alignment horizontal="center" wrapText="1"/>
    </xf>
    <xf numFmtId="43" fontId="36" fillId="41" borderId="71" xfId="1" applyFont="1" applyFill="1" applyBorder="1" applyAlignment="1">
      <alignment wrapText="1"/>
    </xf>
    <xf numFmtId="43" fontId="36" fillId="41" borderId="72" xfId="1" applyFont="1" applyFill="1" applyBorder="1" applyAlignment="1">
      <alignment wrapText="1"/>
    </xf>
    <xf numFmtId="9" fontId="36" fillId="41" borderId="75" xfId="3" applyFont="1" applyFill="1" applyBorder="1" applyAlignment="1">
      <alignment horizontal="center" wrapText="1"/>
    </xf>
    <xf numFmtId="0" fontId="47" fillId="39" borderId="72" xfId="0" applyFont="1" applyFill="1" applyBorder="1" applyAlignment="1">
      <alignment horizontal="left" vertical="top" wrapText="1"/>
    </xf>
    <xf numFmtId="0" fontId="47" fillId="39" borderId="74" xfId="0" applyFont="1" applyFill="1" applyBorder="1" applyAlignment="1">
      <alignment horizontal="left" vertical="top" wrapText="1"/>
    </xf>
    <xf numFmtId="43" fontId="36" fillId="36" borderId="71" xfId="1" applyFont="1" applyFill="1" applyBorder="1" applyAlignment="1">
      <alignment horizontal="left" wrapText="1"/>
    </xf>
    <xf numFmtId="43" fontId="36" fillId="36" borderId="72" xfId="1" applyFont="1" applyFill="1" applyBorder="1" applyAlignment="1">
      <alignment horizontal="left" wrapText="1"/>
    </xf>
    <xf numFmtId="43" fontId="36" fillId="35" borderId="71" xfId="1" applyFont="1" applyFill="1" applyBorder="1" applyAlignment="1">
      <alignment horizontal="left" wrapText="1"/>
    </xf>
    <xf numFmtId="43" fontId="36" fillId="35" borderId="72" xfId="1" applyFont="1" applyFill="1" applyBorder="1" applyAlignment="1">
      <alignment horizontal="left" wrapText="1"/>
    </xf>
    <xf numFmtId="0" fontId="36" fillId="39" borderId="0" xfId="0" applyFont="1" applyFill="1" applyAlignment="1">
      <alignment horizontal="left" vertical="top"/>
    </xf>
    <xf numFmtId="0" fontId="47" fillId="39" borderId="61" xfId="0" applyFont="1" applyFill="1" applyBorder="1" applyAlignment="1">
      <alignment horizontal="left" vertical="top" wrapText="1"/>
    </xf>
    <xf numFmtId="0" fontId="47" fillId="39" borderId="62" xfId="0" applyFont="1" applyFill="1" applyBorder="1" applyAlignment="1">
      <alignment horizontal="left" vertical="top" wrapText="1"/>
    </xf>
    <xf numFmtId="43" fontId="36" fillId="36" borderId="60" xfId="1" applyFont="1" applyFill="1" applyBorder="1" applyAlignment="1">
      <alignment horizontal="left" wrapText="1"/>
    </xf>
    <xf numFmtId="43" fontId="36" fillId="36" borderId="61" xfId="1" applyFont="1" applyFill="1" applyBorder="1" applyAlignment="1">
      <alignment horizontal="left" wrapText="1"/>
    </xf>
    <xf numFmtId="43" fontId="36" fillId="35" borderId="60" xfId="1" applyFont="1" applyFill="1" applyBorder="1" applyAlignment="1">
      <alignment horizontal="left" wrapText="1"/>
    </xf>
    <xf numFmtId="43" fontId="36" fillId="35" borderId="61" xfId="1" applyFont="1" applyFill="1" applyBorder="1" applyAlignment="1">
      <alignment horizontal="left" wrapText="1"/>
    </xf>
    <xf numFmtId="43" fontId="36" fillId="41" borderId="60" xfId="1" applyFont="1" applyFill="1" applyBorder="1" applyAlignment="1">
      <alignment horizontal="right" wrapText="1"/>
    </xf>
    <xf numFmtId="43" fontId="36" fillId="41" borderId="61" xfId="1" applyFont="1" applyFill="1" applyBorder="1" applyAlignment="1">
      <alignment horizontal="right" wrapText="1"/>
    </xf>
    <xf numFmtId="43" fontId="50" fillId="35" borderId="60" xfId="1" applyFont="1" applyFill="1" applyBorder="1" applyAlignment="1">
      <alignment wrapText="1"/>
    </xf>
    <xf numFmtId="43" fontId="50" fillId="35" borderId="61" xfId="1" applyFont="1" applyFill="1" applyBorder="1" applyAlignment="1">
      <alignment wrapText="1"/>
    </xf>
    <xf numFmtId="9" fontId="50" fillId="35" borderId="62" xfId="3" applyFont="1" applyFill="1" applyBorder="1" applyAlignment="1">
      <alignment horizontal="center" wrapText="1"/>
    </xf>
    <xf numFmtId="43" fontId="45" fillId="42" borderId="60" xfId="1" applyFont="1" applyFill="1" applyBorder="1" applyAlignment="1">
      <alignment horizontal="right"/>
    </xf>
    <xf numFmtId="43" fontId="45" fillId="42" borderId="61" xfId="1" applyFont="1" applyFill="1" applyBorder="1" applyAlignment="1">
      <alignment horizontal="right"/>
    </xf>
    <xf numFmtId="9" fontId="51" fillId="42" borderId="58" xfId="3" applyFont="1" applyFill="1" applyBorder="1" applyAlignment="1">
      <alignment horizontal="center" wrapText="1"/>
    </xf>
    <xf numFmtId="9" fontId="46" fillId="42" borderId="62" xfId="3" applyFont="1" applyFill="1" applyBorder="1" applyAlignment="1">
      <alignment horizontal="center"/>
    </xf>
    <xf numFmtId="9" fontId="46" fillId="42" borderId="68" xfId="3" applyFont="1" applyFill="1" applyBorder="1" applyAlignment="1">
      <alignment horizontal="center"/>
    </xf>
    <xf numFmtId="9" fontId="45" fillId="42" borderId="67" xfId="3" applyFont="1" applyFill="1" applyBorder="1"/>
    <xf numFmtId="0" fontId="46" fillId="0" borderId="0" xfId="0" applyFont="1" applyAlignment="1">
      <alignment vertical="top"/>
    </xf>
    <xf numFmtId="43" fontId="47" fillId="35" borderId="60" xfId="1" applyFont="1" applyFill="1" applyBorder="1"/>
    <xf numFmtId="43" fontId="47" fillId="35" borderId="61" xfId="1" applyFont="1" applyFill="1" applyBorder="1"/>
    <xf numFmtId="9" fontId="47" fillId="35" borderId="62" xfId="3" applyFont="1" applyFill="1" applyBorder="1" applyAlignment="1">
      <alignment horizontal="center"/>
    </xf>
    <xf numFmtId="43" fontId="47" fillId="41" borderId="60" xfId="1" applyFont="1" applyFill="1" applyBorder="1"/>
    <xf numFmtId="43" fontId="47" fillId="41" borderId="61" xfId="1" applyFont="1" applyFill="1" applyBorder="1"/>
    <xf numFmtId="9" fontId="47" fillId="41" borderId="68" xfId="3" applyFont="1" applyFill="1" applyBorder="1" applyAlignment="1">
      <alignment horizontal="center"/>
    </xf>
    <xf numFmtId="0" fontId="47" fillId="39" borderId="67" xfId="0" applyFont="1" applyFill="1" applyBorder="1" applyAlignment="1">
      <alignment wrapText="1"/>
    </xf>
    <xf numFmtId="0" fontId="36" fillId="0" borderId="61" xfId="0" applyFont="1" applyBorder="1" applyAlignment="1">
      <alignment horizontal="left" vertical="top" wrapText="1"/>
    </xf>
    <xf numFmtId="43" fontId="47" fillId="36" borderId="60" xfId="1" applyFont="1" applyFill="1" applyBorder="1" applyAlignment="1">
      <alignment horizontal="justify"/>
    </xf>
    <xf numFmtId="43" fontId="47" fillId="36" borderId="61" xfId="1" applyFont="1" applyFill="1" applyBorder="1" applyAlignment="1">
      <alignment horizontal="justify"/>
    </xf>
    <xf numFmtId="43" fontId="47" fillId="35" borderId="60" xfId="1" applyFont="1" applyFill="1" applyBorder="1" applyAlignment="1">
      <alignment horizontal="justify"/>
    </xf>
    <xf numFmtId="43" fontId="47" fillId="35" borderId="61" xfId="1" applyFont="1" applyFill="1" applyBorder="1" applyAlignment="1">
      <alignment horizontal="justify"/>
    </xf>
    <xf numFmtId="43" fontId="47" fillId="41" borderId="60" xfId="1" applyFont="1" applyFill="1" applyBorder="1" applyAlignment="1">
      <alignment horizontal="right"/>
    </xf>
    <xf numFmtId="43" fontId="36" fillId="41" borderId="61" xfId="1" applyFont="1" applyFill="1" applyBorder="1" applyAlignment="1">
      <alignment horizontal="right"/>
    </xf>
    <xf numFmtId="43" fontId="47" fillId="41" borderId="61" xfId="1" applyFont="1" applyFill="1" applyBorder="1" applyAlignment="1">
      <alignment horizontal="right"/>
    </xf>
    <xf numFmtId="0" fontId="47" fillId="39" borderId="0" xfId="0" applyFont="1" applyFill="1" applyAlignment="1">
      <alignment vertical="top"/>
    </xf>
    <xf numFmtId="43" fontId="41" fillId="35" borderId="60" xfId="1" applyFont="1" applyFill="1" applyBorder="1" applyAlignment="1">
      <alignment horizontal="justify"/>
    </xf>
    <xf numFmtId="43" fontId="41" fillId="35" borderId="61" xfId="1" applyFont="1" applyFill="1" applyBorder="1" applyAlignment="1">
      <alignment horizontal="justify"/>
    </xf>
    <xf numFmtId="0" fontId="26" fillId="0" borderId="61" xfId="0" applyFont="1" applyBorder="1" applyAlignment="1">
      <alignment vertical="center" wrapText="1"/>
    </xf>
    <xf numFmtId="43" fontId="42" fillId="36" borderId="60" xfId="1" applyFont="1" applyFill="1" applyBorder="1" applyAlignment="1">
      <alignment horizontal="left" wrapText="1"/>
    </xf>
    <xf numFmtId="43" fontId="42" fillId="36" borderId="61" xfId="1" applyFont="1" applyFill="1" applyBorder="1" applyAlignment="1">
      <alignment horizontal="left" wrapText="1"/>
    </xf>
    <xf numFmtId="9" fontId="43" fillId="36" borderId="62" xfId="3" applyFont="1" applyFill="1" applyBorder="1" applyAlignment="1">
      <alignment horizontal="center" wrapText="1"/>
    </xf>
    <xf numFmtId="9" fontId="43" fillId="36" borderId="68" xfId="3" applyFont="1" applyFill="1" applyBorder="1" applyAlignment="1">
      <alignment horizontal="center" wrapText="1"/>
    </xf>
    <xf numFmtId="9" fontId="42" fillId="36" borderId="67" xfId="3" applyFont="1" applyFill="1" applyBorder="1" applyAlignment="1">
      <alignment wrapText="1"/>
    </xf>
    <xf numFmtId="43" fontId="45" fillId="42" borderId="61" xfId="1" applyFont="1" applyFill="1" applyBorder="1" applyAlignment="1">
      <alignment wrapText="1"/>
    </xf>
    <xf numFmtId="9" fontId="45" fillId="42" borderId="67" xfId="3" applyFont="1" applyFill="1" applyBorder="1" applyAlignment="1">
      <alignment wrapText="1"/>
    </xf>
    <xf numFmtId="43" fontId="46" fillId="42" borderId="68" xfId="1" applyFont="1" applyFill="1" applyBorder="1"/>
    <xf numFmtId="0" fontId="41" fillId="0" borderId="60" xfId="0" applyFont="1" applyBorder="1" applyAlignment="1">
      <alignment vertical="top"/>
    </xf>
    <xf numFmtId="0" fontId="40" fillId="0" borderId="61" xfId="0" applyFont="1" applyBorder="1" applyAlignment="1">
      <alignment horizontal="justify" vertical="top" wrapText="1"/>
    </xf>
    <xf numFmtId="43" fontId="45" fillId="35" borderId="60" xfId="1" applyFont="1" applyFill="1" applyBorder="1" applyAlignment="1">
      <alignment horizontal="right"/>
    </xf>
    <xf numFmtId="43" fontId="45" fillId="35" borderId="61" xfId="1" applyFont="1" applyFill="1" applyBorder="1" applyAlignment="1">
      <alignment horizontal="right"/>
    </xf>
    <xf numFmtId="9" fontId="46" fillId="35" borderId="62" xfId="3" applyFont="1" applyFill="1" applyBorder="1" applyAlignment="1">
      <alignment horizontal="center"/>
    </xf>
    <xf numFmtId="43" fontId="45" fillId="41" borderId="60" xfId="1" applyFont="1" applyFill="1" applyBorder="1" applyAlignment="1">
      <alignment horizontal="right"/>
    </xf>
    <xf numFmtId="43" fontId="45" fillId="41" borderId="61" xfId="1" applyFont="1" applyFill="1" applyBorder="1" applyAlignment="1">
      <alignment horizontal="right"/>
    </xf>
    <xf numFmtId="9" fontId="46" fillId="41" borderId="68" xfId="3" applyFont="1" applyFill="1" applyBorder="1" applyAlignment="1">
      <alignment horizontal="center"/>
    </xf>
    <xf numFmtId="3" fontId="45" fillId="0" borderId="67" xfId="1" applyNumberFormat="1" applyFont="1" applyBorder="1"/>
    <xf numFmtId="0" fontId="47" fillId="0" borderId="60" xfId="0" applyFont="1" applyBorder="1" applyAlignment="1">
      <alignment vertical="top"/>
    </xf>
    <xf numFmtId="0" fontId="40" fillId="0" borderId="61" xfId="0" applyFont="1" applyBorder="1" applyAlignment="1">
      <alignment horizontal="justify" vertical="top"/>
    </xf>
    <xf numFmtId="43" fontId="41" fillId="35" borderId="60" xfId="1" applyFont="1" applyFill="1" applyBorder="1" applyAlignment="1">
      <alignment horizontal="right"/>
    </xf>
    <xf numFmtId="43" fontId="41" fillId="35" borderId="61" xfId="1" applyFont="1" applyFill="1" applyBorder="1" applyAlignment="1">
      <alignment horizontal="right"/>
    </xf>
    <xf numFmtId="0" fontId="37" fillId="0" borderId="60" xfId="0" applyFont="1" applyBorder="1" applyAlignment="1">
      <alignment horizontal="left" vertical="center" wrapText="1"/>
    </xf>
    <xf numFmtId="0" fontId="37" fillId="0" borderId="61" xfId="0" applyFont="1" applyBorder="1" applyAlignment="1">
      <alignment horizontal="left" vertical="center" wrapText="1"/>
    </xf>
    <xf numFmtId="43" fontId="36" fillId="35" borderId="60" xfId="1" applyFont="1" applyFill="1" applyBorder="1"/>
    <xf numFmtId="43" fontId="36" fillId="35" borderId="61" xfId="1" applyFont="1" applyFill="1" applyBorder="1"/>
    <xf numFmtId="9" fontId="36" fillId="35" borderId="62" xfId="3" applyFont="1" applyFill="1" applyBorder="1" applyAlignment="1">
      <alignment horizontal="center"/>
    </xf>
    <xf numFmtId="3" fontId="47" fillId="39" borderId="67" xfId="0" applyNumberFormat="1" applyFont="1" applyFill="1" applyBorder="1" applyAlignment="1">
      <alignment wrapText="1"/>
    </xf>
    <xf numFmtId="0" fontId="47" fillId="0" borderId="61" xfId="0" applyFont="1" applyBorder="1" applyAlignment="1">
      <alignment vertical="top"/>
    </xf>
    <xf numFmtId="0" fontId="47" fillId="0" borderId="62" xfId="0" applyFont="1" applyBorder="1" applyAlignment="1">
      <alignment vertical="top"/>
    </xf>
    <xf numFmtId="0" fontId="47" fillId="39" borderId="72" xfId="0" applyFont="1" applyFill="1" applyBorder="1" applyAlignment="1">
      <alignment vertical="top" wrapText="1"/>
    </xf>
    <xf numFmtId="0" fontId="47" fillId="39" borderId="74" xfId="0" applyFont="1" applyFill="1" applyBorder="1" applyAlignment="1">
      <alignment vertical="top" wrapText="1"/>
    </xf>
    <xf numFmtId="0" fontId="47" fillId="39" borderId="62" xfId="0" applyFont="1" applyFill="1" applyBorder="1" applyAlignment="1">
      <alignment vertical="top"/>
    </xf>
    <xf numFmtId="43" fontId="36" fillId="35" borderId="0" xfId="1" applyFont="1" applyFill="1"/>
    <xf numFmtId="9" fontId="36" fillId="35" borderId="0" xfId="3" applyFont="1" applyFill="1" applyAlignment="1">
      <alignment horizontal="center"/>
    </xf>
    <xf numFmtId="43" fontId="0" fillId="41" borderId="41" xfId="1" applyFont="1" applyFill="1" applyBorder="1"/>
    <xf numFmtId="43" fontId="0" fillId="41" borderId="61" xfId="1" applyFont="1" applyFill="1" applyBorder="1"/>
    <xf numFmtId="0" fontId="45" fillId="43" borderId="0" xfId="0" applyFont="1" applyFill="1" applyAlignment="1">
      <alignment vertical="center"/>
    </xf>
    <xf numFmtId="0" fontId="52" fillId="43" borderId="61" xfId="0" applyFont="1" applyFill="1" applyBorder="1" applyAlignment="1">
      <alignment horizontal="justify" vertical="center" wrapText="1"/>
    </xf>
    <xf numFmtId="0" fontId="46" fillId="43" borderId="61" xfId="0" applyFont="1" applyFill="1" applyBorder="1" applyAlignment="1">
      <alignment horizontal="left" vertical="center" wrapText="1"/>
    </xf>
    <xf numFmtId="0" fontId="46" fillId="43" borderId="62" xfId="0" applyFont="1" applyFill="1" applyBorder="1" applyAlignment="1">
      <alignment vertical="center" wrapText="1"/>
    </xf>
    <xf numFmtId="43" fontId="45" fillId="43" borderId="60" xfId="1" applyFont="1" applyFill="1" applyBorder="1" applyAlignment="1">
      <alignment wrapText="1"/>
    </xf>
    <xf numFmtId="43" fontId="45" fillId="43" borderId="61" xfId="1" applyFont="1" applyFill="1" applyBorder="1" applyAlignment="1">
      <alignment wrapText="1"/>
    </xf>
    <xf numFmtId="9" fontId="46" fillId="43" borderId="62" xfId="3" applyFont="1" applyFill="1" applyBorder="1" applyAlignment="1">
      <alignment horizontal="center" wrapText="1"/>
    </xf>
    <xf numFmtId="9" fontId="46" fillId="43" borderId="68" xfId="3" applyFont="1" applyFill="1" applyBorder="1" applyAlignment="1">
      <alignment horizontal="center" wrapText="1"/>
    </xf>
    <xf numFmtId="9" fontId="46" fillId="43" borderId="67" xfId="3" applyFont="1" applyFill="1" applyBorder="1" applyAlignment="1">
      <alignment wrapText="1"/>
    </xf>
    <xf numFmtId="43" fontId="46" fillId="43" borderId="68" xfId="1" applyFont="1" applyFill="1" applyBorder="1"/>
    <xf numFmtId="0" fontId="40" fillId="0" borderId="61" xfId="0" applyFont="1" applyBorder="1" applyAlignment="1">
      <alignment horizontal="left" vertical="center" wrapText="1"/>
    </xf>
    <xf numFmtId="0" fontId="40" fillId="0" borderId="62" xfId="0" applyFont="1" applyBorder="1" applyAlignment="1">
      <alignment horizontal="left" vertical="center" wrapText="1"/>
    </xf>
    <xf numFmtId="3" fontId="47" fillId="0" borderId="67" xfId="0" applyNumberFormat="1" applyFont="1" applyBorder="1" applyAlignment="1">
      <alignment wrapText="1"/>
    </xf>
    <xf numFmtId="0" fontId="40" fillId="0" borderId="61" xfId="0" applyFont="1" applyBorder="1" applyAlignment="1">
      <alignment horizontal="left" vertical="top" wrapText="1"/>
    </xf>
    <xf numFmtId="0" fontId="40" fillId="0" borderId="62" xfId="0" applyFont="1" applyBorder="1" applyAlignment="1">
      <alignment horizontal="left" vertical="top" wrapText="1"/>
    </xf>
    <xf numFmtId="0" fontId="38" fillId="0" borderId="71" xfId="0" applyFont="1" applyBorder="1" applyAlignment="1">
      <alignment horizontal="left" vertical="center" wrapText="1"/>
    </xf>
    <xf numFmtId="0" fontId="53" fillId="0" borderId="61" xfId="0" applyFont="1" applyBorder="1" applyAlignment="1">
      <alignment horizontal="left" vertical="top" wrapText="1"/>
    </xf>
    <xf numFmtId="0" fontId="36" fillId="0" borderId="61" xfId="0" applyFont="1" applyBorder="1" applyAlignment="1">
      <alignment horizontal="left" vertical="center" wrapText="1"/>
    </xf>
    <xf numFmtId="43" fontId="50" fillId="36" borderId="60" xfId="1" applyFont="1" applyFill="1" applyBorder="1"/>
    <xf numFmtId="43" fontId="50" fillId="36" borderId="61" xfId="1" applyFont="1" applyFill="1" applyBorder="1"/>
    <xf numFmtId="43" fontId="50" fillId="41" borderId="60" xfId="1" applyFont="1" applyFill="1" applyBorder="1" applyAlignment="1">
      <alignment wrapText="1"/>
    </xf>
    <xf numFmtId="43" fontId="50" fillId="41" borderId="61" xfId="1" applyFont="1" applyFill="1" applyBorder="1" applyAlignment="1">
      <alignment wrapText="1"/>
    </xf>
    <xf numFmtId="9" fontId="50" fillId="41" borderId="68" xfId="3" applyFont="1" applyFill="1" applyBorder="1" applyAlignment="1">
      <alignment horizontal="center" wrapText="1"/>
    </xf>
    <xf numFmtId="3" fontId="50" fillId="0" borderId="67" xfId="0" applyNumberFormat="1" applyFont="1" applyBorder="1" applyAlignment="1">
      <alignment wrapText="1"/>
    </xf>
    <xf numFmtId="43" fontId="50" fillId="0" borderId="68" xfId="1" applyFont="1" applyBorder="1"/>
    <xf numFmtId="3" fontId="50" fillId="39" borderId="0" xfId="0" applyNumberFormat="1" applyFont="1" applyFill="1" applyAlignment="1">
      <alignment vertical="top"/>
    </xf>
    <xf numFmtId="0" fontId="50" fillId="39" borderId="0" xfId="0" applyFont="1" applyFill="1" applyAlignment="1">
      <alignment vertical="top"/>
    </xf>
    <xf numFmtId="0" fontId="38" fillId="0" borderId="73" xfId="0" applyFont="1" applyBorder="1" applyAlignment="1">
      <alignment horizontal="left" vertical="center" wrapText="1"/>
    </xf>
    <xf numFmtId="0" fontId="36" fillId="0" borderId="0" xfId="0" applyFont="1" applyAlignment="1">
      <alignment horizontal="left" vertical="center" wrapText="1"/>
    </xf>
    <xf numFmtId="3" fontId="54" fillId="39" borderId="0" xfId="0" applyNumberFormat="1" applyFont="1" applyFill="1" applyAlignment="1">
      <alignment vertical="top"/>
    </xf>
    <xf numFmtId="0" fontId="54" fillId="39" borderId="0" xfId="0" applyFont="1" applyFill="1" applyAlignment="1">
      <alignment vertical="top"/>
    </xf>
    <xf numFmtId="0" fontId="38" fillId="0" borderId="72" xfId="0" applyFont="1" applyBorder="1" applyAlignment="1">
      <alignment horizontal="left" vertical="center" wrapText="1"/>
    </xf>
    <xf numFmtId="0" fontId="53" fillId="0" borderId="61" xfId="0" applyFont="1" applyBorder="1" applyAlignment="1">
      <alignment vertical="top" wrapText="1"/>
    </xf>
    <xf numFmtId="0" fontId="24" fillId="0" borderId="61" xfId="0" applyFont="1" applyBorder="1" applyAlignment="1">
      <alignment vertical="top" wrapText="1"/>
    </xf>
    <xf numFmtId="0" fontId="29" fillId="0" borderId="62" xfId="45" applyFont="1" applyBorder="1" applyAlignment="1">
      <alignment horizontal="left" vertical="top" wrapText="1"/>
    </xf>
    <xf numFmtId="0" fontId="38" fillId="0" borderId="26" xfId="0" applyFont="1" applyBorder="1" applyAlignment="1">
      <alignment horizontal="left" vertical="center" wrapText="1"/>
    </xf>
    <xf numFmtId="43" fontId="50" fillId="36" borderId="60" xfId="1" applyFont="1" applyFill="1" applyBorder="1" applyAlignment="1">
      <alignment wrapText="1"/>
    </xf>
    <xf numFmtId="43" fontId="50" fillId="36" borderId="61" xfId="1" applyFont="1" applyFill="1" applyBorder="1" applyAlignment="1">
      <alignment wrapText="1"/>
    </xf>
    <xf numFmtId="43" fontId="50" fillId="35" borderId="61" xfId="1" applyFont="1" applyFill="1" applyBorder="1"/>
    <xf numFmtId="0" fontId="38" fillId="0" borderId="56" xfId="0" applyFont="1" applyBorder="1" applyAlignment="1">
      <alignment horizontal="left" vertical="center" wrapText="1"/>
    </xf>
    <xf numFmtId="37" fontId="50" fillId="39" borderId="0" xfId="0" applyNumberFormat="1" applyFont="1" applyFill="1" applyAlignment="1">
      <alignment vertical="top" wrapText="1"/>
    </xf>
    <xf numFmtId="0" fontId="37" fillId="0" borderId="59" xfId="0" applyFont="1" applyBorder="1" applyAlignment="1">
      <alignment horizontal="left" vertical="center" wrapText="1"/>
    </xf>
    <xf numFmtId="0" fontId="47" fillId="0" borderId="61" xfId="0" applyFont="1" applyBorder="1" applyAlignment="1">
      <alignment horizontal="left" vertical="center" wrapText="1"/>
    </xf>
    <xf numFmtId="0" fontId="54" fillId="39" borderId="0" xfId="0" applyFont="1" applyFill="1" applyAlignment="1">
      <alignment vertical="top" wrapText="1"/>
    </xf>
    <xf numFmtId="0" fontId="47" fillId="0" borderId="61" xfId="0" applyFont="1" applyBorder="1" applyAlignment="1">
      <alignment vertical="center" wrapText="1"/>
    </xf>
    <xf numFmtId="43" fontId="47" fillId="36" borderId="41" xfId="1" applyFont="1" applyFill="1" applyBorder="1"/>
    <xf numFmtId="9" fontId="56" fillId="42" borderId="58" xfId="3" applyFont="1" applyFill="1" applyBorder="1" applyAlignment="1">
      <alignment horizontal="center" wrapText="1"/>
    </xf>
    <xf numFmtId="9" fontId="45" fillId="43" borderId="67" xfId="3" applyFont="1" applyFill="1" applyBorder="1" applyAlignment="1">
      <alignment wrapText="1"/>
    </xf>
    <xf numFmtId="43" fontId="36" fillId="43" borderId="68" xfId="1" applyFont="1" applyFill="1" applyBorder="1"/>
    <xf numFmtId="10" fontId="36" fillId="0" borderId="0" xfId="3" applyNumberFormat="1" applyFont="1" applyAlignment="1">
      <alignment vertical="top"/>
    </xf>
    <xf numFmtId="43" fontId="47" fillId="35" borderId="41" xfId="1" applyFont="1" applyFill="1" applyBorder="1"/>
    <xf numFmtId="9" fontId="47" fillId="35" borderId="0" xfId="3" applyFont="1" applyFill="1" applyAlignment="1">
      <alignment horizontal="center"/>
    </xf>
    <xf numFmtId="0" fontId="36" fillId="0" borderId="67" xfId="0" applyFont="1" applyBorder="1" applyAlignment="1">
      <alignment wrapText="1"/>
    </xf>
    <xf numFmtId="9" fontId="47" fillId="36" borderId="68" xfId="3" applyFont="1" applyFill="1" applyBorder="1" applyAlignment="1">
      <alignment horizontal="center" wrapText="1"/>
    </xf>
    <xf numFmtId="0" fontId="47" fillId="0" borderId="67" xfId="0" applyFont="1" applyBorder="1" applyAlignment="1">
      <alignment wrapText="1"/>
    </xf>
    <xf numFmtId="0" fontId="47" fillId="0" borderId="0" xfId="0" applyFont="1" applyAlignment="1">
      <alignment vertical="top"/>
    </xf>
    <xf numFmtId="0" fontId="47" fillId="0" borderId="74" xfId="0" applyFont="1" applyBorder="1" applyAlignment="1">
      <alignment vertical="top" wrapText="1"/>
    </xf>
    <xf numFmtId="43" fontId="47" fillId="36" borderId="71" xfId="1" applyFont="1" applyFill="1" applyBorder="1" applyAlignment="1">
      <alignment wrapText="1"/>
    </xf>
    <xf numFmtId="9" fontId="47" fillId="36" borderId="75" xfId="3" applyFont="1" applyFill="1" applyBorder="1" applyAlignment="1">
      <alignment horizontal="center" wrapText="1"/>
    </xf>
    <xf numFmtId="43" fontId="47" fillId="35" borderId="71" xfId="1" applyFont="1" applyFill="1" applyBorder="1" applyAlignment="1">
      <alignment wrapText="1"/>
    </xf>
    <xf numFmtId="43" fontId="47" fillId="35" borderId="72" xfId="1" applyFont="1" applyFill="1" applyBorder="1" applyAlignment="1">
      <alignment wrapText="1"/>
    </xf>
    <xf numFmtId="9" fontId="47" fillId="35" borderId="74" xfId="3" applyFont="1" applyFill="1" applyBorder="1" applyAlignment="1">
      <alignment horizontal="center" wrapText="1"/>
    </xf>
    <xf numFmtId="43" fontId="47" fillId="41" borderId="71" xfId="1" applyFont="1" applyFill="1" applyBorder="1" applyAlignment="1">
      <alignment wrapText="1"/>
    </xf>
    <xf numFmtId="43" fontId="47" fillId="41" borderId="72" xfId="1" applyFont="1" applyFill="1" applyBorder="1" applyAlignment="1">
      <alignment wrapText="1"/>
    </xf>
    <xf numFmtId="0" fontId="47" fillId="0" borderId="73" xfId="0" applyFont="1" applyBorder="1" applyAlignment="1">
      <alignment wrapText="1"/>
    </xf>
    <xf numFmtId="43" fontId="47" fillId="0" borderId="75" xfId="1" applyFont="1" applyBorder="1"/>
    <xf numFmtId="43" fontId="38" fillId="37" borderId="34" xfId="1" applyFont="1" applyFill="1" applyBorder="1"/>
    <xf numFmtId="9" fontId="38" fillId="37" borderId="36" xfId="3" applyFont="1" applyFill="1" applyBorder="1" applyAlignment="1">
      <alignment horizontal="center"/>
    </xf>
    <xf numFmtId="43" fontId="38" fillId="37" borderId="13" xfId="1" applyFont="1" applyFill="1" applyBorder="1"/>
    <xf numFmtId="43" fontId="38" fillId="37" borderId="76" xfId="1" applyFont="1" applyFill="1" applyBorder="1"/>
    <xf numFmtId="9" fontId="38" fillId="37" borderId="77" xfId="3" applyFont="1" applyFill="1" applyBorder="1" applyAlignment="1">
      <alignment horizontal="center"/>
    </xf>
    <xf numFmtId="4" fontId="38" fillId="37" borderId="35" xfId="1" applyNumberFormat="1" applyFont="1" applyFill="1" applyBorder="1"/>
    <xf numFmtId="43" fontId="44" fillId="37" borderId="36" xfId="1" applyFont="1" applyFill="1" applyBorder="1"/>
    <xf numFmtId="0" fontId="40" fillId="39" borderId="48" xfId="0" applyFont="1" applyFill="1" applyBorder="1" applyAlignment="1">
      <alignment horizontal="left" vertical="top"/>
    </xf>
    <xf numFmtId="0" fontId="40" fillId="39" borderId="26" xfId="0" applyFont="1" applyFill="1" applyBorder="1" applyAlignment="1">
      <alignment horizontal="left" vertical="top"/>
    </xf>
    <xf numFmtId="0" fontId="40" fillId="39" borderId="26" xfId="0" applyFont="1" applyFill="1" applyBorder="1" applyAlignment="1">
      <alignment horizontal="left" vertical="top" wrapText="1"/>
    </xf>
    <xf numFmtId="0" fontId="40" fillId="39" borderId="27" xfId="0" applyFont="1" applyFill="1" applyBorder="1" applyAlignment="1">
      <alignment vertical="top"/>
    </xf>
    <xf numFmtId="43" fontId="38" fillId="36" borderId="48" xfId="1" applyFont="1" applyFill="1" applyBorder="1" applyAlignment="1">
      <alignment wrapText="1"/>
    </xf>
    <xf numFmtId="43" fontId="38" fillId="36" borderId="26" xfId="1" applyFont="1" applyFill="1" applyBorder="1" applyAlignment="1">
      <alignment wrapText="1"/>
    </xf>
    <xf numFmtId="9" fontId="38" fillId="36" borderId="49" xfId="3" applyFont="1" applyFill="1" applyBorder="1" applyAlignment="1">
      <alignment horizontal="center" wrapText="1"/>
    </xf>
    <xf numFmtId="43" fontId="38" fillId="35" borderId="41" xfId="1" applyFont="1" applyFill="1" applyBorder="1" applyAlignment="1">
      <alignment wrapText="1"/>
    </xf>
    <xf numFmtId="43" fontId="38" fillId="35" borderId="26" xfId="1" applyFont="1" applyFill="1" applyBorder="1" applyAlignment="1">
      <alignment wrapText="1"/>
    </xf>
    <xf numFmtId="9" fontId="38" fillId="35" borderId="27" xfId="3" applyFont="1" applyFill="1" applyBorder="1" applyAlignment="1">
      <alignment horizontal="center" wrapText="1"/>
    </xf>
    <xf numFmtId="43" fontId="38" fillId="41" borderId="48" xfId="1" applyFont="1" applyFill="1" applyBorder="1" applyAlignment="1">
      <alignment wrapText="1"/>
    </xf>
    <xf numFmtId="43" fontId="38" fillId="41" borderId="26" xfId="1" applyFont="1" applyFill="1" applyBorder="1" applyAlignment="1">
      <alignment wrapText="1"/>
    </xf>
    <xf numFmtId="9" fontId="38" fillId="41" borderId="49" xfId="3" applyFont="1" applyFill="1" applyBorder="1" applyAlignment="1">
      <alignment horizontal="center" wrapText="1"/>
    </xf>
    <xf numFmtId="0" fontId="38" fillId="39" borderId="25" xfId="0" applyFont="1" applyFill="1" applyBorder="1" applyAlignment="1">
      <alignment wrapText="1"/>
    </xf>
    <xf numFmtId="43" fontId="53" fillId="39" borderId="49" xfId="1" applyFont="1" applyFill="1" applyBorder="1"/>
    <xf numFmtId="0" fontId="53" fillId="0" borderId="0" xfId="0" applyFont="1" applyAlignment="1">
      <alignment vertical="top"/>
    </xf>
    <xf numFmtId="166" fontId="38" fillId="37" borderId="35" xfId="2" applyNumberFormat="1" applyFont="1" applyFill="1" applyBorder="1"/>
    <xf numFmtId="43" fontId="38" fillId="37" borderId="36" xfId="1" applyFont="1" applyFill="1" applyBorder="1"/>
    <xf numFmtId="44" fontId="53" fillId="0" borderId="0" xfId="0" applyNumberFormat="1" applyFont="1" applyAlignment="1">
      <alignment vertical="top"/>
    </xf>
    <xf numFmtId="0" fontId="36" fillId="0" borderId="0" xfId="0" applyFont="1" applyAlignment="1">
      <alignment horizontal="left" vertical="top"/>
    </xf>
    <xf numFmtId="43" fontId="36" fillId="0" borderId="0" xfId="1" applyFont="1" applyAlignment="1">
      <alignment vertical="top"/>
    </xf>
    <xf numFmtId="9" fontId="36" fillId="0" borderId="0" xfId="3" applyFont="1" applyAlignment="1">
      <alignment horizontal="center" vertical="top"/>
    </xf>
    <xf numFmtId="167" fontId="36" fillId="0" borderId="0" xfId="2" applyNumberFormat="1" applyFont="1" applyAlignment="1">
      <alignment vertical="top"/>
    </xf>
    <xf numFmtId="9" fontId="36" fillId="0" borderId="0" xfId="3" applyFont="1" applyAlignment="1">
      <alignment vertical="top"/>
    </xf>
    <xf numFmtId="3" fontId="58" fillId="0" borderId="0" xfId="0" applyNumberFormat="1" applyFont="1"/>
    <xf numFmtId="9" fontId="58" fillId="0" borderId="0" xfId="3" applyFont="1"/>
    <xf numFmtId="168" fontId="36" fillId="0" borderId="0" xfId="0" applyNumberFormat="1" applyFont="1" applyAlignment="1">
      <alignment vertical="top"/>
    </xf>
    <xf numFmtId="169" fontId="36" fillId="0" borderId="0" xfId="1" applyNumberFormat="1" applyFont="1" applyAlignment="1">
      <alignment horizontal="left" vertical="top"/>
    </xf>
    <xf numFmtId="9" fontId="36" fillId="0" borderId="0" xfId="3" applyFont="1" applyAlignment="1">
      <alignment horizontal="left" vertical="top"/>
    </xf>
    <xf numFmtId="0" fontId="16" fillId="33" borderId="15" xfId="0" applyFont="1" applyFill="1" applyBorder="1" applyAlignment="1">
      <alignment horizontal="center" vertical="center" wrapText="1"/>
    </xf>
    <xf numFmtId="0" fontId="23" fillId="33" borderId="47" xfId="0" applyFont="1" applyFill="1" applyBorder="1" applyAlignment="1">
      <alignment horizontal="center" vertical="center" wrapText="1"/>
    </xf>
    <xf numFmtId="0" fontId="24" fillId="0" borderId="54" xfId="0" applyFont="1" applyBorder="1" applyAlignment="1">
      <alignment wrapText="1"/>
    </xf>
    <xf numFmtId="43" fontId="25" fillId="36" borderId="55" xfId="1" applyFont="1" applyFill="1" applyBorder="1" applyAlignment="1">
      <alignment horizontal="right" wrapText="1"/>
    </xf>
    <xf numFmtId="43" fontId="25" fillId="36" borderId="56" xfId="1" applyFont="1" applyFill="1" applyBorder="1" applyAlignment="1">
      <alignment horizontal="right" wrapText="1"/>
    </xf>
    <xf numFmtId="9" fontId="25" fillId="36" borderId="57" xfId="3" applyFont="1" applyFill="1" applyBorder="1" applyAlignment="1">
      <alignment horizontal="right" wrapText="1"/>
    </xf>
    <xf numFmtId="43" fontId="24" fillId="36" borderId="55" xfId="3" applyNumberFormat="1" applyFont="1" applyFill="1" applyBorder="1" applyAlignment="1">
      <alignment horizontal="right" wrapText="1"/>
    </xf>
    <xf numFmtId="9" fontId="25" fillId="36" borderId="56" xfId="3" applyFont="1" applyFill="1" applyBorder="1" applyAlignment="1">
      <alignment horizontal="right" wrapText="1"/>
    </xf>
    <xf numFmtId="43" fontId="24" fillId="36" borderId="58" xfId="3" applyNumberFormat="1" applyFont="1" applyFill="1" applyBorder="1" applyAlignment="1">
      <alignment horizontal="right" wrapText="1"/>
    </xf>
    <xf numFmtId="43" fontId="26" fillId="38" borderId="59" xfId="1" applyFont="1" applyFill="1" applyBorder="1" applyAlignment="1">
      <alignment horizontal="right" wrapText="1"/>
    </xf>
    <xf numFmtId="43" fontId="26" fillId="38" borderId="56" xfId="1" applyFont="1" applyFill="1" applyBorder="1" applyAlignment="1">
      <alignment horizontal="right" wrapText="1"/>
    </xf>
    <xf numFmtId="9" fontId="26" fillId="38" borderId="57" xfId="3" applyFont="1" applyFill="1" applyBorder="1" applyAlignment="1">
      <alignment horizontal="right" wrapText="1"/>
    </xf>
    <xf numFmtId="43" fontId="26" fillId="38" borderId="60" xfId="3" applyNumberFormat="1" applyFont="1" applyFill="1" applyBorder="1" applyAlignment="1">
      <alignment horizontal="right" wrapText="1"/>
    </xf>
    <xf numFmtId="9" fontId="26" fillId="38" borderId="61" xfId="3" applyFont="1" applyFill="1" applyBorder="1" applyAlignment="1">
      <alignment horizontal="right" wrapText="1"/>
    </xf>
    <xf numFmtId="43" fontId="26" fillId="38" borderId="62" xfId="3" applyNumberFormat="1" applyFont="1" applyFill="1" applyBorder="1" applyAlignment="1">
      <alignment horizontal="right" wrapText="1"/>
    </xf>
    <xf numFmtId="43" fontId="26" fillId="34" borderId="28" xfId="1" applyFont="1" applyFill="1" applyBorder="1" applyAlignment="1">
      <alignment horizontal="right" wrapText="1"/>
    </xf>
    <xf numFmtId="43" fontId="26" fillId="34" borderId="18" xfId="1" applyFont="1" applyFill="1" applyBorder="1" applyAlignment="1">
      <alignment horizontal="right" wrapText="1"/>
    </xf>
    <xf numFmtId="43" fontId="26" fillId="34" borderId="19" xfId="1" applyFont="1" applyFill="1" applyBorder="1" applyAlignment="1">
      <alignment horizontal="right" wrapText="1"/>
    </xf>
    <xf numFmtId="43" fontId="25" fillId="34" borderId="28" xfId="1" applyFont="1" applyFill="1" applyBorder="1" applyAlignment="1">
      <alignment horizontal="right" wrapText="1"/>
    </xf>
    <xf numFmtId="43" fontId="26" fillId="34" borderId="18" xfId="3" applyNumberFormat="1" applyFont="1" applyFill="1" applyBorder="1" applyAlignment="1">
      <alignment horizontal="right" wrapText="1"/>
    </xf>
    <xf numFmtId="164" fontId="25" fillId="34" borderId="18" xfId="3" applyNumberFormat="1" applyFont="1" applyFill="1" applyBorder="1" applyAlignment="1">
      <alignment horizontal="right" wrapText="1"/>
    </xf>
    <xf numFmtId="43" fontId="26" fillId="34" borderId="29" xfId="3" applyNumberFormat="1" applyFont="1" applyFill="1" applyBorder="1" applyAlignment="1">
      <alignment horizontal="right" wrapText="1"/>
    </xf>
    <xf numFmtId="43" fontId="26" fillId="34" borderId="55" xfId="3" applyNumberFormat="1" applyFont="1" applyFill="1" applyBorder="1" applyAlignment="1">
      <alignment horizontal="right" wrapText="1"/>
    </xf>
    <xf numFmtId="43" fontId="26" fillId="34" borderId="56" xfId="3" applyNumberFormat="1" applyFont="1" applyFill="1" applyBorder="1" applyAlignment="1">
      <alignment horizontal="right" wrapText="1"/>
    </xf>
    <xf numFmtId="9" fontId="26" fillId="34" borderId="58" xfId="3" applyFont="1" applyFill="1" applyBorder="1" applyAlignment="1">
      <alignment horizontal="right" wrapText="1"/>
    </xf>
    <xf numFmtId="43" fontId="27" fillId="35" borderId="63" xfId="0" applyNumberFormat="1" applyFont="1" applyFill="1" applyBorder="1" applyAlignment="1"/>
    <xf numFmtId="43" fontId="27" fillId="35" borderId="18" xfId="0" applyNumberFormat="1" applyFont="1" applyFill="1" applyBorder="1" applyAlignment="1"/>
    <xf numFmtId="43" fontId="27" fillId="35" borderId="29" xfId="0" applyNumberFormat="1" applyFont="1" applyFill="1" applyBorder="1" applyAlignment="1"/>
    <xf numFmtId="43" fontId="27" fillId="35" borderId="64" xfId="0" applyNumberFormat="1" applyFont="1" applyFill="1" applyBorder="1" applyAlignment="1"/>
    <xf numFmtId="43" fontId="27" fillId="35" borderId="65" xfId="0" applyNumberFormat="1" applyFont="1" applyFill="1" applyBorder="1" applyAlignment="1"/>
    <xf numFmtId="43" fontId="26" fillId="35" borderId="28" xfId="3" applyNumberFormat="1" applyFont="1" applyFill="1" applyBorder="1" applyAlignment="1">
      <alignment horizontal="right" wrapText="1"/>
    </xf>
    <xf numFmtId="43" fontId="26" fillId="35" borderId="18" xfId="3" applyNumberFormat="1" applyFont="1" applyFill="1" applyBorder="1" applyAlignment="1">
      <alignment horizontal="right" wrapText="1"/>
    </xf>
    <xf numFmtId="43" fontId="26" fillId="35" borderId="29" xfId="3" applyNumberFormat="1" applyFont="1" applyFill="1" applyBorder="1" applyAlignment="1">
      <alignment horizontal="right" wrapText="1"/>
    </xf>
    <xf numFmtId="43" fontId="27" fillId="36" borderId="64" xfId="0" applyNumberFormat="1" applyFont="1" applyFill="1" applyBorder="1" applyAlignment="1"/>
    <xf numFmtId="43" fontId="27" fillId="36" borderId="18" xfId="0" applyNumberFormat="1" applyFont="1" applyFill="1" applyBorder="1" applyAlignment="1"/>
    <xf numFmtId="43" fontId="28" fillId="36" borderId="23" xfId="0" applyNumberFormat="1" applyFont="1" applyFill="1" applyBorder="1" applyAlignment="1"/>
    <xf numFmtId="43" fontId="27" fillId="36" borderId="11" xfId="0" applyNumberFormat="1" applyFont="1" applyFill="1" applyBorder="1" applyAlignment="1"/>
    <xf numFmtId="9" fontId="27" fillId="36" borderId="12" xfId="3" applyFont="1" applyFill="1" applyBorder="1" applyAlignment="1"/>
    <xf numFmtId="43" fontId="26" fillId="37" borderId="55" xfId="1" applyFont="1" applyFill="1" applyBorder="1" applyAlignment="1">
      <alignment horizontal="right" wrapText="1"/>
    </xf>
    <xf numFmtId="43" fontId="26" fillId="37" borderId="56" xfId="1" applyFont="1" applyFill="1" applyBorder="1" applyAlignment="1">
      <alignment horizontal="right" wrapText="1"/>
    </xf>
    <xf numFmtId="43" fontId="26" fillId="37" borderId="57" xfId="1" applyFont="1" applyFill="1" applyBorder="1" applyAlignment="1">
      <alignment horizontal="right" wrapText="1"/>
    </xf>
    <xf numFmtId="43" fontId="27" fillId="37" borderId="55" xfId="0" applyNumberFormat="1" applyFont="1" applyFill="1" applyBorder="1" applyAlignment="1"/>
    <xf numFmtId="43" fontId="27" fillId="37" borderId="56" xfId="0" applyNumberFormat="1" applyFont="1" applyFill="1" applyBorder="1" applyAlignment="1"/>
    <xf numFmtId="9" fontId="27" fillId="37" borderId="58" xfId="3" applyFont="1" applyFill="1" applyBorder="1" applyAlignment="1"/>
    <xf numFmtId="0" fontId="0" fillId="0" borderId="0" xfId="0" applyAlignment="1"/>
    <xf numFmtId="0" fontId="24" fillId="0" borderId="66" xfId="0" applyFont="1" applyBorder="1" applyAlignment="1">
      <alignment wrapText="1"/>
    </xf>
    <xf numFmtId="43" fontId="26" fillId="36" borderId="60" xfId="1" applyFont="1" applyFill="1" applyBorder="1" applyAlignment="1">
      <alignment horizontal="right" wrapText="1"/>
    </xf>
    <xf numFmtId="43" fontId="26" fillId="36" borderId="61" xfId="1" applyFont="1" applyFill="1" applyBorder="1" applyAlignment="1">
      <alignment horizontal="right" wrapText="1"/>
    </xf>
    <xf numFmtId="9" fontId="26" fillId="36" borderId="57" xfId="3" applyFont="1" applyFill="1" applyBorder="1" applyAlignment="1">
      <alignment horizontal="right" wrapText="1"/>
    </xf>
    <xf numFmtId="9" fontId="26" fillId="36" borderId="61" xfId="3" applyFont="1" applyFill="1" applyBorder="1" applyAlignment="1">
      <alignment horizontal="right" wrapText="1"/>
    </xf>
    <xf numFmtId="43" fontId="26" fillId="38" borderId="67" xfId="1" applyFont="1" applyFill="1" applyBorder="1" applyAlignment="1">
      <alignment horizontal="right" wrapText="1"/>
    </xf>
    <xf numFmtId="43" fontId="26" fillId="38" borderId="61" xfId="1" applyFont="1" applyFill="1" applyBorder="1" applyAlignment="1">
      <alignment horizontal="center" wrapText="1"/>
    </xf>
    <xf numFmtId="43" fontId="26" fillId="38" borderId="61" xfId="1" applyFont="1" applyFill="1" applyBorder="1" applyAlignment="1">
      <alignment horizontal="right" wrapText="1"/>
    </xf>
    <xf numFmtId="43" fontId="26" fillId="34" borderId="60" xfId="1" applyFont="1" applyFill="1" applyBorder="1" applyAlignment="1">
      <alignment horizontal="right" wrapText="1"/>
    </xf>
    <xf numFmtId="43" fontId="26" fillId="34" borderId="61" xfId="1" applyFont="1" applyFill="1" applyBorder="1" applyAlignment="1">
      <alignment horizontal="right" wrapText="1"/>
    </xf>
    <xf numFmtId="43" fontId="26" fillId="34" borderId="62" xfId="1" applyFont="1" applyFill="1" applyBorder="1" applyAlignment="1">
      <alignment horizontal="right" wrapText="1"/>
    </xf>
    <xf numFmtId="43" fontId="25" fillId="34" borderId="60" xfId="1" applyFont="1" applyFill="1" applyBorder="1" applyAlignment="1">
      <alignment horizontal="right" wrapText="1"/>
    </xf>
    <xf numFmtId="43" fontId="26" fillId="34" borderId="61" xfId="3" applyNumberFormat="1" applyFont="1" applyFill="1" applyBorder="1" applyAlignment="1">
      <alignment horizontal="right" wrapText="1"/>
    </xf>
    <xf numFmtId="164" fontId="25" fillId="34" borderId="61" xfId="3" applyNumberFormat="1" applyFont="1" applyFill="1" applyBorder="1" applyAlignment="1">
      <alignment horizontal="right" wrapText="1"/>
    </xf>
    <xf numFmtId="43" fontId="26" fillId="34" borderId="68" xfId="3" applyNumberFormat="1" applyFont="1" applyFill="1" applyBorder="1" applyAlignment="1">
      <alignment horizontal="right" wrapText="1"/>
    </xf>
    <xf numFmtId="43" fontId="26" fillId="34" borderId="60" xfId="3" applyNumberFormat="1" applyFont="1" applyFill="1" applyBorder="1" applyAlignment="1">
      <alignment horizontal="right" wrapText="1"/>
    </xf>
    <xf numFmtId="43" fontId="27" fillId="35" borderId="59" xfId="0" applyNumberFormat="1" applyFont="1" applyFill="1" applyBorder="1" applyAlignment="1"/>
    <xf numFmtId="43" fontId="27" fillId="35" borderId="56" xfId="0" applyNumberFormat="1" applyFont="1" applyFill="1" applyBorder="1" applyAlignment="1"/>
    <xf numFmtId="43" fontId="27" fillId="35" borderId="58" xfId="0" applyNumberFormat="1" applyFont="1" applyFill="1" applyBorder="1" applyAlignment="1"/>
    <xf numFmtId="43" fontId="27" fillId="35" borderId="54" xfId="0" applyNumberFormat="1" applyFont="1" applyFill="1" applyBorder="1" applyAlignment="1"/>
    <xf numFmtId="43" fontId="27" fillId="35" borderId="61" xfId="0" applyNumberFormat="1" applyFont="1" applyFill="1" applyBorder="1" applyAlignment="1"/>
    <xf numFmtId="43" fontId="27" fillId="35" borderId="69" xfId="0" applyNumberFormat="1" applyFont="1" applyFill="1" applyBorder="1" applyAlignment="1"/>
    <xf numFmtId="43" fontId="26" fillId="35" borderId="60" xfId="3" applyNumberFormat="1" applyFont="1" applyFill="1" applyBorder="1" applyAlignment="1">
      <alignment horizontal="right" wrapText="1"/>
    </xf>
    <xf numFmtId="43" fontId="26" fillId="35" borderId="61" xfId="3" applyNumberFormat="1" applyFont="1" applyFill="1" applyBorder="1" applyAlignment="1">
      <alignment horizontal="right" wrapText="1"/>
    </xf>
    <xf numFmtId="43" fontId="26" fillId="35" borderId="68" xfId="3" applyNumberFormat="1" applyFont="1" applyFill="1" applyBorder="1" applyAlignment="1">
      <alignment horizontal="right" wrapText="1"/>
    </xf>
    <xf numFmtId="43" fontId="27" fillId="36" borderId="54" xfId="0" applyNumberFormat="1" applyFont="1" applyFill="1" applyBorder="1" applyAlignment="1"/>
    <xf numFmtId="43" fontId="27" fillId="36" borderId="61" xfId="0" applyNumberFormat="1" applyFont="1" applyFill="1" applyBorder="1" applyAlignment="1"/>
    <xf numFmtId="43" fontId="28" fillId="36" borderId="61" xfId="0" applyNumberFormat="1" applyFont="1" applyFill="1" applyBorder="1" applyAlignment="1"/>
    <xf numFmtId="43" fontId="27" fillId="36" borderId="67" xfId="0" applyNumberFormat="1" applyFont="1" applyFill="1" applyBorder="1" applyAlignment="1"/>
    <xf numFmtId="9" fontId="27" fillId="36" borderId="68" xfId="3" applyFont="1" applyFill="1" applyBorder="1" applyAlignment="1"/>
    <xf numFmtId="43" fontId="26" fillId="37" borderId="59" xfId="1" applyFont="1" applyFill="1" applyBorder="1" applyAlignment="1">
      <alignment horizontal="right" wrapText="1"/>
    </xf>
    <xf numFmtId="43" fontId="28" fillId="36" borderId="56" xfId="0" applyNumberFormat="1" applyFont="1" applyFill="1" applyBorder="1" applyAlignment="1"/>
    <xf numFmtId="43" fontId="28" fillId="35" borderId="54" xfId="0" applyNumberFormat="1" applyFont="1" applyFill="1" applyBorder="1" applyAlignment="1"/>
    <xf numFmtId="9" fontId="26" fillId="35" borderId="68" xfId="3" applyFont="1" applyFill="1" applyBorder="1" applyAlignment="1">
      <alignment horizontal="right" wrapText="1"/>
    </xf>
    <xf numFmtId="0" fontId="26" fillId="39" borderId="66" xfId="0" applyFont="1" applyFill="1" applyBorder="1" applyAlignment="1">
      <alignment wrapText="1"/>
    </xf>
    <xf numFmtId="0" fontId="29" fillId="39" borderId="0" xfId="0" applyFont="1" applyFill="1" applyAlignment="1"/>
    <xf numFmtId="9" fontId="25" fillId="38" borderId="57" xfId="3" applyFont="1" applyFill="1" applyBorder="1" applyAlignment="1">
      <alignment horizontal="right" wrapText="1"/>
    </xf>
    <xf numFmtId="9" fontId="25" fillId="38" borderId="61" xfId="3" applyFont="1" applyFill="1" applyBorder="1" applyAlignment="1">
      <alignment horizontal="right" wrapText="1"/>
    </xf>
    <xf numFmtId="0" fontId="24" fillId="0" borderId="70" xfId="0" applyFont="1" applyBorder="1" applyAlignment="1">
      <alignment wrapText="1"/>
    </xf>
    <xf numFmtId="43" fontId="26" fillId="36" borderId="71" xfId="1" applyFont="1" applyFill="1" applyBorder="1" applyAlignment="1">
      <alignment horizontal="right" wrapText="1"/>
    </xf>
    <xf numFmtId="43" fontId="26" fillId="36" borderId="72" xfId="1" applyFont="1" applyFill="1" applyBorder="1" applyAlignment="1">
      <alignment horizontal="right" wrapText="1"/>
    </xf>
    <xf numFmtId="9" fontId="26" fillId="36" borderId="27" xfId="3" applyFont="1" applyFill="1" applyBorder="1" applyAlignment="1">
      <alignment horizontal="right" wrapText="1"/>
    </xf>
    <xf numFmtId="43" fontId="24" fillId="36" borderId="48" xfId="3" applyNumberFormat="1" applyFont="1" applyFill="1" applyBorder="1" applyAlignment="1">
      <alignment horizontal="right" wrapText="1"/>
    </xf>
    <xf numFmtId="9" fontId="26" fillId="36" borderId="72" xfId="3" applyFont="1" applyFill="1" applyBorder="1" applyAlignment="1">
      <alignment horizontal="right" wrapText="1"/>
    </xf>
    <xf numFmtId="43" fontId="24" fillId="36" borderId="49" xfId="3" applyNumberFormat="1" applyFont="1" applyFill="1" applyBorder="1" applyAlignment="1">
      <alignment horizontal="right" wrapText="1"/>
    </xf>
    <xf numFmtId="43" fontId="26" fillId="38" borderId="73" xfId="1" applyFont="1" applyFill="1" applyBorder="1" applyAlignment="1">
      <alignment horizontal="right" wrapText="1"/>
    </xf>
    <xf numFmtId="43" fontId="26" fillId="38" borderId="72" xfId="1" applyFont="1" applyFill="1" applyBorder="1" applyAlignment="1">
      <alignment horizontal="right" wrapText="1"/>
    </xf>
    <xf numFmtId="9" fontId="26" fillId="38" borderId="27" xfId="3" applyFont="1" applyFill="1" applyBorder="1" applyAlignment="1">
      <alignment horizontal="right" wrapText="1"/>
    </xf>
    <xf numFmtId="43" fontId="26" fillId="38" borderId="71" xfId="3" applyNumberFormat="1" applyFont="1" applyFill="1" applyBorder="1" applyAlignment="1">
      <alignment horizontal="right" wrapText="1"/>
    </xf>
    <xf numFmtId="9" fontId="26" fillId="38" borderId="72" xfId="3" applyFont="1" applyFill="1" applyBorder="1" applyAlignment="1">
      <alignment horizontal="right" wrapText="1"/>
    </xf>
    <xf numFmtId="43" fontId="26" fillId="38" borderId="74" xfId="3" applyNumberFormat="1" applyFont="1" applyFill="1" applyBorder="1" applyAlignment="1">
      <alignment horizontal="right" wrapText="1"/>
    </xf>
    <xf numFmtId="43" fontId="26" fillId="34" borderId="71" xfId="1" applyFont="1" applyFill="1" applyBorder="1" applyAlignment="1">
      <alignment horizontal="right" wrapText="1"/>
    </xf>
    <xf numFmtId="43" fontId="26" fillId="34" borderId="72" xfId="1" applyFont="1" applyFill="1" applyBorder="1" applyAlignment="1">
      <alignment horizontal="right" wrapText="1"/>
    </xf>
    <xf numFmtId="43" fontId="26" fillId="34" borderId="74" xfId="1" applyFont="1" applyFill="1" applyBorder="1" applyAlignment="1">
      <alignment horizontal="right" wrapText="1"/>
    </xf>
    <xf numFmtId="43" fontId="25" fillId="34" borderId="71" xfId="1" applyFont="1" applyFill="1" applyBorder="1" applyAlignment="1">
      <alignment horizontal="right" wrapText="1"/>
    </xf>
    <xf numFmtId="43" fontId="26" fillId="34" borderId="72" xfId="3" applyNumberFormat="1" applyFont="1" applyFill="1" applyBorder="1" applyAlignment="1">
      <alignment horizontal="right" wrapText="1"/>
    </xf>
    <xf numFmtId="164" fontId="25" fillId="34" borderId="72" xfId="3" applyNumberFormat="1" applyFont="1" applyFill="1" applyBorder="1" applyAlignment="1">
      <alignment horizontal="right" wrapText="1"/>
    </xf>
    <xf numFmtId="43" fontId="26" fillId="34" borderId="75" xfId="3" applyNumberFormat="1" applyFont="1" applyFill="1" applyBorder="1" applyAlignment="1">
      <alignment horizontal="right" wrapText="1"/>
    </xf>
    <xf numFmtId="43" fontId="26" fillId="34" borderId="71" xfId="3" applyNumberFormat="1" applyFont="1" applyFill="1" applyBorder="1" applyAlignment="1">
      <alignment horizontal="right" wrapText="1"/>
    </xf>
    <xf numFmtId="43" fontId="27" fillId="35" borderId="49" xfId="0" applyNumberFormat="1" applyFont="1" applyFill="1" applyBorder="1" applyAlignment="1"/>
    <xf numFmtId="43" fontId="28" fillId="35" borderId="41" xfId="0" applyNumberFormat="1" applyFont="1" applyFill="1" applyBorder="1" applyAlignment="1"/>
    <xf numFmtId="43" fontId="27" fillId="35" borderId="72" xfId="0" applyNumberFormat="1" applyFont="1" applyFill="1" applyBorder="1" applyAlignment="1"/>
    <xf numFmtId="43" fontId="27" fillId="35" borderId="43" xfId="0" applyNumberFormat="1" applyFont="1" applyFill="1" applyBorder="1" applyAlignment="1"/>
    <xf numFmtId="43" fontId="26" fillId="35" borderId="71" xfId="3" applyNumberFormat="1" applyFont="1" applyFill="1" applyBorder="1" applyAlignment="1">
      <alignment horizontal="right" wrapText="1"/>
    </xf>
    <xf numFmtId="43" fontId="26" fillId="35" borderId="72" xfId="3" applyNumberFormat="1" applyFont="1" applyFill="1" applyBorder="1" applyAlignment="1">
      <alignment horizontal="right" wrapText="1"/>
    </xf>
    <xf numFmtId="43" fontId="28" fillId="36" borderId="26" xfId="0" applyNumberFormat="1" applyFont="1" applyFill="1" applyBorder="1" applyAlignment="1"/>
    <xf numFmtId="43" fontId="27" fillId="36" borderId="73" xfId="0" applyNumberFormat="1" applyFont="1" applyFill="1" applyBorder="1" applyAlignment="1"/>
    <xf numFmtId="43" fontId="27" fillId="36" borderId="72" xfId="0" applyNumberFormat="1" applyFont="1" applyFill="1" applyBorder="1" applyAlignment="1"/>
    <xf numFmtId="43" fontId="27" fillId="37" borderId="48" xfId="0" applyNumberFormat="1" applyFont="1" applyFill="1" applyBorder="1" applyAlignment="1"/>
    <xf numFmtId="43" fontId="27" fillId="37" borderId="26" xfId="0" applyNumberFormat="1" applyFont="1" applyFill="1" applyBorder="1" applyAlignment="1"/>
    <xf numFmtId="0" fontId="20" fillId="33" borderId="13" xfId="0" applyFont="1" applyFill="1" applyBorder="1" applyAlignment="1">
      <alignment wrapText="1"/>
    </xf>
    <xf numFmtId="43" fontId="30" fillId="33" borderId="34" xfId="1" applyFont="1" applyFill="1" applyBorder="1" applyAlignment="1">
      <alignment horizontal="right" wrapText="1"/>
    </xf>
    <xf numFmtId="43" fontId="30" fillId="33" borderId="76" xfId="1" applyFont="1" applyFill="1" applyBorder="1" applyAlignment="1">
      <alignment horizontal="right" wrapText="1"/>
    </xf>
    <xf numFmtId="9" fontId="30" fillId="33" borderId="77" xfId="3" applyFont="1" applyFill="1" applyBorder="1" applyAlignment="1">
      <alignment horizontal="right" wrapText="1"/>
    </xf>
    <xf numFmtId="43" fontId="30" fillId="33" borderId="13" xfId="3" applyNumberFormat="1" applyFont="1" applyFill="1" applyBorder="1" applyAlignment="1">
      <alignment horizontal="right" wrapText="1"/>
    </xf>
    <xf numFmtId="43" fontId="30" fillId="33" borderId="76" xfId="3" applyNumberFormat="1" applyFont="1" applyFill="1" applyBorder="1" applyAlignment="1">
      <alignment horizontal="right" wrapText="1"/>
    </xf>
    <xf numFmtId="43" fontId="30" fillId="33" borderId="15" xfId="3" applyNumberFormat="1" applyFont="1" applyFill="1" applyBorder="1" applyAlignment="1">
      <alignment horizontal="right" wrapText="1"/>
    </xf>
    <xf numFmtId="43" fontId="30" fillId="33" borderId="35" xfId="1" applyFont="1" applyFill="1" applyBorder="1" applyAlignment="1">
      <alignment horizontal="right" wrapText="1"/>
    </xf>
    <xf numFmtId="43" fontId="30" fillId="33" borderId="77" xfId="1" applyFont="1" applyFill="1" applyBorder="1" applyAlignment="1">
      <alignment horizontal="right" wrapText="1"/>
    </xf>
    <xf numFmtId="43" fontId="31" fillId="33" borderId="34" xfId="1" applyFont="1" applyFill="1" applyBorder="1" applyAlignment="1">
      <alignment horizontal="right" wrapText="1"/>
    </xf>
    <xf numFmtId="43" fontId="30" fillId="33" borderId="14" xfId="3" applyNumberFormat="1" applyFont="1" applyFill="1" applyBorder="1" applyAlignment="1">
      <alignment horizontal="right" wrapText="1"/>
    </xf>
    <xf numFmtId="164" fontId="30" fillId="33" borderId="76" xfId="3" applyNumberFormat="1" applyFont="1" applyFill="1" applyBorder="1" applyAlignment="1">
      <alignment horizontal="right" wrapText="1"/>
    </xf>
    <xf numFmtId="9" fontId="30" fillId="33" borderId="15" xfId="3" applyFont="1" applyFill="1" applyBorder="1" applyAlignment="1">
      <alignment horizontal="right" wrapText="1"/>
    </xf>
    <xf numFmtId="43" fontId="32" fillId="33" borderId="14" xfId="0" applyNumberFormat="1" applyFont="1" applyFill="1" applyBorder="1" applyAlignment="1"/>
    <xf numFmtId="43" fontId="32" fillId="33" borderId="76" xfId="0" applyNumberFormat="1" applyFont="1" applyFill="1" applyBorder="1" applyAlignment="1"/>
    <xf numFmtId="43" fontId="32" fillId="33" borderId="15" xfId="0" applyNumberFormat="1" applyFont="1" applyFill="1" applyBorder="1" applyAlignment="1"/>
    <xf numFmtId="43" fontId="33" fillId="33" borderId="13" xfId="0" applyNumberFormat="1" applyFont="1" applyFill="1" applyBorder="1" applyAlignment="1"/>
    <xf numFmtId="43" fontId="32" fillId="33" borderId="13" xfId="0" applyNumberFormat="1" applyFont="1" applyFill="1" applyBorder="1" applyAlignment="1"/>
    <xf numFmtId="9" fontId="26" fillId="33" borderId="36" xfId="3" applyFont="1" applyFill="1" applyBorder="1" applyAlignment="1">
      <alignment horizontal="right" wrapText="1"/>
    </xf>
    <xf numFmtId="43" fontId="33" fillId="33" borderId="76" xfId="0" applyNumberFormat="1" applyFont="1" applyFill="1" applyBorder="1" applyAlignment="1"/>
    <xf numFmtId="9" fontId="27" fillId="33" borderId="36" xfId="3" applyFont="1" applyFill="1" applyBorder="1" applyAlignment="1"/>
    <xf numFmtId="43" fontId="30" fillId="33" borderId="13" xfId="1" applyFont="1" applyFill="1" applyBorder="1" applyAlignment="1">
      <alignment horizontal="right" wrapText="1"/>
    </xf>
    <xf numFmtId="0" fontId="16" fillId="0" borderId="0" xfId="0" applyFont="1" applyAlignment="1"/>
    <xf numFmtId="0" fontId="24" fillId="0" borderId="41" xfId="0" applyFont="1" applyBorder="1" applyAlignment="1">
      <alignment wrapText="1"/>
    </xf>
    <xf numFmtId="43" fontId="26" fillId="36" borderId="48" xfId="1" applyFont="1" applyFill="1" applyBorder="1" applyAlignment="1">
      <alignment horizontal="right" wrapText="1"/>
    </xf>
    <xf numFmtId="43" fontId="26" fillId="36" borderId="26" xfId="1" applyFont="1" applyFill="1" applyBorder="1" applyAlignment="1">
      <alignment horizontal="right" wrapText="1"/>
    </xf>
    <xf numFmtId="43" fontId="26" fillId="36" borderId="41" xfId="3" applyNumberFormat="1" applyFont="1" applyFill="1" applyBorder="1" applyAlignment="1">
      <alignment horizontal="right" wrapText="1"/>
    </xf>
    <xf numFmtId="43" fontId="26" fillId="36" borderId="26" xfId="3" applyNumberFormat="1" applyFont="1" applyFill="1" applyBorder="1" applyAlignment="1">
      <alignment horizontal="right" wrapText="1"/>
    </xf>
    <xf numFmtId="43" fontId="26" fillId="36" borderId="43" xfId="3" applyNumberFormat="1" applyFont="1" applyFill="1" applyBorder="1" applyAlignment="1">
      <alignment horizontal="right" wrapText="1"/>
    </xf>
    <xf numFmtId="43" fontId="26" fillId="38" borderId="25" xfId="1" applyFont="1" applyFill="1" applyBorder="1" applyAlignment="1">
      <alignment horizontal="right" wrapText="1"/>
    </xf>
    <xf numFmtId="43" fontId="26" fillId="38" borderId="26" xfId="1" applyFont="1" applyFill="1" applyBorder="1" applyAlignment="1">
      <alignment horizontal="right" wrapText="1"/>
    </xf>
    <xf numFmtId="43" fontId="26" fillId="38" borderId="41" xfId="3" applyNumberFormat="1" applyFont="1" applyFill="1" applyBorder="1" applyAlignment="1">
      <alignment horizontal="right" wrapText="1"/>
    </xf>
    <xf numFmtId="43" fontId="26" fillId="38" borderId="76" xfId="3" applyNumberFormat="1" applyFont="1" applyFill="1" applyBorder="1" applyAlignment="1">
      <alignment horizontal="right" wrapText="1"/>
    </xf>
    <xf numFmtId="43" fontId="26" fillId="38" borderId="43" xfId="3" applyNumberFormat="1" applyFont="1" applyFill="1" applyBorder="1" applyAlignment="1">
      <alignment horizontal="right" wrapText="1"/>
    </xf>
    <xf numFmtId="43" fontId="26" fillId="34" borderId="34" xfId="1" applyFont="1" applyFill="1" applyBorder="1" applyAlignment="1">
      <alignment horizontal="right" wrapText="1"/>
    </xf>
    <xf numFmtId="43" fontId="26" fillId="34" borderId="76" xfId="1" applyFont="1" applyFill="1" applyBorder="1" applyAlignment="1">
      <alignment horizontal="right" wrapText="1"/>
    </xf>
    <xf numFmtId="43" fontId="26" fillId="34" borderId="77" xfId="1" applyFont="1" applyFill="1" applyBorder="1" applyAlignment="1">
      <alignment horizontal="right" wrapText="1"/>
    </xf>
    <xf numFmtId="43" fontId="25" fillId="34" borderId="34" xfId="1" applyFont="1" applyFill="1" applyBorder="1" applyAlignment="1">
      <alignment horizontal="right" wrapText="1"/>
    </xf>
    <xf numFmtId="43" fontId="25" fillId="34" borderId="15" xfId="1" applyFont="1" applyFill="1" applyBorder="1" applyAlignment="1">
      <alignment horizontal="right" wrapText="1"/>
    </xf>
    <xf numFmtId="43" fontId="25" fillId="34" borderId="36" xfId="1" applyFont="1" applyFill="1" applyBorder="1" applyAlignment="1">
      <alignment horizontal="right" wrapText="1"/>
    </xf>
    <xf numFmtId="43" fontId="25" fillId="34" borderId="77" xfId="1" applyFont="1" applyFill="1" applyBorder="1" applyAlignment="1">
      <alignment horizontal="right" wrapText="1"/>
    </xf>
    <xf numFmtId="43" fontId="24" fillId="34" borderId="76" xfId="1" applyFont="1" applyFill="1" applyBorder="1" applyAlignment="1">
      <alignment horizontal="right" wrapText="1"/>
    </xf>
    <xf numFmtId="43" fontId="24" fillId="34" borderId="14" xfId="1" applyFont="1" applyFill="1" applyBorder="1" applyAlignment="1">
      <alignment horizontal="right" wrapText="1"/>
    </xf>
    <xf numFmtId="43" fontId="24" fillId="34" borderId="13" xfId="1" applyFont="1" applyFill="1" applyBorder="1" applyAlignment="1">
      <alignment horizontal="right" wrapText="1"/>
    </xf>
    <xf numFmtId="9" fontId="30" fillId="34" borderId="15" xfId="3" applyFont="1" applyFill="1" applyBorder="1" applyAlignment="1">
      <alignment horizontal="right" wrapText="1"/>
    </xf>
    <xf numFmtId="43" fontId="27" fillId="35" borderId="0" xfId="0" applyNumberFormat="1" applyFont="1" applyFill="1" applyAlignment="1"/>
    <xf numFmtId="43" fontId="27" fillId="35" borderId="26" xfId="0" applyNumberFormat="1" applyFont="1" applyFill="1" applyBorder="1" applyAlignment="1"/>
    <xf numFmtId="43" fontId="28" fillId="35" borderId="78" xfId="0" applyNumberFormat="1" applyFont="1" applyFill="1" applyBorder="1" applyAlignment="1"/>
    <xf numFmtId="43" fontId="27" fillId="35" borderId="45" xfId="0" applyNumberFormat="1" applyFont="1" applyFill="1" applyBorder="1" applyAlignment="1"/>
    <xf numFmtId="43" fontId="27" fillId="35" borderId="37" xfId="0" applyNumberFormat="1" applyFont="1" applyFill="1" applyBorder="1" applyAlignment="1"/>
    <xf numFmtId="9" fontId="26" fillId="35" borderId="49" xfId="3" applyFont="1" applyFill="1" applyBorder="1" applyAlignment="1">
      <alignment horizontal="right" wrapText="1"/>
    </xf>
    <xf numFmtId="43" fontId="27" fillId="36" borderId="78" xfId="0" applyNumberFormat="1" applyFont="1" applyFill="1" applyBorder="1" applyAlignment="1"/>
    <xf numFmtId="43" fontId="27" fillId="36" borderId="45" xfId="0" applyNumberFormat="1" applyFont="1" applyFill="1" applyBorder="1" applyAlignment="1"/>
    <xf numFmtId="43" fontId="28" fillId="36" borderId="45" xfId="0" applyNumberFormat="1" applyFont="1" applyFill="1" applyBorder="1" applyAlignment="1"/>
    <xf numFmtId="43" fontId="27" fillId="36" borderId="0" xfId="0" applyNumberFormat="1" applyFont="1" applyFill="1" applyBorder="1" applyAlignment="1"/>
    <xf numFmtId="43" fontId="27" fillId="36" borderId="26" xfId="0" applyNumberFormat="1" applyFont="1" applyFill="1" applyBorder="1" applyAlignment="1"/>
    <xf numFmtId="9" fontId="27" fillId="36" borderId="49" xfId="3" applyFont="1" applyFill="1" applyBorder="1" applyAlignment="1"/>
    <xf numFmtId="43" fontId="26" fillId="37" borderId="25" xfId="1" applyFont="1" applyFill="1" applyBorder="1" applyAlignment="1">
      <alignment horizontal="right" wrapText="1"/>
    </xf>
    <xf numFmtId="43" fontId="26" fillId="37" borderId="26" xfId="1" applyFont="1" applyFill="1" applyBorder="1" applyAlignment="1">
      <alignment horizontal="right" wrapText="1"/>
    </xf>
    <xf numFmtId="43" fontId="26" fillId="37" borderId="27" xfId="1" applyFont="1" applyFill="1" applyBorder="1" applyAlignment="1">
      <alignment horizontal="right" wrapText="1"/>
    </xf>
    <xf numFmtId="9" fontId="27" fillId="37" borderId="49" xfId="3" applyFont="1" applyFill="1" applyBorder="1" applyAlignment="1"/>
    <xf numFmtId="43" fontId="30" fillId="33" borderId="44" xfId="3" applyNumberFormat="1" applyFont="1" applyFill="1" applyBorder="1" applyAlignment="1">
      <alignment horizontal="right" wrapText="1"/>
    </xf>
    <xf numFmtId="43" fontId="30" fillId="33" borderId="45" xfId="3" applyNumberFormat="1" applyFont="1" applyFill="1" applyBorder="1" applyAlignment="1">
      <alignment horizontal="right" wrapText="1"/>
    </xf>
    <xf numFmtId="43" fontId="32" fillId="33" borderId="34" xfId="0" applyNumberFormat="1" applyFont="1" applyFill="1" applyBorder="1" applyAlignment="1"/>
    <xf numFmtId="43" fontId="0" fillId="0" borderId="0" xfId="1" applyFont="1"/>
    <xf numFmtId="0" fontId="47" fillId="0" borderId="48" xfId="0" applyFont="1" applyBorder="1" applyAlignment="1">
      <alignment horizontal="center" vertical="top" wrapText="1"/>
    </xf>
    <xf numFmtId="0" fontId="47" fillId="0" borderId="55" xfId="0" applyFont="1" applyBorder="1" applyAlignment="1">
      <alignment horizontal="center" vertical="top" wrapText="1"/>
    </xf>
    <xf numFmtId="0" fontId="48" fillId="0" borderId="72" xfId="0" applyFont="1" applyBorder="1" applyAlignment="1">
      <alignment horizontal="left" vertical="top" wrapText="1"/>
    </xf>
    <xf numFmtId="0" fontId="48" fillId="0" borderId="26" xfId="0" applyFont="1" applyBorder="1" applyAlignment="1">
      <alignment horizontal="left" vertical="top" wrapText="1"/>
    </xf>
    <xf numFmtId="0" fontId="48" fillId="0" borderId="56" xfId="0" applyFont="1" applyBorder="1" applyAlignment="1">
      <alignment horizontal="left" vertical="top" wrapText="1"/>
    </xf>
    <xf numFmtId="0" fontId="35" fillId="33" borderId="13" xfId="0" applyFont="1" applyFill="1" applyBorder="1" applyAlignment="1">
      <alignment horizontal="center" vertical="center"/>
    </xf>
    <xf numFmtId="0" fontId="35" fillId="33" borderId="14" xfId="0" applyFont="1" applyFill="1" applyBorder="1" applyAlignment="1">
      <alignment horizontal="center" vertical="center"/>
    </xf>
    <xf numFmtId="0" fontId="35" fillId="33" borderId="15" xfId="0" applyFont="1" applyFill="1" applyBorder="1" applyAlignment="1">
      <alignment horizontal="center" vertical="center"/>
    </xf>
    <xf numFmtId="0" fontId="35" fillId="33" borderId="78" xfId="0" applyFont="1" applyFill="1" applyBorder="1" applyAlignment="1">
      <alignment horizontal="center" vertical="center"/>
    </xf>
    <xf numFmtId="0" fontId="35" fillId="33" borderId="31" xfId="0" applyFont="1" applyFill="1" applyBorder="1" applyAlignment="1">
      <alignment horizontal="center" vertical="center"/>
    </xf>
    <xf numFmtId="0" fontId="35" fillId="33" borderId="37" xfId="0" applyFont="1" applyFill="1" applyBorder="1" applyAlignment="1">
      <alignment horizontal="center" vertical="center"/>
    </xf>
    <xf numFmtId="0" fontId="35" fillId="36" borderId="13" xfId="0" applyFont="1" applyFill="1" applyBorder="1" applyAlignment="1">
      <alignment horizontal="center" vertical="center"/>
    </xf>
    <xf numFmtId="0" fontId="35" fillId="36" borderId="14" xfId="0" applyFont="1" applyFill="1" applyBorder="1" applyAlignment="1">
      <alignment horizontal="center" vertical="center"/>
    </xf>
    <xf numFmtId="0" fontId="35" fillId="36" borderId="15" xfId="0" applyFont="1" applyFill="1" applyBorder="1" applyAlignment="1">
      <alignment horizontal="center" vertical="center"/>
    </xf>
    <xf numFmtId="0" fontId="35" fillId="35" borderId="13" xfId="0" applyFont="1" applyFill="1" applyBorder="1" applyAlignment="1">
      <alignment horizontal="center" vertical="center"/>
    </xf>
    <xf numFmtId="0" fontId="35" fillId="35" borderId="14" xfId="0" applyFont="1" applyFill="1" applyBorder="1" applyAlignment="1">
      <alignment horizontal="center" vertical="center"/>
    </xf>
    <xf numFmtId="0" fontId="35" fillId="35" borderId="15" xfId="0" applyFont="1" applyFill="1" applyBorder="1" applyAlignment="1">
      <alignment horizontal="center" vertical="center"/>
    </xf>
    <xf numFmtId="0" fontId="35" fillId="41" borderId="13" xfId="0" applyFont="1" applyFill="1" applyBorder="1" applyAlignment="1">
      <alignment horizontal="center" vertical="center"/>
    </xf>
    <xf numFmtId="0" fontId="35" fillId="41" borderId="14" xfId="0" applyFont="1" applyFill="1" applyBorder="1" applyAlignment="1">
      <alignment horizontal="center" vertical="center"/>
    </xf>
    <xf numFmtId="0" fontId="35" fillId="41" borderId="15" xfId="0" applyFont="1" applyFill="1" applyBorder="1" applyAlignment="1">
      <alignment horizontal="center" vertical="center"/>
    </xf>
    <xf numFmtId="0" fontId="41" fillId="33" borderId="55" xfId="0" applyFont="1" applyFill="1" applyBorder="1" applyAlignment="1">
      <alignment horizontal="left" vertical="top" wrapText="1"/>
    </xf>
    <xf numFmtId="0" fontId="0" fillId="33" borderId="56" xfId="0" applyFill="1" applyBorder="1" applyAlignment="1">
      <alignment horizontal="left" vertical="top" wrapText="1"/>
    </xf>
    <xf numFmtId="0" fontId="0" fillId="33" borderId="57" xfId="0" applyFill="1" applyBorder="1" applyAlignment="1">
      <alignment horizontal="left" vertical="top" wrapText="1"/>
    </xf>
    <xf numFmtId="0" fontId="45" fillId="42" borderId="60" xfId="0" applyFont="1" applyFill="1" applyBorder="1" applyAlignment="1">
      <alignment vertical="top" wrapText="1"/>
    </xf>
    <xf numFmtId="0" fontId="46" fillId="42" borderId="61" xfId="0" applyFont="1" applyFill="1" applyBorder="1" applyAlignment="1">
      <alignment vertical="top" wrapText="1"/>
    </xf>
    <xf numFmtId="0" fontId="17" fillId="42" borderId="62" xfId="0" applyFont="1" applyFill="1" applyBorder="1" applyAlignment="1">
      <alignment wrapText="1"/>
    </xf>
    <xf numFmtId="0" fontId="47" fillId="0" borderId="60" xfId="0" applyFont="1" applyBorder="1" applyAlignment="1">
      <alignment horizontal="left" vertical="top" wrapText="1"/>
    </xf>
    <xf numFmtId="0" fontId="47" fillId="0" borderId="61" xfId="0" applyFont="1" applyBorder="1" applyAlignment="1">
      <alignment horizontal="left" vertical="top" wrapText="1"/>
    </xf>
    <xf numFmtId="0" fontId="47" fillId="0" borderId="71" xfId="0" applyFont="1" applyBorder="1" applyAlignment="1">
      <alignment horizontal="center" vertical="top" wrapText="1"/>
    </xf>
    <xf numFmtId="0" fontId="47" fillId="0" borderId="72" xfId="0" applyFont="1" applyBorder="1" applyAlignment="1">
      <alignment horizontal="left" vertical="top" wrapText="1"/>
    </xf>
    <xf numFmtId="0" fontId="47" fillId="0" borderId="26" xfId="0" applyFont="1" applyBorder="1" applyAlignment="1">
      <alignment horizontal="left" vertical="top" wrapText="1"/>
    </xf>
    <xf numFmtId="0" fontId="47" fillId="0" borderId="56" xfId="0" applyFont="1" applyBorder="1" applyAlignment="1">
      <alignment horizontal="left" vertical="top" wrapText="1"/>
    </xf>
    <xf numFmtId="0" fontId="47" fillId="39" borderId="71" xfId="0" applyFont="1" applyFill="1" applyBorder="1" applyAlignment="1">
      <alignment horizontal="left" vertical="top" wrapText="1"/>
    </xf>
    <xf numFmtId="0" fontId="47" fillId="39" borderId="55" xfId="0" applyFont="1" applyFill="1" applyBorder="1" applyAlignment="1">
      <alignment horizontal="left" vertical="top" wrapText="1"/>
    </xf>
    <xf numFmtId="0" fontId="47" fillId="39" borderId="72" xfId="0" applyFont="1" applyFill="1" applyBorder="1" applyAlignment="1">
      <alignment horizontal="left" vertical="top" wrapText="1"/>
    </xf>
    <xf numFmtId="0" fontId="47" fillId="39" borderId="56" xfId="0" applyFont="1" applyFill="1" applyBorder="1" applyAlignment="1">
      <alignment horizontal="left" vertical="top" wrapText="1"/>
    </xf>
    <xf numFmtId="0" fontId="29" fillId="0" borderId="71" xfId="0" applyFont="1" applyBorder="1" applyAlignment="1">
      <alignment horizontal="center" vertical="top" wrapText="1"/>
    </xf>
    <xf numFmtId="0" fontId="29" fillId="0" borderId="55" xfId="0" applyFont="1" applyBorder="1" applyAlignment="1">
      <alignment horizontal="center" vertical="top" wrapText="1"/>
    </xf>
    <xf numFmtId="3" fontId="45" fillId="42" borderId="62" xfId="1" applyNumberFormat="1" applyFont="1" applyFill="1" applyBorder="1" applyAlignment="1">
      <alignment horizontal="center" vertical="top"/>
    </xf>
    <xf numFmtId="3" fontId="45" fillId="42" borderId="79" xfId="1" applyNumberFormat="1" applyFont="1" applyFill="1" applyBorder="1" applyAlignment="1">
      <alignment horizontal="center" vertical="top"/>
    </xf>
    <xf numFmtId="0" fontId="29" fillId="0" borderId="60" xfId="0" applyFont="1" applyBorder="1" applyAlignment="1">
      <alignment horizontal="left" vertical="top" wrapText="1"/>
    </xf>
    <xf numFmtId="0" fontId="29" fillId="0" borderId="61" xfId="0" applyFont="1" applyBorder="1" applyAlignment="1">
      <alignment horizontal="left" vertical="top" wrapText="1"/>
    </xf>
    <xf numFmtId="0" fontId="45" fillId="42" borderId="66" xfId="0" applyFont="1" applyFill="1" applyBorder="1" applyAlignment="1">
      <alignment vertical="top" wrapText="1"/>
    </xf>
    <xf numFmtId="0" fontId="45" fillId="42" borderId="79" xfId="0" applyFont="1" applyFill="1" applyBorder="1" applyAlignment="1">
      <alignment vertical="top" wrapText="1"/>
    </xf>
    <xf numFmtId="0" fontId="47" fillId="39" borderId="60" xfId="0" applyFont="1" applyFill="1" applyBorder="1" applyAlignment="1">
      <alignment horizontal="left" vertical="top" wrapText="1"/>
    </xf>
    <xf numFmtId="0" fontId="47" fillId="39" borderId="26" xfId="0" applyFont="1" applyFill="1" applyBorder="1" applyAlignment="1">
      <alignment horizontal="left" vertical="top" wrapText="1"/>
    </xf>
    <xf numFmtId="0" fontId="47" fillId="39" borderId="71" xfId="0" applyFont="1" applyFill="1" applyBorder="1" applyAlignment="1">
      <alignment horizontal="center" vertical="top" wrapText="1"/>
    </xf>
    <xf numFmtId="0" fontId="47" fillId="39" borderId="48" xfId="0" applyFont="1" applyFill="1" applyBorder="1" applyAlignment="1">
      <alignment horizontal="center" vertical="top" wrapText="1"/>
    </xf>
    <xf numFmtId="0" fontId="47" fillId="39" borderId="55" xfId="0" applyFont="1" applyFill="1" applyBorder="1" applyAlignment="1">
      <alignment horizontal="center" vertical="top" wrapText="1"/>
    </xf>
    <xf numFmtId="0" fontId="37" fillId="36" borderId="60" xfId="0" applyFont="1" applyFill="1" applyBorder="1" applyAlignment="1">
      <alignment horizontal="left" vertical="center" wrapText="1"/>
    </xf>
    <xf numFmtId="0" fontId="37" fillId="36" borderId="61" xfId="0" applyFont="1" applyFill="1" applyBorder="1" applyAlignment="1">
      <alignment horizontal="left" vertical="center" wrapText="1"/>
    </xf>
    <xf numFmtId="0" fontId="37" fillId="36" borderId="62" xfId="0" applyFont="1" applyFill="1" applyBorder="1" applyAlignment="1">
      <alignment horizontal="left" vertical="center" wrapText="1"/>
    </xf>
    <xf numFmtId="0" fontId="29" fillId="0" borderId="70" xfId="0" applyFont="1" applyBorder="1" applyAlignment="1">
      <alignment horizontal="center" vertical="top" wrapText="1"/>
    </xf>
    <xf numFmtId="0" fontId="29" fillId="0" borderId="73" xfId="0" applyFont="1" applyBorder="1" applyAlignment="1">
      <alignment horizontal="center" vertical="top" wrapText="1"/>
    </xf>
    <xf numFmtId="0" fontId="29" fillId="0" borderId="41" xfId="0" applyFont="1" applyBorder="1" applyAlignment="1">
      <alignment horizontal="center" vertical="top" wrapText="1"/>
    </xf>
    <xf numFmtId="0" fontId="29" fillId="0" borderId="25" xfId="0" applyFont="1" applyBorder="1" applyAlignment="1">
      <alignment horizontal="center" vertical="top" wrapText="1"/>
    </xf>
    <xf numFmtId="0" fontId="44" fillId="37" borderId="34" xfId="0" applyFont="1" applyFill="1" applyBorder="1" applyAlignment="1">
      <alignment vertical="center" wrapText="1"/>
    </xf>
    <xf numFmtId="0" fontId="0" fillId="37" borderId="76" xfId="0" applyFill="1" applyBorder="1" applyAlignment="1">
      <alignment vertical="center" wrapText="1"/>
    </xf>
    <xf numFmtId="0" fontId="0" fillId="37" borderId="77" xfId="0" applyFill="1" applyBorder="1" applyAlignment="1">
      <alignment vertical="center" wrapText="1"/>
    </xf>
    <xf numFmtId="0" fontId="38" fillId="37" borderId="34" xfId="0" applyFont="1" applyFill="1" applyBorder="1" applyAlignment="1">
      <alignment vertical="center"/>
    </xf>
    <xf numFmtId="0" fontId="57" fillId="37" borderId="76" xfId="0" applyFont="1" applyFill="1" applyBorder="1" applyAlignment="1">
      <alignment vertical="center"/>
    </xf>
    <xf numFmtId="0" fontId="57" fillId="37" borderId="77" xfId="0" applyFont="1" applyFill="1" applyBorder="1" applyAlignment="1">
      <alignment vertical="center"/>
    </xf>
    <xf numFmtId="0" fontId="40" fillId="0" borderId="26" xfId="0" applyFont="1" applyBorder="1" applyAlignment="1">
      <alignment horizontal="center" vertical="center" wrapText="1"/>
    </xf>
    <xf numFmtId="0" fontId="40" fillId="0" borderId="56" xfId="0" applyFont="1" applyBorder="1" applyAlignment="1">
      <alignment horizontal="center" vertical="center" wrapText="1"/>
    </xf>
    <xf numFmtId="0" fontId="40" fillId="0" borderId="72" xfId="0" applyFont="1" applyBorder="1" applyAlignment="1">
      <alignment horizontal="left" vertical="center" wrapText="1"/>
    </xf>
    <xf numFmtId="0" fontId="40" fillId="0" borderId="56" xfId="0" applyFont="1" applyBorder="1" applyAlignment="1">
      <alignment horizontal="left" vertical="center" wrapText="1"/>
    </xf>
    <xf numFmtId="0" fontId="37" fillId="43" borderId="60" xfId="0" applyFont="1" applyFill="1" applyBorder="1" applyAlignment="1">
      <alignment horizontal="left" vertical="center" wrapText="1"/>
    </xf>
    <xf numFmtId="0" fontId="29" fillId="43" borderId="61" xfId="0" applyFont="1" applyFill="1" applyBorder="1" applyAlignment="1">
      <alignment horizontal="left" vertical="center" wrapText="1"/>
    </xf>
    <xf numFmtId="0" fontId="29" fillId="43" borderId="62" xfId="0" applyFont="1" applyFill="1" applyBorder="1" applyAlignment="1">
      <alignment horizontal="left" vertical="center" wrapText="1"/>
    </xf>
    <xf numFmtId="0" fontId="47" fillId="0" borderId="71" xfId="0" applyFont="1" applyBorder="1" applyAlignment="1">
      <alignment horizontal="left" vertical="top" wrapText="1"/>
    </xf>
    <xf numFmtId="0" fontId="47" fillId="0" borderId="55" xfId="0" applyFont="1" applyBorder="1" applyAlignment="1">
      <alignment horizontal="left" vertical="top" wrapText="1"/>
    </xf>
    <xf numFmtId="0" fontId="37" fillId="43" borderId="66" xfId="0" applyFont="1" applyFill="1" applyBorder="1" applyAlignment="1">
      <alignment horizontal="left" vertical="center" wrapText="1"/>
    </xf>
    <xf numFmtId="0" fontId="37" fillId="43" borderId="79" xfId="0" applyFont="1" applyFill="1" applyBorder="1" applyAlignment="1">
      <alignment horizontal="left" vertical="center" wrapText="1"/>
    </xf>
    <xf numFmtId="0" fontId="32" fillId="33" borderId="18" xfId="0" applyFont="1" applyFill="1" applyBorder="1" applyAlignment="1">
      <alignment horizontal="center" vertical="center" wrapText="1"/>
    </xf>
    <xf numFmtId="0" fontId="32" fillId="33" borderId="32" xfId="0" applyFont="1" applyFill="1" applyBorder="1" applyAlignment="1">
      <alignment horizontal="center" vertical="center" wrapText="1"/>
    </xf>
    <xf numFmtId="9" fontId="32" fillId="33" borderId="29" xfId="3" applyFont="1" applyFill="1" applyBorder="1" applyAlignment="1">
      <alignment horizontal="center" vertical="center" wrapText="1"/>
    </xf>
    <xf numFmtId="9" fontId="32" fillId="33" borderId="53" xfId="3" applyFont="1" applyFill="1" applyBorder="1" applyAlignment="1">
      <alignment horizontal="center" vertical="center" wrapText="1"/>
    </xf>
    <xf numFmtId="0" fontId="23" fillId="33" borderId="11" xfId="0" applyFont="1" applyFill="1" applyBorder="1" applyAlignment="1">
      <alignment horizontal="center" vertical="center" wrapText="1"/>
    </xf>
    <xf numFmtId="0" fontId="23" fillId="33" borderId="0" xfId="0" applyFont="1" applyFill="1" applyAlignment="1">
      <alignment horizontal="center" vertical="center" wrapText="1"/>
    </xf>
    <xf numFmtId="0" fontId="16" fillId="33" borderId="20"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20" fillId="33" borderId="25" xfId="0" applyFont="1" applyFill="1" applyBorder="1" applyAlignment="1">
      <alignment horizontal="center" vertical="center" wrapText="1"/>
    </xf>
    <xf numFmtId="0" fontId="20" fillId="33" borderId="50" xfId="0" applyFont="1" applyFill="1" applyBorder="1" applyAlignment="1">
      <alignment horizontal="center" vertical="center" wrapText="1"/>
    </xf>
    <xf numFmtId="0" fontId="20" fillId="33" borderId="26" xfId="0" applyFont="1" applyFill="1" applyBorder="1" applyAlignment="1">
      <alignment horizontal="center" vertical="center" wrapText="1"/>
    </xf>
    <xf numFmtId="0" fontId="20" fillId="33" borderId="45" xfId="0" applyFont="1" applyFill="1" applyBorder="1" applyAlignment="1">
      <alignment horizontal="center" vertical="center" wrapText="1"/>
    </xf>
    <xf numFmtId="0" fontId="22" fillId="33" borderId="23" xfId="0" applyFont="1" applyFill="1" applyBorder="1" applyAlignment="1">
      <alignment horizontal="center" vertical="center" wrapText="1"/>
    </xf>
    <xf numFmtId="0" fontId="22" fillId="33" borderId="26" xfId="0" applyFont="1" applyFill="1" applyBorder="1" applyAlignment="1">
      <alignment horizontal="center" vertical="center" wrapText="1"/>
    </xf>
    <xf numFmtId="0" fontId="22" fillId="33" borderId="24" xfId="0" applyFont="1" applyFill="1" applyBorder="1" applyAlignment="1">
      <alignment horizontal="center" vertical="center" wrapText="1"/>
    </xf>
    <xf numFmtId="0" fontId="22" fillId="33" borderId="49" xfId="0" applyFont="1" applyFill="1" applyBorder="1" applyAlignment="1">
      <alignment horizontal="center" vertical="center" wrapText="1"/>
    </xf>
    <xf numFmtId="0" fontId="16" fillId="33" borderId="16"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20" fillId="33" borderId="27" xfId="0" applyFont="1" applyFill="1" applyBorder="1" applyAlignment="1">
      <alignment horizontal="center" vertical="center" wrapText="1"/>
    </xf>
    <xf numFmtId="0" fontId="20" fillId="33" borderId="51" xfId="0" applyFont="1" applyFill="1" applyBorder="1" applyAlignment="1">
      <alignment horizontal="center" vertical="center" wrapText="1"/>
    </xf>
    <xf numFmtId="0" fontId="32" fillId="33" borderId="28" xfId="0" applyFont="1" applyFill="1" applyBorder="1" applyAlignment="1">
      <alignment horizontal="center" vertical="center" wrapText="1"/>
    </xf>
    <xf numFmtId="0" fontId="32" fillId="33" borderId="52" xfId="0" applyFont="1" applyFill="1" applyBorder="1" applyAlignment="1">
      <alignment horizontal="center" vertical="center" wrapText="1"/>
    </xf>
    <xf numFmtId="0" fontId="32" fillId="37" borderId="13" xfId="0" applyFont="1" applyFill="1" applyBorder="1" applyAlignment="1">
      <alignment horizontal="center" vertical="center"/>
    </xf>
    <xf numFmtId="0" fontId="32" fillId="37" borderId="14" xfId="0" applyFont="1" applyFill="1" applyBorder="1" applyAlignment="1">
      <alignment horizontal="center" vertical="center"/>
    </xf>
    <xf numFmtId="0" fontId="32" fillId="37" borderId="15" xfId="0" applyFont="1" applyFill="1" applyBorder="1" applyAlignment="1">
      <alignment horizontal="center" vertical="center"/>
    </xf>
    <xf numFmtId="0" fontId="20" fillId="33" borderId="11" xfId="0" applyFont="1" applyFill="1" applyBorder="1" applyAlignment="1">
      <alignment horizontal="center" vertical="center" wrapText="1"/>
    </xf>
    <xf numFmtId="0" fontId="20" fillId="33" borderId="31" xfId="0" applyFont="1" applyFill="1" applyBorder="1" applyAlignment="1">
      <alignment horizontal="center" vertical="center" wrapText="1"/>
    </xf>
    <xf numFmtId="0" fontId="20" fillId="33" borderId="18" xfId="0" applyFont="1" applyFill="1" applyBorder="1" applyAlignment="1">
      <alignment horizontal="center" vertical="center" wrapText="1"/>
    </xf>
    <xf numFmtId="0" fontId="20" fillId="33" borderId="32"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18"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22" fillId="36" borderId="13" xfId="0" applyFont="1" applyFill="1" applyBorder="1" applyAlignment="1">
      <alignment horizontal="center" vertical="center" wrapText="1"/>
    </xf>
    <xf numFmtId="0" fontId="22" fillId="36" borderId="14" xfId="0" applyFont="1" applyFill="1" applyBorder="1" applyAlignment="1">
      <alignment horizontal="center" vertical="center" wrapText="1"/>
    </xf>
    <xf numFmtId="0" fontId="22" fillId="36" borderId="15" xfId="0" applyFont="1" applyFill="1" applyBorder="1" applyAlignment="1">
      <alignment horizontal="center" vertical="center" wrapText="1"/>
    </xf>
    <xf numFmtId="0" fontId="20" fillId="33" borderId="16" xfId="0" applyFont="1" applyFill="1" applyBorder="1" applyAlignment="1">
      <alignment horizontal="center" vertical="center" wrapText="1"/>
    </xf>
    <xf numFmtId="0" fontId="18" fillId="36" borderId="13" xfId="0" applyFont="1" applyFill="1" applyBorder="1" applyAlignment="1">
      <alignment horizontal="center" vertical="center"/>
    </xf>
    <xf numFmtId="0" fontId="18" fillId="36" borderId="14" xfId="0" applyFont="1" applyFill="1" applyBorder="1" applyAlignment="1">
      <alignment horizontal="center" vertical="center"/>
    </xf>
    <xf numFmtId="0" fontId="18" fillId="36" borderId="15" xfId="0" applyFont="1" applyFill="1" applyBorder="1" applyAlignment="1">
      <alignment horizontal="center" vertical="center"/>
    </xf>
    <xf numFmtId="0" fontId="20" fillId="33" borderId="21" xfId="0" applyFont="1" applyFill="1" applyBorder="1" applyAlignment="1">
      <alignment horizontal="center" vertical="center" wrapText="1"/>
    </xf>
    <xf numFmtId="0" fontId="20" fillId="33" borderId="40" xfId="0" applyFont="1" applyFill="1" applyBorder="1" applyAlignment="1">
      <alignment horizontal="center" vertical="center" wrapText="1"/>
    </xf>
    <xf numFmtId="0" fontId="22" fillId="33" borderId="45" xfId="0" applyFont="1" applyFill="1" applyBorder="1" applyAlignment="1">
      <alignment horizontal="center" vertical="center" wrapText="1"/>
    </xf>
    <xf numFmtId="9" fontId="22" fillId="33" borderId="24" xfId="3" applyFont="1" applyFill="1" applyBorder="1" applyAlignment="1">
      <alignment horizontal="center" vertical="center" wrapText="1"/>
    </xf>
    <xf numFmtId="9" fontId="22" fillId="33" borderId="46" xfId="3"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20" fillId="33" borderId="17" xfId="0" applyFont="1" applyFill="1" applyBorder="1" applyAlignment="1">
      <alignment horizontal="center" vertical="center" wrapText="1"/>
    </xf>
    <xf numFmtId="0" fontId="20" fillId="33" borderId="30" xfId="0" applyFont="1" applyFill="1" applyBorder="1" applyAlignment="1">
      <alignment horizontal="center" vertical="center" wrapText="1"/>
    </xf>
    <xf numFmtId="0" fontId="21" fillId="33" borderId="11"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4" xfId="0" applyFont="1" applyFill="1" applyBorder="1" applyAlignment="1">
      <alignment horizontal="center" vertical="center" wrapText="1"/>
    </xf>
    <xf numFmtId="0" fontId="21" fillId="33" borderId="15" xfId="0" applyFont="1" applyFill="1" applyBorder="1" applyAlignment="1">
      <alignment horizontal="center" vertical="center" wrapText="1"/>
    </xf>
    <xf numFmtId="0" fontId="21" fillId="34" borderId="16" xfId="0"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18" fillId="35" borderId="13" xfId="0" applyFont="1" applyFill="1" applyBorder="1" applyAlignment="1">
      <alignment horizontal="center" vertical="center"/>
    </xf>
    <xf numFmtId="0" fontId="18" fillId="35" borderId="14" xfId="0" applyFont="1" applyFill="1" applyBorder="1" applyAlignment="1">
      <alignment horizontal="center" vertical="center"/>
    </xf>
    <xf numFmtId="0" fontId="18" fillId="35" borderId="15" xfId="0" applyFont="1" applyFill="1" applyBorder="1" applyAlignment="1">
      <alignment horizontal="center" vertical="center"/>
    </xf>
    <xf numFmtId="0" fontId="16" fillId="33" borderId="12"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22" fillId="38" borderId="13" xfId="0" applyFont="1" applyFill="1" applyBorder="1" applyAlignment="1">
      <alignment horizontal="center" vertical="center" wrapText="1"/>
    </xf>
    <xf numFmtId="0" fontId="22" fillId="38" borderId="14" xfId="0" applyFont="1" applyFill="1" applyBorder="1" applyAlignment="1">
      <alignment horizontal="center" vertical="center" wrapText="1"/>
    </xf>
    <xf numFmtId="0" fontId="22" fillId="38" borderId="15" xfId="0" applyFont="1" applyFill="1" applyBorder="1" applyAlignment="1">
      <alignment horizontal="center" vertical="center" wrapText="1"/>
    </xf>
    <xf numFmtId="0" fontId="20" fillId="33" borderId="20" xfId="0" applyFont="1" applyFill="1" applyBorder="1" applyAlignment="1">
      <alignment horizontal="center" vertical="center" wrapText="1"/>
    </xf>
    <xf numFmtId="0" fontId="20" fillId="33" borderId="39" xfId="0" applyFont="1" applyFill="1" applyBorder="1" applyAlignment="1">
      <alignment horizontal="center" vertical="center" wrapText="1"/>
    </xf>
    <xf numFmtId="0" fontId="22" fillId="33" borderId="22" xfId="0" applyFont="1" applyFill="1" applyBorder="1" applyAlignment="1">
      <alignment horizontal="center" vertical="center" wrapText="1"/>
    </xf>
    <xf numFmtId="0" fontId="22" fillId="33" borderId="44" xfId="0" applyFont="1" applyFill="1" applyBorder="1" applyAlignment="1">
      <alignment horizontal="center" vertical="center" wrapText="1"/>
    </xf>
    <xf numFmtId="0" fontId="22" fillId="35" borderId="16" xfId="0" applyFont="1" applyFill="1" applyBorder="1" applyAlignment="1">
      <alignment horizontal="center" vertical="center" wrapText="1"/>
    </xf>
    <xf numFmtId="0" fontId="22" fillId="35" borderId="11" xfId="0" applyFont="1" applyFill="1" applyBorder="1" applyAlignment="1">
      <alignment horizontal="center" vertical="center" wrapText="1"/>
    </xf>
    <xf numFmtId="0" fontId="22" fillId="35" borderId="12" xfId="0" applyFont="1" applyFill="1" applyBorder="1" applyAlignment="1">
      <alignment horizontal="center" vertical="center" wrapText="1"/>
    </xf>
    <xf numFmtId="0" fontId="22" fillId="34" borderId="16" xfId="0" applyFont="1" applyFill="1" applyBorder="1" applyAlignment="1">
      <alignment horizontal="center" vertical="center" wrapText="1"/>
    </xf>
    <xf numFmtId="0" fontId="22" fillId="34" borderId="11"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16" fillId="33" borderId="39" xfId="0" applyFont="1" applyFill="1" applyBorder="1" applyAlignment="1">
      <alignment horizontal="center" vertical="center" wrapText="1"/>
    </xf>
    <xf numFmtId="0" fontId="22" fillId="33" borderId="48" xfId="0" applyFont="1" applyFill="1" applyBorder="1" applyAlignment="1">
      <alignment horizontal="center" vertical="center" wrapText="1"/>
    </xf>
  </cellXfs>
  <cellStyles count="46">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1" builtinId="3"/>
    <cellStyle name="Currency" xfId="2" builtinId="4"/>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5" builtinId="8"/>
    <cellStyle name="Input" xfId="12" builtinId="20" customBuiltin="1"/>
    <cellStyle name="Linked Cell" xfId="15" builtinId="24" customBuiltin="1"/>
    <cellStyle name="Neutral" xfId="11" builtinId="28" customBuiltin="1"/>
    <cellStyle name="Normal" xfId="0" builtinId="0"/>
    <cellStyle name="Note" xfId="18" builtinId="10" customBuiltin="1"/>
    <cellStyle name="Output" xfId="13" builtinId="21" customBuiltin="1"/>
    <cellStyle name="Percent" xfId="3" builtinId="5"/>
    <cellStyle name="Title" xfId="4" builtinId="15" customBuiltin="1"/>
    <cellStyle name="Total" xfId="20" builtinId="25" customBuiltin="1"/>
    <cellStyle name="Warning Text" xfId="1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muel.nah/AppData/Local/Microsoft/Windows/Temporary%20Internet%20Files/Content.Outlook/76X3I560/Advancing%20Reconciliation%20Project%20-%20Annual%20Financial%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ty"/>
      <sheetName val="Budget Revision "/>
    </sheetNames>
    <sheetDataSet>
      <sheetData sheetId="0" refreshError="1">
        <row r="8">
          <cell r="H8">
            <v>28400</v>
          </cell>
        </row>
        <row r="9">
          <cell r="H9">
            <v>57075.11</v>
          </cell>
        </row>
        <row r="10">
          <cell r="H10">
            <v>3000</v>
          </cell>
        </row>
        <row r="11">
          <cell r="H11">
            <v>12000</v>
          </cell>
        </row>
        <row r="12">
          <cell r="H12">
            <v>25000</v>
          </cell>
        </row>
        <row r="13">
          <cell r="E13">
            <v>14000</v>
          </cell>
        </row>
        <row r="14">
          <cell r="E14">
            <v>2000</v>
          </cell>
        </row>
        <row r="15">
          <cell r="E15">
            <v>6000</v>
          </cell>
        </row>
        <row r="16">
          <cell r="E16">
            <v>16000</v>
          </cell>
        </row>
        <row r="17">
          <cell r="E17">
            <v>50000</v>
          </cell>
        </row>
        <row r="18">
          <cell r="E18">
            <v>40000</v>
          </cell>
        </row>
        <row r="19">
          <cell r="E19">
            <v>10000</v>
          </cell>
        </row>
        <row r="20">
          <cell r="E20">
            <v>30000</v>
          </cell>
        </row>
        <row r="21">
          <cell r="E21">
            <v>20000</v>
          </cell>
        </row>
        <row r="22">
          <cell r="E22">
            <v>14000</v>
          </cell>
        </row>
        <row r="23">
          <cell r="K23">
            <v>25000</v>
          </cell>
        </row>
        <row r="24">
          <cell r="K24">
            <v>6000</v>
          </cell>
        </row>
        <row r="25">
          <cell r="E25">
            <v>18000</v>
          </cell>
        </row>
        <row r="26">
          <cell r="E26">
            <v>4000</v>
          </cell>
        </row>
        <row r="27">
          <cell r="E27">
            <v>20000</v>
          </cell>
        </row>
        <row r="28">
          <cell r="E28">
            <v>5000</v>
          </cell>
        </row>
        <row r="29">
          <cell r="E29">
            <v>2000</v>
          </cell>
        </row>
        <row r="30">
          <cell r="E30">
            <v>5000</v>
          </cell>
        </row>
        <row r="32">
          <cell r="K32">
            <v>49350</v>
          </cell>
        </row>
        <row r="33">
          <cell r="K33">
            <v>6400</v>
          </cell>
        </row>
        <row r="34">
          <cell r="K34">
            <v>20250</v>
          </cell>
        </row>
        <row r="35">
          <cell r="K35">
            <v>15070</v>
          </cell>
        </row>
        <row r="36">
          <cell r="K36">
            <v>30000</v>
          </cell>
        </row>
        <row r="37">
          <cell r="K37">
            <v>20000</v>
          </cell>
        </row>
        <row r="38">
          <cell r="K38">
            <v>3750</v>
          </cell>
        </row>
        <row r="39">
          <cell r="K39">
            <v>30055</v>
          </cell>
        </row>
        <row r="40">
          <cell r="K40">
            <v>20000</v>
          </cell>
        </row>
        <row r="43">
          <cell r="E43">
            <v>30000</v>
          </cell>
        </row>
        <row r="44">
          <cell r="E44">
            <v>4000</v>
          </cell>
        </row>
        <row r="45">
          <cell r="E45">
            <v>7500</v>
          </cell>
        </row>
        <row r="46">
          <cell r="E46">
            <v>2000</v>
          </cell>
        </row>
        <row r="47">
          <cell r="E47">
            <v>3000</v>
          </cell>
        </row>
        <row r="48">
          <cell r="E48">
            <v>60000</v>
          </cell>
        </row>
        <row r="49">
          <cell r="E49">
            <v>16000</v>
          </cell>
        </row>
        <row r="50">
          <cell r="E50">
            <v>7000</v>
          </cell>
        </row>
        <row r="51">
          <cell r="E51">
            <v>55180</v>
          </cell>
        </row>
        <row r="52">
          <cell r="E52">
            <v>3450</v>
          </cell>
        </row>
        <row r="53">
          <cell r="E53">
            <v>10000</v>
          </cell>
        </row>
        <row r="54">
          <cell r="K54">
            <v>5000</v>
          </cell>
        </row>
        <row r="55">
          <cell r="K55">
            <v>43500</v>
          </cell>
        </row>
        <row r="57">
          <cell r="H57">
            <v>10000</v>
          </cell>
        </row>
        <row r="58">
          <cell r="H58">
            <v>5000</v>
          </cell>
        </row>
        <row r="59">
          <cell r="H59">
            <v>210000</v>
          </cell>
        </row>
        <row r="60">
          <cell r="H60">
            <v>40000</v>
          </cell>
        </row>
        <row r="61">
          <cell r="H61">
            <v>15400</v>
          </cell>
        </row>
        <row r="62">
          <cell r="H62">
            <v>14600</v>
          </cell>
        </row>
        <row r="63">
          <cell r="H63">
            <v>13300</v>
          </cell>
        </row>
        <row r="64">
          <cell r="H64">
            <v>39900</v>
          </cell>
        </row>
        <row r="65">
          <cell r="H65">
            <v>3000</v>
          </cell>
        </row>
        <row r="66">
          <cell r="H66">
            <v>35000</v>
          </cell>
        </row>
        <row r="67">
          <cell r="H67">
            <v>25000</v>
          </cell>
        </row>
        <row r="68">
          <cell r="H68">
            <v>16000</v>
          </cell>
        </row>
        <row r="69">
          <cell r="H69">
            <v>16388</v>
          </cell>
        </row>
        <row r="71">
          <cell r="K71">
            <v>25060.5</v>
          </cell>
        </row>
        <row r="72">
          <cell r="E72">
            <v>10000</v>
          </cell>
          <cell r="H72">
            <v>10000.700000000001</v>
          </cell>
        </row>
        <row r="73">
          <cell r="E73">
            <v>25000</v>
          </cell>
        </row>
        <row r="74">
          <cell r="E74">
            <v>2000</v>
          </cell>
        </row>
        <row r="76">
          <cell r="K76">
            <v>82676</v>
          </cell>
        </row>
        <row r="77">
          <cell r="E77">
            <v>15022</v>
          </cell>
          <cell r="H77">
            <v>15000</v>
          </cell>
          <cell r="K77">
            <v>13000</v>
          </cell>
        </row>
        <row r="79">
          <cell r="E79">
            <v>35430.639999999999</v>
          </cell>
          <cell r="H79">
            <v>41584.466699999997</v>
          </cell>
          <cell r="K79">
            <v>27657.805</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96"/>
  <sheetViews>
    <sheetView topLeftCell="A73" zoomScale="70" zoomScaleNormal="70" workbookViewId="0">
      <selection activeCell="G88" sqref="G88"/>
    </sheetView>
  </sheetViews>
  <sheetFormatPr defaultColWidth="9.33203125" defaultRowHeight="13.8" x14ac:dyDescent="0.3"/>
  <cols>
    <col min="1" max="1" width="16" style="276" customWidth="1"/>
    <col min="2" max="2" width="45" style="276" customWidth="1"/>
    <col min="3" max="3" width="22" style="276" customWidth="1"/>
    <col min="4" max="4" width="27.6640625" style="20" customWidth="1"/>
    <col min="5" max="6" width="20" style="277" customWidth="1"/>
    <col min="7" max="7" width="9.5546875" style="278" customWidth="1"/>
    <col min="8" max="8" width="20" style="279" customWidth="1"/>
    <col min="9" max="9" width="18.6640625" style="279" customWidth="1"/>
    <col min="10" max="10" width="9.5546875" style="280" customWidth="1"/>
    <col min="11" max="12" width="19.88671875" style="279" customWidth="1"/>
    <col min="13" max="13" width="8.88671875" style="280" customWidth="1"/>
    <col min="14" max="14" width="13.109375" style="20" customWidth="1"/>
    <col min="15" max="15" width="19" style="20" customWidth="1"/>
    <col min="16" max="20" width="13" style="20" customWidth="1"/>
    <col min="21" max="16384" width="9.33203125" style="20"/>
  </cols>
  <sheetData>
    <row r="1" spans="1:15" ht="37.5" customHeight="1" thickBot="1" x14ac:dyDescent="0.35">
      <c r="A1" s="471" t="s">
        <v>33</v>
      </c>
      <c r="B1" s="472"/>
      <c r="C1" s="472"/>
      <c r="D1" s="472"/>
      <c r="E1" s="472"/>
      <c r="F1" s="472"/>
      <c r="G1" s="472"/>
      <c r="H1" s="472"/>
      <c r="I1" s="472"/>
      <c r="J1" s="472"/>
      <c r="K1" s="472"/>
      <c r="L1" s="472"/>
      <c r="M1" s="472"/>
      <c r="N1" s="472"/>
      <c r="O1" s="473"/>
    </row>
    <row r="2" spans="1:15" ht="32.25" customHeight="1" thickBot="1" x14ac:dyDescent="0.35">
      <c r="A2" s="471" t="s">
        <v>34</v>
      </c>
      <c r="B2" s="472"/>
      <c r="C2" s="472"/>
      <c r="D2" s="472"/>
      <c r="E2" s="472"/>
      <c r="F2" s="472"/>
      <c r="G2" s="472"/>
      <c r="H2" s="472"/>
      <c r="I2" s="472"/>
      <c r="J2" s="472"/>
      <c r="K2" s="472"/>
      <c r="L2" s="472"/>
      <c r="M2" s="472"/>
      <c r="N2" s="472"/>
      <c r="O2" s="473"/>
    </row>
    <row r="3" spans="1:15" ht="38.25" customHeight="1" thickBot="1" x14ac:dyDescent="0.35">
      <c r="A3" s="474" t="s">
        <v>35</v>
      </c>
      <c r="B3" s="475"/>
      <c r="C3" s="475"/>
      <c r="D3" s="475"/>
      <c r="E3" s="475"/>
      <c r="F3" s="475"/>
      <c r="G3" s="475"/>
      <c r="H3" s="475"/>
      <c r="I3" s="475"/>
      <c r="J3" s="475"/>
      <c r="K3" s="475"/>
      <c r="L3" s="475"/>
      <c r="M3" s="475"/>
      <c r="N3" s="475"/>
      <c r="O3" s="476"/>
    </row>
    <row r="4" spans="1:15" ht="40.5" customHeight="1" thickBot="1" x14ac:dyDescent="0.35">
      <c r="A4" s="21"/>
      <c r="B4" s="22"/>
      <c r="C4" s="21"/>
      <c r="D4" s="22"/>
      <c r="E4" s="477" t="s">
        <v>2</v>
      </c>
      <c r="F4" s="478"/>
      <c r="G4" s="479"/>
      <c r="H4" s="480" t="s">
        <v>3</v>
      </c>
      <c r="I4" s="481"/>
      <c r="J4" s="482"/>
      <c r="K4" s="483" t="s">
        <v>36</v>
      </c>
      <c r="L4" s="484"/>
      <c r="M4" s="485"/>
      <c r="N4" s="22"/>
      <c r="O4" s="23"/>
    </row>
    <row r="5" spans="1:15" ht="182.25" customHeight="1" thickBot="1" x14ac:dyDescent="0.35">
      <c r="A5" s="24" t="s">
        <v>37</v>
      </c>
      <c r="B5" s="25" t="s">
        <v>38</v>
      </c>
      <c r="C5" s="25" t="s">
        <v>39</v>
      </c>
      <c r="D5" s="26" t="s">
        <v>40</v>
      </c>
      <c r="E5" s="27" t="s">
        <v>41</v>
      </c>
      <c r="F5" s="28" t="s">
        <v>42</v>
      </c>
      <c r="G5" s="29" t="s">
        <v>43</v>
      </c>
      <c r="H5" s="30" t="s">
        <v>44</v>
      </c>
      <c r="I5" s="31" t="s">
        <v>45</v>
      </c>
      <c r="J5" s="32" t="s">
        <v>46</v>
      </c>
      <c r="K5" s="33" t="s">
        <v>47</v>
      </c>
      <c r="L5" s="34" t="s">
        <v>48</v>
      </c>
      <c r="M5" s="35" t="s">
        <v>49</v>
      </c>
      <c r="N5" s="36" t="s">
        <v>50</v>
      </c>
      <c r="O5" s="37" t="s">
        <v>51</v>
      </c>
    </row>
    <row r="6" spans="1:15" ht="42" customHeight="1" x14ac:dyDescent="0.35">
      <c r="A6" s="486" t="s">
        <v>52</v>
      </c>
      <c r="B6" s="487"/>
      <c r="C6" s="487"/>
      <c r="D6" s="488"/>
      <c r="E6" s="38">
        <f>E7+E31</f>
        <v>256000</v>
      </c>
      <c r="F6" s="38">
        <f>F7+F31</f>
        <v>223152.82</v>
      </c>
      <c r="G6" s="39">
        <f>F6/E6</f>
        <v>0.87169070312500008</v>
      </c>
      <c r="H6" s="40">
        <f>H7+H31</f>
        <v>125475.11</v>
      </c>
      <c r="I6" s="40">
        <f>I7+I31</f>
        <v>84651.64</v>
      </c>
      <c r="J6" s="41">
        <f>I6/H6</f>
        <v>0.67464886063857599</v>
      </c>
      <c r="K6" s="42">
        <f>K7+K31</f>
        <v>225875</v>
      </c>
      <c r="L6" s="42">
        <f>L7+L31</f>
        <v>206344.07</v>
      </c>
      <c r="M6" s="43">
        <f>L6/K6</f>
        <v>0.91353213060320981</v>
      </c>
      <c r="N6" s="44">
        <v>0.79</v>
      </c>
      <c r="O6" s="45"/>
    </row>
    <row r="7" spans="1:15" ht="35.25" customHeight="1" x14ac:dyDescent="0.35">
      <c r="A7" s="489" t="s">
        <v>53</v>
      </c>
      <c r="B7" s="490"/>
      <c r="C7" s="490"/>
      <c r="D7" s="491"/>
      <c r="E7" s="46">
        <f>SUM(E8:E30)</f>
        <v>256000</v>
      </c>
      <c r="F7" s="46">
        <f>SUM(F8:F30)</f>
        <v>223152.82</v>
      </c>
      <c r="G7" s="47">
        <f t="shared" ref="G7:G70" si="0">F7/E7</f>
        <v>0.87169070312500008</v>
      </c>
      <c r="H7" s="46">
        <f>SUM(H8:H30)</f>
        <v>125475.11</v>
      </c>
      <c r="I7" s="46">
        <f>SUM(I8:I30)</f>
        <v>84651.64</v>
      </c>
      <c r="J7" s="48">
        <f>I7/H7</f>
        <v>0.67464886063857599</v>
      </c>
      <c r="K7" s="46">
        <f>SUM(K8:K30)</f>
        <v>31000</v>
      </c>
      <c r="L7" s="46">
        <f>SUM(L8:L30)</f>
        <v>37705</v>
      </c>
      <c r="M7" s="49"/>
      <c r="N7" s="50">
        <v>0.08</v>
      </c>
      <c r="O7" s="51"/>
    </row>
    <row r="8" spans="1:15" ht="85.5" customHeight="1" x14ac:dyDescent="0.35">
      <c r="A8" s="492" t="s">
        <v>54</v>
      </c>
      <c r="B8" s="493" t="s">
        <v>55</v>
      </c>
      <c r="C8" s="52" t="s">
        <v>25</v>
      </c>
      <c r="D8" s="53" t="s">
        <v>56</v>
      </c>
      <c r="E8" s="54"/>
      <c r="F8" s="55"/>
      <c r="G8" s="39"/>
      <c r="H8" s="56">
        <f>60*3*130+5000</f>
        <v>28400</v>
      </c>
      <c r="I8" s="57">
        <v>28400</v>
      </c>
      <c r="J8" s="58">
        <f>I8/H8</f>
        <v>1</v>
      </c>
      <c r="K8" s="59"/>
      <c r="L8" s="60"/>
      <c r="M8" s="61"/>
      <c r="N8" s="62">
        <v>0.5</v>
      </c>
      <c r="O8" s="63"/>
    </row>
    <row r="9" spans="1:15" ht="48" customHeight="1" x14ac:dyDescent="0.35">
      <c r="A9" s="492"/>
      <c r="B9" s="493"/>
      <c r="C9" s="64" t="s">
        <v>26</v>
      </c>
      <c r="D9" s="53" t="s">
        <v>57</v>
      </c>
      <c r="E9" s="65"/>
      <c r="F9" s="66"/>
      <c r="G9" s="39"/>
      <c r="H9" s="56">
        <f>50000+5000+2060.2+14.91</f>
        <v>57075.11</v>
      </c>
      <c r="I9" s="57">
        <v>16251.64</v>
      </c>
      <c r="J9" s="58">
        <f t="shared" ref="J9:J12" si="1">I9/H9</f>
        <v>0.28474128214557975</v>
      </c>
      <c r="K9" s="59"/>
      <c r="L9" s="60"/>
      <c r="M9" s="61"/>
      <c r="N9" s="62">
        <v>0.5</v>
      </c>
      <c r="O9" s="63"/>
    </row>
    <row r="10" spans="1:15" ht="50.25" customHeight="1" x14ac:dyDescent="0.35">
      <c r="A10" s="492"/>
      <c r="B10" s="493"/>
      <c r="C10" s="52" t="s">
        <v>26</v>
      </c>
      <c r="D10" s="53" t="s">
        <v>58</v>
      </c>
      <c r="E10" s="54"/>
      <c r="F10" s="55"/>
      <c r="G10" s="39"/>
      <c r="H10" s="56">
        <f>100*30</f>
        <v>3000</v>
      </c>
      <c r="I10" s="57">
        <v>3000</v>
      </c>
      <c r="J10" s="58">
        <f t="shared" si="1"/>
        <v>1</v>
      </c>
      <c r="K10" s="59"/>
      <c r="L10" s="60"/>
      <c r="M10" s="61"/>
      <c r="N10" s="62">
        <v>0.5</v>
      </c>
      <c r="O10" s="63"/>
    </row>
    <row r="11" spans="1:15" ht="41.4" x14ac:dyDescent="0.35">
      <c r="A11" s="67" t="s">
        <v>59</v>
      </c>
      <c r="B11" s="52" t="s">
        <v>60</v>
      </c>
      <c r="C11" s="52" t="s">
        <v>26</v>
      </c>
      <c r="D11" s="68" t="s">
        <v>61</v>
      </c>
      <c r="E11" s="65"/>
      <c r="F11" s="66"/>
      <c r="G11" s="39"/>
      <c r="H11" s="56">
        <v>12000</v>
      </c>
      <c r="I11" s="57">
        <v>12000</v>
      </c>
      <c r="J11" s="58">
        <f t="shared" si="1"/>
        <v>1</v>
      </c>
      <c r="K11" s="59"/>
      <c r="L11" s="60"/>
      <c r="M11" s="61"/>
      <c r="N11" s="69">
        <v>0.5</v>
      </c>
      <c r="O11" s="63"/>
    </row>
    <row r="12" spans="1:15" ht="50.25" customHeight="1" x14ac:dyDescent="0.35">
      <c r="A12" s="67" t="s">
        <v>62</v>
      </c>
      <c r="B12" s="52" t="s">
        <v>63</v>
      </c>
      <c r="C12" s="52" t="s">
        <v>27</v>
      </c>
      <c r="D12" s="68" t="s">
        <v>64</v>
      </c>
      <c r="E12" s="65"/>
      <c r="F12" s="66"/>
      <c r="G12" s="39"/>
      <c r="H12" s="56">
        <v>25000</v>
      </c>
      <c r="I12" s="57">
        <v>25000</v>
      </c>
      <c r="J12" s="58">
        <f t="shared" si="1"/>
        <v>1</v>
      </c>
      <c r="K12" s="59"/>
      <c r="L12" s="60"/>
      <c r="M12" s="61"/>
      <c r="N12" s="69">
        <v>0.5</v>
      </c>
      <c r="O12" s="63"/>
    </row>
    <row r="13" spans="1:15" ht="76.5" customHeight="1" x14ac:dyDescent="0.35">
      <c r="A13" s="494" t="s">
        <v>65</v>
      </c>
      <c r="B13" s="70" t="s">
        <v>66</v>
      </c>
      <c r="C13" s="52" t="s">
        <v>25</v>
      </c>
      <c r="D13" s="71" t="s">
        <v>67</v>
      </c>
      <c r="E13" s="54">
        <v>14000</v>
      </c>
      <c r="F13" s="55">
        <v>2680</v>
      </c>
      <c r="G13" s="39">
        <f t="shared" si="0"/>
        <v>0.19142857142857142</v>
      </c>
      <c r="H13" s="56"/>
      <c r="I13" s="57"/>
      <c r="J13" s="58"/>
      <c r="K13" s="59"/>
      <c r="L13" s="60"/>
      <c r="M13" s="61"/>
      <c r="N13" s="69"/>
      <c r="O13" s="63"/>
    </row>
    <row r="14" spans="1:15" ht="31.5" customHeight="1" x14ac:dyDescent="0.35">
      <c r="A14" s="466"/>
      <c r="B14" s="70"/>
      <c r="C14" s="52" t="s">
        <v>25</v>
      </c>
      <c r="D14" s="68" t="s">
        <v>68</v>
      </c>
      <c r="E14" s="54">
        <v>2000</v>
      </c>
      <c r="F14" s="55">
        <v>5859.32</v>
      </c>
      <c r="G14" s="39">
        <f t="shared" si="0"/>
        <v>2.9296599999999997</v>
      </c>
      <c r="H14" s="56"/>
      <c r="I14" s="57"/>
      <c r="J14" s="58"/>
      <c r="K14" s="59"/>
      <c r="L14" s="60"/>
      <c r="M14" s="61"/>
      <c r="N14" s="69"/>
      <c r="O14" s="63"/>
    </row>
    <row r="15" spans="1:15" ht="18.75" customHeight="1" x14ac:dyDescent="0.35">
      <c r="A15" s="467"/>
      <c r="B15" s="70"/>
      <c r="C15" s="52" t="s">
        <v>26</v>
      </c>
      <c r="D15" s="53" t="s">
        <v>69</v>
      </c>
      <c r="E15" s="65">
        <v>6000</v>
      </c>
      <c r="F15" s="72">
        <v>16048.17</v>
      </c>
      <c r="G15" s="39">
        <f t="shared" si="0"/>
        <v>2.6746949999999998</v>
      </c>
      <c r="H15" s="56"/>
      <c r="I15" s="57"/>
      <c r="J15" s="58"/>
      <c r="K15" s="59"/>
      <c r="L15" s="60"/>
      <c r="M15" s="61"/>
      <c r="N15" s="69"/>
      <c r="O15" s="63"/>
    </row>
    <row r="16" spans="1:15" s="87" customFormat="1" ht="87" customHeight="1" x14ac:dyDescent="0.35">
      <c r="A16" s="73" t="s">
        <v>70</v>
      </c>
      <c r="B16" s="74" t="s">
        <v>71</v>
      </c>
      <c r="C16" s="75" t="s">
        <v>25</v>
      </c>
      <c r="D16" s="76" t="s">
        <v>72</v>
      </c>
      <c r="E16" s="77">
        <v>16000</v>
      </c>
      <c r="F16" s="78">
        <v>16000</v>
      </c>
      <c r="G16" s="39">
        <f t="shared" si="0"/>
        <v>1</v>
      </c>
      <c r="H16" s="79"/>
      <c r="I16" s="80"/>
      <c r="J16" s="81"/>
      <c r="K16" s="82"/>
      <c r="L16" s="83"/>
      <c r="M16" s="84"/>
      <c r="N16" s="85"/>
      <c r="O16" s="86"/>
    </row>
    <row r="17" spans="1:15" s="87" customFormat="1" ht="117.75" customHeight="1" x14ac:dyDescent="0.35">
      <c r="A17" s="466" t="s">
        <v>73</v>
      </c>
      <c r="B17" s="468" t="s">
        <v>74</v>
      </c>
      <c r="C17" s="88" t="s">
        <v>26</v>
      </c>
      <c r="D17" s="89" t="s">
        <v>75</v>
      </c>
      <c r="E17" s="90">
        <v>50000</v>
      </c>
      <c r="F17" s="91">
        <v>47031.33</v>
      </c>
      <c r="G17" s="39">
        <f t="shared" si="0"/>
        <v>0.94062660000000009</v>
      </c>
      <c r="H17" s="79"/>
      <c r="I17" s="80"/>
      <c r="J17" s="81"/>
      <c r="K17" s="82"/>
      <c r="L17" s="83"/>
      <c r="M17" s="84"/>
      <c r="N17" s="85"/>
      <c r="O17" s="86"/>
    </row>
    <row r="18" spans="1:15" ht="122.25" customHeight="1" x14ac:dyDescent="0.35">
      <c r="A18" s="466"/>
      <c r="B18" s="469"/>
      <c r="C18" s="52" t="s">
        <v>25</v>
      </c>
      <c r="D18" s="68" t="s">
        <v>76</v>
      </c>
      <c r="E18" s="90">
        <f>20000+20000</f>
        <v>40000</v>
      </c>
      <c r="F18" s="78">
        <v>40000</v>
      </c>
      <c r="G18" s="39">
        <f t="shared" si="0"/>
        <v>1</v>
      </c>
      <c r="H18" s="79"/>
      <c r="I18" s="80"/>
      <c r="J18" s="81"/>
      <c r="K18" s="82"/>
      <c r="L18" s="83"/>
      <c r="M18" s="84"/>
      <c r="N18" s="92"/>
      <c r="O18" s="86"/>
    </row>
    <row r="19" spans="1:15" ht="76.5" customHeight="1" x14ac:dyDescent="0.35">
      <c r="A19" s="467"/>
      <c r="B19" s="470"/>
      <c r="C19" s="52" t="s">
        <v>25</v>
      </c>
      <c r="D19" s="68" t="s">
        <v>77</v>
      </c>
      <c r="E19" s="90">
        <v>10000</v>
      </c>
      <c r="F19" s="78">
        <v>10000</v>
      </c>
      <c r="G19" s="39">
        <f t="shared" si="0"/>
        <v>1</v>
      </c>
      <c r="H19" s="79"/>
      <c r="I19" s="80"/>
      <c r="J19" s="81"/>
      <c r="K19" s="82"/>
      <c r="L19" s="83"/>
      <c r="M19" s="84"/>
      <c r="N19" s="92"/>
      <c r="O19" s="86"/>
    </row>
    <row r="20" spans="1:15" ht="50.25" customHeight="1" x14ac:dyDescent="0.35">
      <c r="A20" s="494" t="s">
        <v>78</v>
      </c>
      <c r="B20" s="495" t="s">
        <v>79</v>
      </c>
      <c r="C20" s="52" t="s">
        <v>26</v>
      </c>
      <c r="D20" s="53" t="s">
        <v>80</v>
      </c>
      <c r="E20" s="93">
        <v>30000</v>
      </c>
      <c r="F20" s="94">
        <v>10000</v>
      </c>
      <c r="G20" s="39">
        <f t="shared" si="0"/>
        <v>0.33333333333333331</v>
      </c>
      <c r="H20" s="79"/>
      <c r="I20" s="80"/>
      <c r="J20" s="81"/>
      <c r="K20" s="82"/>
      <c r="L20" s="83"/>
      <c r="M20" s="84"/>
      <c r="N20" s="92"/>
      <c r="O20" s="86"/>
    </row>
    <row r="21" spans="1:15" ht="62.25" customHeight="1" x14ac:dyDescent="0.35">
      <c r="A21" s="466"/>
      <c r="B21" s="496"/>
      <c r="C21" s="52" t="s">
        <v>25</v>
      </c>
      <c r="D21" s="95" t="s">
        <v>81</v>
      </c>
      <c r="E21" s="96">
        <v>20000</v>
      </c>
      <c r="F21" s="97"/>
      <c r="G21" s="39">
        <f t="shared" si="0"/>
        <v>0</v>
      </c>
      <c r="H21" s="98"/>
      <c r="I21" s="99"/>
      <c r="J21" s="100"/>
      <c r="K21" s="101"/>
      <c r="L21" s="102"/>
      <c r="M21" s="103"/>
      <c r="N21" s="92"/>
      <c r="O21" s="86"/>
    </row>
    <row r="22" spans="1:15" ht="40.5" customHeight="1" x14ac:dyDescent="0.35">
      <c r="A22" s="467"/>
      <c r="B22" s="497"/>
      <c r="C22" s="52" t="s">
        <v>25</v>
      </c>
      <c r="D22" s="95" t="s">
        <v>82</v>
      </c>
      <c r="E22" s="96">
        <v>14000</v>
      </c>
      <c r="F22" s="97">
        <v>14000</v>
      </c>
      <c r="G22" s="39">
        <f t="shared" si="0"/>
        <v>1</v>
      </c>
      <c r="H22" s="98"/>
      <c r="I22" s="99"/>
      <c r="J22" s="100"/>
      <c r="K22" s="101"/>
      <c r="L22" s="102"/>
      <c r="M22" s="103"/>
      <c r="N22" s="92"/>
      <c r="O22" s="86"/>
    </row>
    <row r="23" spans="1:15" s="110" customFormat="1" ht="33" customHeight="1" x14ac:dyDescent="0.35">
      <c r="A23" s="498" t="s">
        <v>83</v>
      </c>
      <c r="B23" s="500" t="s">
        <v>84</v>
      </c>
      <c r="C23" s="104" t="s">
        <v>25</v>
      </c>
      <c r="D23" s="105" t="s">
        <v>85</v>
      </c>
      <c r="E23" s="106"/>
      <c r="F23" s="107"/>
      <c r="G23" s="39"/>
      <c r="H23" s="108"/>
      <c r="I23" s="109"/>
      <c r="J23" s="100"/>
      <c r="K23" s="101">
        <v>25000</v>
      </c>
      <c r="L23" s="102">
        <v>37705</v>
      </c>
      <c r="M23" s="103">
        <f>L23/K23</f>
        <v>1.5082</v>
      </c>
      <c r="N23" s="85"/>
      <c r="O23" s="86"/>
    </row>
    <row r="24" spans="1:15" s="110" customFormat="1" ht="48" customHeight="1" x14ac:dyDescent="0.35">
      <c r="A24" s="499"/>
      <c r="B24" s="501"/>
      <c r="C24" s="111" t="s">
        <v>23</v>
      </c>
      <c r="D24" s="112" t="s">
        <v>86</v>
      </c>
      <c r="E24" s="113"/>
      <c r="F24" s="114"/>
      <c r="G24" s="39"/>
      <c r="H24" s="115"/>
      <c r="I24" s="116"/>
      <c r="J24" s="81"/>
      <c r="K24" s="117">
        <f>6000+K30</f>
        <v>6000</v>
      </c>
      <c r="L24" s="118"/>
      <c r="M24" s="103">
        <f>L24/K24</f>
        <v>0</v>
      </c>
      <c r="N24" s="85"/>
      <c r="O24" s="86"/>
    </row>
    <row r="25" spans="1:15" s="110" customFormat="1" ht="32.25" customHeight="1" x14ac:dyDescent="0.35">
      <c r="A25" s="502" t="s">
        <v>87</v>
      </c>
      <c r="B25" s="495" t="s">
        <v>88</v>
      </c>
      <c r="C25" s="52" t="s">
        <v>25</v>
      </c>
      <c r="D25" s="68" t="s">
        <v>89</v>
      </c>
      <c r="E25" s="93">
        <v>18000</v>
      </c>
      <c r="F25" s="94">
        <v>25534</v>
      </c>
      <c r="G25" s="39">
        <f t="shared" si="0"/>
        <v>1.4185555555555556</v>
      </c>
      <c r="H25" s="115"/>
      <c r="I25" s="116"/>
      <c r="J25" s="81"/>
      <c r="K25" s="117"/>
      <c r="L25" s="118"/>
      <c r="M25" s="84"/>
      <c r="N25" s="85"/>
      <c r="O25" s="86"/>
    </row>
    <row r="26" spans="1:15" s="110" customFormat="1" ht="57" customHeight="1" x14ac:dyDescent="0.35">
      <c r="A26" s="503"/>
      <c r="B26" s="497"/>
      <c r="C26" s="52" t="s">
        <v>25</v>
      </c>
      <c r="D26" s="68" t="s">
        <v>90</v>
      </c>
      <c r="E26" s="93">
        <v>4000</v>
      </c>
      <c r="F26" s="94">
        <v>4000</v>
      </c>
      <c r="G26" s="39">
        <f t="shared" si="0"/>
        <v>1</v>
      </c>
      <c r="H26" s="115"/>
      <c r="I26" s="116"/>
      <c r="J26" s="81"/>
      <c r="K26" s="117"/>
      <c r="L26" s="118"/>
      <c r="M26" s="84"/>
      <c r="N26" s="85"/>
      <c r="O26" s="86"/>
    </row>
    <row r="27" spans="1:15" s="87" customFormat="1" ht="84" customHeight="1" x14ac:dyDescent="0.35">
      <c r="A27" s="492" t="s">
        <v>91</v>
      </c>
      <c r="B27" s="493" t="s">
        <v>92</v>
      </c>
      <c r="C27" s="111" t="s">
        <v>25</v>
      </c>
      <c r="D27" s="71" t="s">
        <v>93</v>
      </c>
      <c r="E27" s="93">
        <v>20000</v>
      </c>
      <c r="F27" s="94">
        <v>20000</v>
      </c>
      <c r="G27" s="39">
        <f t="shared" si="0"/>
        <v>1</v>
      </c>
      <c r="H27" s="119"/>
      <c r="I27" s="120"/>
      <c r="J27" s="121"/>
      <c r="K27" s="82"/>
      <c r="L27" s="83"/>
      <c r="M27" s="84"/>
      <c r="N27" s="85"/>
      <c r="O27" s="86"/>
    </row>
    <row r="28" spans="1:15" s="87" customFormat="1" ht="63.75" customHeight="1" x14ac:dyDescent="0.35">
      <c r="A28" s="492"/>
      <c r="B28" s="493"/>
      <c r="C28" s="111" t="s">
        <v>23</v>
      </c>
      <c r="D28" s="71" t="s">
        <v>94</v>
      </c>
      <c r="E28" s="93">
        <v>5000</v>
      </c>
      <c r="F28" s="94">
        <v>5000</v>
      </c>
      <c r="G28" s="39">
        <f t="shared" si="0"/>
        <v>1</v>
      </c>
      <c r="H28" s="119"/>
      <c r="I28" s="120"/>
      <c r="J28" s="121"/>
      <c r="K28" s="82"/>
      <c r="L28" s="83"/>
      <c r="M28" s="84"/>
      <c r="N28" s="85"/>
      <c r="O28" s="86"/>
    </row>
    <row r="29" spans="1:15" s="87" customFormat="1" ht="24" customHeight="1" x14ac:dyDescent="0.35">
      <c r="A29" s="492"/>
      <c r="B29" s="493"/>
      <c r="C29" s="111" t="s">
        <v>25</v>
      </c>
      <c r="D29" s="71" t="s">
        <v>95</v>
      </c>
      <c r="E29" s="93">
        <v>2000</v>
      </c>
      <c r="F29" s="94">
        <v>2000</v>
      </c>
      <c r="G29" s="39">
        <f t="shared" si="0"/>
        <v>1</v>
      </c>
      <c r="H29" s="119"/>
      <c r="I29" s="120"/>
      <c r="J29" s="121"/>
      <c r="K29" s="82"/>
      <c r="L29" s="83"/>
      <c r="M29" s="84"/>
      <c r="N29" s="85"/>
      <c r="O29" s="86"/>
    </row>
    <row r="30" spans="1:15" ht="19.5" customHeight="1" x14ac:dyDescent="0.35">
      <c r="A30" s="506"/>
      <c r="B30" s="507"/>
      <c r="C30" s="52" t="s">
        <v>26</v>
      </c>
      <c r="D30" s="68" t="s">
        <v>96</v>
      </c>
      <c r="E30" s="93">
        <v>5000</v>
      </c>
      <c r="F30" s="94">
        <v>5000</v>
      </c>
      <c r="G30" s="39">
        <f t="shared" si="0"/>
        <v>1</v>
      </c>
      <c r="H30" s="79"/>
      <c r="I30" s="80"/>
      <c r="J30" s="81"/>
      <c r="K30" s="82"/>
      <c r="L30" s="83"/>
      <c r="M30" s="84"/>
      <c r="N30" s="92"/>
      <c r="O30" s="86"/>
    </row>
    <row r="31" spans="1:15" s="128" customFormat="1" ht="48" customHeight="1" x14ac:dyDescent="0.35">
      <c r="A31" s="508" t="s">
        <v>97</v>
      </c>
      <c r="B31" s="509"/>
      <c r="C31" s="509"/>
      <c r="D31" s="509"/>
      <c r="E31" s="122">
        <f>SUM(E32:E40)</f>
        <v>0</v>
      </c>
      <c r="F31" s="123"/>
      <c r="G31" s="124"/>
      <c r="H31" s="122">
        <f>SUM(H32:H40)</f>
        <v>0</v>
      </c>
      <c r="I31" s="123"/>
      <c r="J31" s="125"/>
      <c r="K31" s="122">
        <f>SUM(K32:K40)</f>
        <v>194875</v>
      </c>
      <c r="L31" s="122">
        <f>SUM(L32:L40)</f>
        <v>168639.07</v>
      </c>
      <c r="M31" s="126">
        <f>L31/K31</f>
        <v>0.86537046824887753</v>
      </c>
      <c r="N31" s="127">
        <v>1</v>
      </c>
      <c r="O31" s="123"/>
    </row>
    <row r="32" spans="1:15" s="87" customFormat="1" ht="45.6" customHeight="1" x14ac:dyDescent="0.35">
      <c r="A32" s="510" t="s">
        <v>98</v>
      </c>
      <c r="B32" s="500" t="s">
        <v>99</v>
      </c>
      <c r="C32" s="52" t="s">
        <v>27</v>
      </c>
      <c r="D32" s="71"/>
      <c r="E32" s="54"/>
      <c r="F32" s="55"/>
      <c r="G32" s="39"/>
      <c r="H32" s="129"/>
      <c r="I32" s="130"/>
      <c r="J32" s="131"/>
      <c r="K32" s="132">
        <f>25000+13600+10750</f>
        <v>49350</v>
      </c>
      <c r="L32" s="133">
        <v>39245</v>
      </c>
      <c r="M32" s="134">
        <f>L32/K32</f>
        <v>0.79523809523809519</v>
      </c>
      <c r="N32" s="135"/>
      <c r="O32" s="63"/>
    </row>
    <row r="33" spans="1:15" s="87" customFormat="1" ht="45.6" customHeight="1" x14ac:dyDescent="0.35">
      <c r="A33" s="510"/>
      <c r="B33" s="511"/>
      <c r="C33" s="52" t="s">
        <v>26</v>
      </c>
      <c r="D33" s="68" t="s">
        <v>100</v>
      </c>
      <c r="E33" s="54"/>
      <c r="F33" s="55"/>
      <c r="G33" s="39"/>
      <c r="H33" s="129"/>
      <c r="I33" s="130"/>
      <c r="J33" s="131"/>
      <c r="K33" s="132">
        <f>80*80</f>
        <v>6400</v>
      </c>
      <c r="L33" s="133"/>
      <c r="M33" s="134">
        <f t="shared" ref="M33:M40" si="2">L33/K33</f>
        <v>0</v>
      </c>
      <c r="N33" s="135"/>
      <c r="O33" s="63"/>
    </row>
    <row r="34" spans="1:15" s="87" customFormat="1" ht="54" customHeight="1" x14ac:dyDescent="0.35">
      <c r="A34" s="512" t="s">
        <v>101</v>
      </c>
      <c r="B34" s="500" t="s">
        <v>102</v>
      </c>
      <c r="C34" s="136" t="s">
        <v>103</v>
      </c>
      <c r="D34" s="71"/>
      <c r="E34" s="137"/>
      <c r="F34" s="138"/>
      <c r="G34" s="39"/>
      <c r="H34" s="139"/>
      <c r="I34" s="140"/>
      <c r="J34" s="131"/>
      <c r="K34" s="141">
        <f>25000-1750-10000+7000</f>
        <v>20250</v>
      </c>
      <c r="L34" s="142">
        <v>58541.9</v>
      </c>
      <c r="M34" s="134">
        <f t="shared" si="2"/>
        <v>2.8909580246913582</v>
      </c>
      <c r="N34" s="135"/>
      <c r="O34" s="63"/>
    </row>
    <row r="35" spans="1:15" s="87" customFormat="1" ht="36.6" customHeight="1" x14ac:dyDescent="0.35">
      <c r="A35" s="513"/>
      <c r="B35" s="511"/>
      <c r="C35" s="52" t="s">
        <v>26</v>
      </c>
      <c r="D35" s="71" t="s">
        <v>104</v>
      </c>
      <c r="E35" s="137"/>
      <c r="F35" s="138"/>
      <c r="G35" s="39"/>
      <c r="H35" s="139"/>
      <c r="I35" s="140"/>
      <c r="J35" s="131"/>
      <c r="K35" s="141">
        <f>5070+10000</f>
        <v>15070</v>
      </c>
      <c r="L35" s="143"/>
      <c r="M35" s="134">
        <f t="shared" si="2"/>
        <v>0</v>
      </c>
      <c r="N35" s="135"/>
      <c r="O35" s="63"/>
    </row>
    <row r="36" spans="1:15" s="87" customFormat="1" ht="15" customHeight="1" x14ac:dyDescent="0.35">
      <c r="A36" s="512" t="s">
        <v>105</v>
      </c>
      <c r="B36" s="500" t="s">
        <v>106</v>
      </c>
      <c r="C36" s="52" t="s">
        <v>25</v>
      </c>
      <c r="D36" s="144" t="s">
        <v>107</v>
      </c>
      <c r="E36" s="54"/>
      <c r="F36" s="55"/>
      <c r="G36" s="39"/>
      <c r="H36" s="145"/>
      <c r="I36" s="146"/>
      <c r="J36" s="131"/>
      <c r="K36" s="141">
        <v>30000</v>
      </c>
      <c r="L36" s="143">
        <v>62200.17</v>
      </c>
      <c r="M36" s="134">
        <f t="shared" si="2"/>
        <v>2.0733389999999998</v>
      </c>
      <c r="N36" s="135"/>
      <c r="O36" s="63"/>
    </row>
    <row r="37" spans="1:15" s="87" customFormat="1" ht="27.6" x14ac:dyDescent="0.35">
      <c r="A37" s="513"/>
      <c r="B37" s="511"/>
      <c r="C37" s="111" t="s">
        <v>23</v>
      </c>
      <c r="D37" s="71" t="s">
        <v>108</v>
      </c>
      <c r="E37" s="54"/>
      <c r="F37" s="55"/>
      <c r="G37" s="39"/>
      <c r="H37" s="145"/>
      <c r="I37" s="146"/>
      <c r="J37" s="131"/>
      <c r="K37" s="59">
        <v>20000</v>
      </c>
      <c r="L37" s="60"/>
      <c r="M37" s="134">
        <f t="shared" si="2"/>
        <v>0</v>
      </c>
      <c r="N37" s="135"/>
      <c r="O37" s="63"/>
    </row>
    <row r="38" spans="1:15" s="87" customFormat="1" ht="86.7" customHeight="1" x14ac:dyDescent="0.35">
      <c r="A38" s="514"/>
      <c r="B38" s="501"/>
      <c r="C38" s="147" t="s">
        <v>26</v>
      </c>
      <c r="D38" s="71" t="s">
        <v>104</v>
      </c>
      <c r="E38" s="54"/>
      <c r="F38" s="55"/>
      <c r="G38" s="39"/>
      <c r="H38" s="145"/>
      <c r="I38" s="146"/>
      <c r="J38" s="131"/>
      <c r="K38" s="141">
        <f>25*70+2000</f>
        <v>3750</v>
      </c>
      <c r="L38" s="143"/>
      <c r="M38" s="134">
        <f t="shared" si="2"/>
        <v>0</v>
      </c>
      <c r="N38" s="135"/>
      <c r="O38" s="63"/>
    </row>
    <row r="39" spans="1:15" s="87" customFormat="1" ht="41.7" customHeight="1" x14ac:dyDescent="0.35">
      <c r="A39" s="494" t="s">
        <v>109</v>
      </c>
      <c r="B39" s="495" t="s">
        <v>110</v>
      </c>
      <c r="C39" s="52" t="s">
        <v>25</v>
      </c>
      <c r="D39" s="144" t="s">
        <v>107</v>
      </c>
      <c r="E39" s="54"/>
      <c r="F39" s="55"/>
      <c r="G39" s="39"/>
      <c r="H39" s="145"/>
      <c r="I39" s="146"/>
      <c r="J39" s="131"/>
      <c r="K39" s="141">
        <f>20000+55+10000</f>
        <v>30055</v>
      </c>
      <c r="L39" s="143">
        <v>8652</v>
      </c>
      <c r="M39" s="134">
        <f t="shared" si="2"/>
        <v>0.28787223423723174</v>
      </c>
      <c r="N39" s="135"/>
      <c r="O39" s="63"/>
    </row>
    <row r="40" spans="1:15" s="87" customFormat="1" ht="54.75" customHeight="1" x14ac:dyDescent="0.35">
      <c r="A40" s="467"/>
      <c r="B40" s="497"/>
      <c r="C40" s="52" t="s">
        <v>23</v>
      </c>
      <c r="D40" s="71" t="s">
        <v>111</v>
      </c>
      <c r="E40" s="54"/>
      <c r="F40" s="55"/>
      <c r="G40" s="39"/>
      <c r="H40" s="145"/>
      <c r="I40" s="146"/>
      <c r="J40" s="131"/>
      <c r="K40" s="141">
        <v>20000</v>
      </c>
      <c r="L40" s="143"/>
      <c r="M40" s="134">
        <f t="shared" si="2"/>
        <v>0</v>
      </c>
      <c r="N40" s="135"/>
      <c r="O40" s="63"/>
    </row>
    <row r="41" spans="1:15" ht="38.25" customHeight="1" x14ac:dyDescent="0.35">
      <c r="A41" s="515" t="s">
        <v>112</v>
      </c>
      <c r="B41" s="516"/>
      <c r="C41" s="516"/>
      <c r="D41" s="517"/>
      <c r="E41" s="148">
        <f>E42+E56</f>
        <v>198130</v>
      </c>
      <c r="F41" s="149">
        <f>F42</f>
        <v>218802.38999999998</v>
      </c>
      <c r="G41" s="39">
        <f t="shared" si="0"/>
        <v>1.10433750567809</v>
      </c>
      <c r="H41" s="148">
        <f t="shared" ref="H41:L41" si="3">H42+H56</f>
        <v>443588</v>
      </c>
      <c r="I41" s="148">
        <f t="shared" si="3"/>
        <v>330069.55</v>
      </c>
      <c r="J41" s="150">
        <f>I41/H41</f>
        <v>0.74409034960368625</v>
      </c>
      <c r="K41" s="148">
        <f t="shared" si="3"/>
        <v>48500</v>
      </c>
      <c r="L41" s="148">
        <f t="shared" si="3"/>
        <v>36150.199999999997</v>
      </c>
      <c r="M41" s="151">
        <f>L41/K41</f>
        <v>0.74536494845360823</v>
      </c>
      <c r="N41" s="152">
        <v>0.36</v>
      </c>
      <c r="O41" s="149"/>
    </row>
    <row r="42" spans="1:15" s="128" customFormat="1" ht="39.6" customHeight="1" x14ac:dyDescent="0.35">
      <c r="A42" s="504" t="s">
        <v>113</v>
      </c>
      <c r="B42" s="505"/>
      <c r="C42" s="505"/>
      <c r="D42" s="505"/>
      <c r="E42" s="46">
        <f>SUM(E43:E55)</f>
        <v>198130</v>
      </c>
      <c r="F42" s="153">
        <f>F43+F44+F45+F46+F47+F48+F49+F50+F51+F52+F53+F54+F55</f>
        <v>218802.38999999998</v>
      </c>
      <c r="G42" s="124">
        <f t="shared" si="0"/>
        <v>1.10433750567809</v>
      </c>
      <c r="H42" s="46">
        <f>SUM(H43:H55)</f>
        <v>0</v>
      </c>
      <c r="I42" s="46">
        <f>SUM(I43:I55)</f>
        <v>0</v>
      </c>
      <c r="J42" s="48"/>
      <c r="K42" s="46">
        <f>SUM(K43:K55)</f>
        <v>48500</v>
      </c>
      <c r="L42" s="46">
        <f>SUM(L43:L55)</f>
        <v>36150.199999999997</v>
      </c>
      <c r="M42" s="49">
        <f>L42/K42</f>
        <v>0.74536494845360823</v>
      </c>
      <c r="N42" s="154">
        <v>1</v>
      </c>
      <c r="O42" s="155"/>
    </row>
    <row r="43" spans="1:15" ht="84.75" customHeight="1" x14ac:dyDescent="0.35">
      <c r="A43" s="156" t="s">
        <v>114</v>
      </c>
      <c r="B43" s="157" t="s">
        <v>115</v>
      </c>
      <c r="C43" s="52" t="s">
        <v>25</v>
      </c>
      <c r="D43" s="68" t="s">
        <v>116</v>
      </c>
      <c r="E43" s="93">
        <v>30000</v>
      </c>
      <c r="F43" s="94">
        <v>64057.52</v>
      </c>
      <c r="G43" s="39">
        <f t="shared" si="0"/>
        <v>2.1352506666666664</v>
      </c>
      <c r="H43" s="158"/>
      <c r="I43" s="159"/>
      <c r="J43" s="160"/>
      <c r="K43" s="161"/>
      <c r="L43" s="162"/>
      <c r="M43" s="163"/>
      <c r="N43" s="164"/>
      <c r="O43" s="86"/>
    </row>
    <row r="44" spans="1:15" ht="48.75" customHeight="1" x14ac:dyDescent="0.35">
      <c r="A44" s="165"/>
      <c r="B44" s="166"/>
      <c r="C44" s="52" t="s">
        <v>26</v>
      </c>
      <c r="D44" s="68" t="s">
        <v>117</v>
      </c>
      <c r="E44" s="93">
        <v>4000</v>
      </c>
      <c r="F44" s="94">
        <v>4000</v>
      </c>
      <c r="G44" s="39">
        <f t="shared" si="0"/>
        <v>1</v>
      </c>
      <c r="H44" s="158"/>
      <c r="I44" s="159"/>
      <c r="J44" s="160"/>
      <c r="K44" s="161"/>
      <c r="L44" s="162"/>
      <c r="M44" s="163"/>
      <c r="N44" s="164"/>
      <c r="O44" s="86"/>
    </row>
    <row r="45" spans="1:15" ht="35.25" customHeight="1" x14ac:dyDescent="0.35">
      <c r="A45" s="165"/>
      <c r="B45" s="166"/>
      <c r="C45" s="52" t="s">
        <v>23</v>
      </c>
      <c r="D45" s="68" t="s">
        <v>118</v>
      </c>
      <c r="E45" s="93">
        <v>7500</v>
      </c>
      <c r="F45" s="94">
        <v>7500</v>
      </c>
      <c r="G45" s="39">
        <f t="shared" si="0"/>
        <v>1</v>
      </c>
      <c r="H45" s="158"/>
      <c r="I45" s="159"/>
      <c r="J45" s="160"/>
      <c r="K45" s="161"/>
      <c r="L45" s="162"/>
      <c r="M45" s="163"/>
      <c r="N45" s="164"/>
      <c r="O45" s="86"/>
    </row>
    <row r="46" spans="1:15" ht="18" customHeight="1" x14ac:dyDescent="0.35">
      <c r="A46" s="165"/>
      <c r="B46" s="166"/>
      <c r="C46" s="52" t="s">
        <v>25</v>
      </c>
      <c r="D46" s="68" t="s">
        <v>119</v>
      </c>
      <c r="E46" s="93">
        <v>2000</v>
      </c>
      <c r="F46" s="94">
        <v>2000</v>
      </c>
      <c r="G46" s="39">
        <f t="shared" si="0"/>
        <v>1</v>
      </c>
      <c r="H46" s="158"/>
      <c r="I46" s="159"/>
      <c r="J46" s="160"/>
      <c r="K46" s="161"/>
      <c r="L46" s="162"/>
      <c r="M46" s="163"/>
      <c r="N46" s="164"/>
      <c r="O46" s="86"/>
    </row>
    <row r="47" spans="1:15" ht="66" customHeight="1" x14ac:dyDescent="0.35">
      <c r="A47" s="165"/>
      <c r="B47" s="166"/>
      <c r="C47" s="52" t="s">
        <v>25</v>
      </c>
      <c r="D47" s="68" t="s">
        <v>120</v>
      </c>
      <c r="E47" s="93">
        <v>3000</v>
      </c>
      <c r="F47" s="94">
        <v>3380</v>
      </c>
      <c r="G47" s="39">
        <f t="shared" si="0"/>
        <v>1.1266666666666667</v>
      </c>
      <c r="H47" s="167"/>
      <c r="I47" s="168"/>
      <c r="J47" s="131"/>
      <c r="K47" s="161"/>
      <c r="L47" s="162"/>
      <c r="M47" s="163"/>
      <c r="N47" s="164"/>
      <c r="O47" s="86"/>
    </row>
    <row r="48" spans="1:15" ht="45.75" customHeight="1" x14ac:dyDescent="0.35">
      <c r="A48" s="165"/>
      <c r="B48" s="166"/>
      <c r="C48" s="52" t="s">
        <v>25</v>
      </c>
      <c r="D48" s="68" t="s">
        <v>121</v>
      </c>
      <c r="E48" s="65">
        <v>60000</v>
      </c>
      <c r="F48" s="66">
        <v>33100</v>
      </c>
      <c r="G48" s="39">
        <f t="shared" si="0"/>
        <v>0.55166666666666664</v>
      </c>
      <c r="H48" s="158"/>
      <c r="I48" s="159"/>
      <c r="J48" s="160"/>
      <c r="K48" s="161"/>
      <c r="L48" s="162"/>
      <c r="M48" s="163"/>
      <c r="N48" s="164"/>
      <c r="O48" s="86"/>
    </row>
    <row r="49" spans="1:18" ht="140.25" customHeight="1" x14ac:dyDescent="0.35">
      <c r="A49" s="156" t="s">
        <v>122</v>
      </c>
      <c r="B49" s="166" t="s">
        <v>123</v>
      </c>
      <c r="C49" s="52" t="s">
        <v>25</v>
      </c>
      <c r="D49" s="68" t="s">
        <v>124</v>
      </c>
      <c r="E49" s="93">
        <v>16000</v>
      </c>
      <c r="F49" s="94">
        <v>19958.72</v>
      </c>
      <c r="G49" s="39">
        <f t="shared" si="0"/>
        <v>1.24742</v>
      </c>
      <c r="H49" s="158"/>
      <c r="I49" s="159"/>
      <c r="J49" s="160"/>
      <c r="K49" s="161"/>
      <c r="L49" s="162"/>
      <c r="M49" s="163"/>
      <c r="N49" s="164"/>
      <c r="O49" s="86"/>
    </row>
    <row r="50" spans="1:18" ht="78.75" customHeight="1" x14ac:dyDescent="0.35">
      <c r="A50" s="165"/>
      <c r="B50" s="166"/>
      <c r="C50" s="52" t="s">
        <v>26</v>
      </c>
      <c r="D50" s="68" t="s">
        <v>125</v>
      </c>
      <c r="E50" s="93">
        <v>7000</v>
      </c>
      <c r="F50" s="94">
        <v>22421</v>
      </c>
      <c r="G50" s="39">
        <f t="shared" si="0"/>
        <v>3.2029999999999998</v>
      </c>
      <c r="H50" s="158"/>
      <c r="I50" s="159"/>
      <c r="J50" s="160"/>
      <c r="K50" s="161"/>
      <c r="L50" s="162"/>
      <c r="M50" s="163"/>
      <c r="N50" s="164"/>
      <c r="O50" s="86"/>
    </row>
    <row r="51" spans="1:18" ht="27.75" customHeight="1" x14ac:dyDescent="0.35">
      <c r="A51" s="169"/>
      <c r="B51" s="170"/>
      <c r="C51" s="52" t="s">
        <v>25</v>
      </c>
      <c r="D51" s="68" t="s">
        <v>126</v>
      </c>
      <c r="E51" s="93">
        <f>48000+4000+3180</f>
        <v>55180</v>
      </c>
      <c r="F51" s="94">
        <v>55935.15</v>
      </c>
      <c r="G51" s="39">
        <f t="shared" si="0"/>
        <v>1.0136852120333455</v>
      </c>
      <c r="H51" s="171"/>
      <c r="I51" s="172"/>
      <c r="J51" s="173"/>
      <c r="K51" s="59"/>
      <c r="L51" s="60"/>
      <c r="M51" s="61"/>
      <c r="N51" s="174"/>
      <c r="O51" s="86"/>
    </row>
    <row r="52" spans="1:18" ht="39" customHeight="1" x14ac:dyDescent="0.35">
      <c r="A52" s="169"/>
      <c r="B52" s="175"/>
      <c r="C52" s="52" t="s">
        <v>23</v>
      </c>
      <c r="D52" s="176" t="s">
        <v>127</v>
      </c>
      <c r="E52" s="90">
        <v>3450</v>
      </c>
      <c r="F52" s="78">
        <v>3450</v>
      </c>
      <c r="G52" s="39">
        <f t="shared" si="0"/>
        <v>1</v>
      </c>
      <c r="H52" s="171"/>
      <c r="I52" s="172"/>
      <c r="J52" s="173"/>
      <c r="K52" s="59"/>
      <c r="L52" s="60"/>
      <c r="M52" s="61"/>
      <c r="N52" s="174"/>
      <c r="O52" s="86"/>
    </row>
    <row r="53" spans="1:18" ht="69.75" customHeight="1" x14ac:dyDescent="0.35">
      <c r="A53" s="156" t="s">
        <v>128</v>
      </c>
      <c r="B53" s="166" t="s">
        <v>129</v>
      </c>
      <c r="C53" s="52" t="s">
        <v>130</v>
      </c>
      <c r="D53" s="68" t="s">
        <v>131</v>
      </c>
      <c r="E53" s="93">
        <v>10000</v>
      </c>
      <c r="F53" s="94">
        <v>3000</v>
      </c>
      <c r="G53" s="39">
        <f t="shared" si="0"/>
        <v>0.3</v>
      </c>
      <c r="H53" s="158"/>
      <c r="I53" s="159"/>
      <c r="J53" s="160"/>
      <c r="K53" s="161"/>
      <c r="L53" s="162"/>
      <c r="M53" s="163"/>
      <c r="N53" s="164"/>
      <c r="O53" s="86"/>
    </row>
    <row r="54" spans="1:18" ht="16.5" customHeight="1" x14ac:dyDescent="0.35">
      <c r="A54" s="528" t="s">
        <v>132</v>
      </c>
      <c r="B54" s="530" t="s">
        <v>133</v>
      </c>
      <c r="C54" s="177" t="s">
        <v>23</v>
      </c>
      <c r="D54" s="178" t="s">
        <v>134</v>
      </c>
      <c r="E54" s="90"/>
      <c r="F54" s="78"/>
      <c r="G54" s="39"/>
      <c r="H54" s="171"/>
      <c r="I54" s="172"/>
      <c r="J54" s="173"/>
      <c r="K54" s="59">
        <v>5000</v>
      </c>
      <c r="L54" s="60"/>
      <c r="M54" s="61">
        <f>L54/K54</f>
        <v>0</v>
      </c>
      <c r="N54" s="174"/>
      <c r="O54" s="86"/>
    </row>
    <row r="55" spans="1:18" ht="28.2" customHeight="1" x14ac:dyDescent="0.35">
      <c r="A55" s="529"/>
      <c r="B55" s="531"/>
      <c r="C55" s="177" t="s">
        <v>25</v>
      </c>
      <c r="D55" s="179" t="s">
        <v>135</v>
      </c>
      <c r="E55" s="90"/>
      <c r="F55" s="78"/>
      <c r="G55" s="39"/>
      <c r="H55" s="171"/>
      <c r="I55" s="180"/>
      <c r="J55" s="181"/>
      <c r="K55" s="182">
        <f>40000+5000-1500</f>
        <v>43500</v>
      </c>
      <c r="L55" s="183">
        <v>36150.199999999997</v>
      </c>
      <c r="M55" s="61">
        <f>L55/K55</f>
        <v>0.83103908045977004</v>
      </c>
      <c r="N55" s="174"/>
      <c r="O55" s="86"/>
    </row>
    <row r="56" spans="1:18" s="128" customFormat="1" ht="27.75" customHeight="1" x14ac:dyDescent="0.35">
      <c r="A56" s="184" t="s">
        <v>136</v>
      </c>
      <c r="B56" s="185"/>
      <c r="C56" s="186"/>
      <c r="D56" s="187"/>
      <c r="E56" s="188">
        <f>SUM(E57:E69)</f>
        <v>0</v>
      </c>
      <c r="F56" s="189"/>
      <c r="G56" s="124"/>
      <c r="H56" s="188">
        <f>SUM(H57:H69)</f>
        <v>443588</v>
      </c>
      <c r="I56" s="188">
        <f>SUM(I57:I69)</f>
        <v>330069.55</v>
      </c>
      <c r="J56" s="190">
        <f>I56/H56</f>
        <v>0.74409034960368625</v>
      </c>
      <c r="K56" s="188">
        <f>SUM(K57:K69)</f>
        <v>0</v>
      </c>
      <c r="L56" s="189"/>
      <c r="M56" s="191"/>
      <c r="N56" s="192">
        <v>0</v>
      </c>
      <c r="O56" s="193"/>
    </row>
    <row r="57" spans="1:18" s="144" customFormat="1" ht="69.75" customHeight="1" x14ac:dyDescent="0.35">
      <c r="A57" s="156" t="s">
        <v>137</v>
      </c>
      <c r="B57" s="194" t="s">
        <v>138</v>
      </c>
      <c r="C57" s="52" t="s">
        <v>25</v>
      </c>
      <c r="D57" s="195" t="s">
        <v>139</v>
      </c>
      <c r="E57" s="54"/>
      <c r="F57" s="55"/>
      <c r="G57" s="39"/>
      <c r="H57" s="129">
        <v>10000</v>
      </c>
      <c r="I57" s="130">
        <v>10000</v>
      </c>
      <c r="J57" s="131">
        <f>I57/H57</f>
        <v>1</v>
      </c>
      <c r="K57" s="59"/>
      <c r="L57" s="60"/>
      <c r="M57" s="61"/>
      <c r="N57" s="196"/>
      <c r="O57" s="63"/>
    </row>
    <row r="58" spans="1:18" s="144" customFormat="1" ht="97.5" customHeight="1" x14ac:dyDescent="0.35">
      <c r="A58" s="156"/>
      <c r="B58" s="170"/>
      <c r="C58" s="52" t="s">
        <v>26</v>
      </c>
      <c r="D58" s="68" t="s">
        <v>140</v>
      </c>
      <c r="E58" s="54"/>
      <c r="F58" s="55"/>
      <c r="G58" s="39"/>
      <c r="H58" s="129">
        <v>5000</v>
      </c>
      <c r="I58" s="130">
        <v>5000</v>
      </c>
      <c r="J58" s="131">
        <f t="shared" ref="J58:J69" si="4">I58/H58</f>
        <v>1</v>
      </c>
      <c r="K58" s="59"/>
      <c r="L58" s="60"/>
      <c r="M58" s="61"/>
      <c r="N58" s="196"/>
      <c r="O58" s="63"/>
    </row>
    <row r="59" spans="1:18" s="144" customFormat="1" ht="51" customHeight="1" x14ac:dyDescent="0.35">
      <c r="A59" s="156" t="s">
        <v>141</v>
      </c>
      <c r="B59" s="197" t="s">
        <v>142</v>
      </c>
      <c r="C59" s="52" t="s">
        <v>25</v>
      </c>
      <c r="D59" s="198" t="s">
        <v>143</v>
      </c>
      <c r="E59" s="54"/>
      <c r="F59" s="55"/>
      <c r="G59" s="39"/>
      <c r="H59" s="129">
        <v>210000</v>
      </c>
      <c r="I59" s="130">
        <v>107002.55</v>
      </c>
      <c r="J59" s="131">
        <f t="shared" si="4"/>
        <v>0.50953595238095239</v>
      </c>
      <c r="K59" s="59"/>
      <c r="L59" s="60"/>
      <c r="M59" s="61"/>
      <c r="N59" s="196"/>
      <c r="O59" s="63"/>
    </row>
    <row r="60" spans="1:18" s="210" customFormat="1" ht="90.75" customHeight="1" x14ac:dyDescent="0.35">
      <c r="A60" s="199" t="s">
        <v>144</v>
      </c>
      <c r="B60" s="200" t="s">
        <v>145</v>
      </c>
      <c r="C60" s="201" t="s">
        <v>25</v>
      </c>
      <c r="D60" s="195" t="s">
        <v>146</v>
      </c>
      <c r="E60" s="202"/>
      <c r="F60" s="203"/>
      <c r="G60" s="39"/>
      <c r="H60" s="129">
        <v>40000</v>
      </c>
      <c r="I60" s="130">
        <v>40000</v>
      </c>
      <c r="J60" s="131">
        <f t="shared" si="4"/>
        <v>1</v>
      </c>
      <c r="K60" s="204"/>
      <c r="L60" s="205"/>
      <c r="M60" s="206"/>
      <c r="N60" s="207"/>
      <c r="O60" s="208"/>
      <c r="P60" s="209"/>
    </row>
    <row r="61" spans="1:18" s="214" customFormat="1" ht="94.5" customHeight="1" x14ac:dyDescent="0.35">
      <c r="A61" s="211" t="s">
        <v>147</v>
      </c>
      <c r="B61" s="212" t="s">
        <v>148</v>
      </c>
      <c r="C61" s="136" t="s">
        <v>25</v>
      </c>
      <c r="D61" s="195" t="s">
        <v>149</v>
      </c>
      <c r="E61" s="65"/>
      <c r="F61" s="66"/>
      <c r="G61" s="39"/>
      <c r="H61" s="56">
        <f>1400+14000</f>
        <v>15400</v>
      </c>
      <c r="I61" s="57">
        <v>15400</v>
      </c>
      <c r="J61" s="131">
        <f t="shared" si="4"/>
        <v>1</v>
      </c>
      <c r="K61" s="59"/>
      <c r="L61" s="60"/>
      <c r="M61" s="61"/>
      <c r="N61" s="196"/>
      <c r="O61" s="63"/>
      <c r="P61" s="213"/>
      <c r="Q61" s="213"/>
      <c r="R61" s="213"/>
    </row>
    <row r="62" spans="1:18" s="214" customFormat="1" ht="46.8" x14ac:dyDescent="0.35">
      <c r="A62" s="211"/>
      <c r="B62" s="212"/>
      <c r="C62" s="136" t="s">
        <v>150</v>
      </c>
      <c r="D62" s="195" t="s">
        <v>151</v>
      </c>
      <c r="E62" s="65"/>
      <c r="F62" s="66"/>
      <c r="G62" s="39"/>
      <c r="H62" s="56">
        <v>14600</v>
      </c>
      <c r="I62" s="57">
        <v>14600</v>
      </c>
      <c r="J62" s="131">
        <f t="shared" si="4"/>
        <v>1</v>
      </c>
      <c r="K62" s="59"/>
      <c r="L62" s="60"/>
      <c r="M62" s="61"/>
      <c r="N62" s="196"/>
      <c r="O62" s="63"/>
    </row>
    <row r="63" spans="1:18" s="214" customFormat="1" ht="59.25" customHeight="1" x14ac:dyDescent="0.35">
      <c r="A63" s="215" t="s">
        <v>152</v>
      </c>
      <c r="B63" s="216" t="s">
        <v>153</v>
      </c>
      <c r="C63" s="217" t="s">
        <v>27</v>
      </c>
      <c r="D63" s="218" t="s">
        <v>154</v>
      </c>
      <c r="E63" s="54"/>
      <c r="F63" s="55"/>
      <c r="G63" s="39"/>
      <c r="H63" s="129">
        <f>(50*18*7)+7000</f>
        <v>13300</v>
      </c>
      <c r="I63" s="130">
        <v>13300</v>
      </c>
      <c r="J63" s="131">
        <f t="shared" si="4"/>
        <v>1</v>
      </c>
      <c r="K63" s="59"/>
      <c r="L63" s="60"/>
      <c r="M63" s="61"/>
      <c r="N63" s="196"/>
      <c r="O63" s="63"/>
    </row>
    <row r="64" spans="1:18" s="214" customFormat="1" ht="75" customHeight="1" x14ac:dyDescent="0.35">
      <c r="A64" s="219"/>
      <c r="B64" s="216"/>
      <c r="C64" s="136" t="s">
        <v>150</v>
      </c>
      <c r="D64" s="218" t="s">
        <v>155</v>
      </c>
      <c r="E64" s="54"/>
      <c r="F64" s="55"/>
      <c r="G64" s="39"/>
      <c r="H64" s="129">
        <f>50*57*2*7</f>
        <v>39900</v>
      </c>
      <c r="I64" s="130">
        <v>39900</v>
      </c>
      <c r="J64" s="131">
        <f t="shared" si="4"/>
        <v>1</v>
      </c>
      <c r="K64" s="59"/>
      <c r="L64" s="60"/>
      <c r="M64" s="61"/>
      <c r="N64" s="196"/>
      <c r="O64" s="63"/>
    </row>
    <row r="65" spans="1:16" s="210" customFormat="1" ht="61.5" customHeight="1" x14ac:dyDescent="0.35">
      <c r="A65" s="219" t="s">
        <v>156</v>
      </c>
      <c r="B65" s="201" t="s">
        <v>157</v>
      </c>
      <c r="C65" s="217" t="s">
        <v>27</v>
      </c>
      <c r="D65" s="218" t="s">
        <v>158</v>
      </c>
      <c r="E65" s="220"/>
      <c r="F65" s="221"/>
      <c r="G65" s="39"/>
      <c r="H65" s="129">
        <f>500*3*2</f>
        <v>3000</v>
      </c>
      <c r="I65" s="222">
        <v>3000</v>
      </c>
      <c r="J65" s="131">
        <f t="shared" si="4"/>
        <v>1</v>
      </c>
      <c r="K65" s="204"/>
      <c r="L65" s="205"/>
      <c r="M65" s="206"/>
      <c r="N65" s="207"/>
      <c r="O65" s="208"/>
    </row>
    <row r="66" spans="1:16" s="144" customFormat="1" ht="61.5" customHeight="1" x14ac:dyDescent="0.35">
      <c r="A66" s="219"/>
      <c r="B66" s="201"/>
      <c r="C66" s="136" t="s">
        <v>150</v>
      </c>
      <c r="D66" s="218" t="s">
        <v>159</v>
      </c>
      <c r="E66" s="65"/>
      <c r="F66" s="66"/>
      <c r="G66" s="39"/>
      <c r="H66" s="129">
        <v>35000</v>
      </c>
      <c r="I66" s="130">
        <v>35000</v>
      </c>
      <c r="J66" s="131">
        <f t="shared" si="4"/>
        <v>1</v>
      </c>
      <c r="K66" s="59"/>
      <c r="L66" s="60"/>
      <c r="M66" s="61"/>
      <c r="N66" s="196"/>
      <c r="O66" s="63"/>
    </row>
    <row r="67" spans="1:16" s="210" customFormat="1" ht="92.25" customHeight="1" x14ac:dyDescent="0.35">
      <c r="A67" s="223" t="s">
        <v>160</v>
      </c>
      <c r="B67" s="201" t="s">
        <v>161</v>
      </c>
      <c r="C67" s="136" t="s">
        <v>162</v>
      </c>
      <c r="D67" s="68" t="s">
        <v>163</v>
      </c>
      <c r="E67" s="220"/>
      <c r="F67" s="221"/>
      <c r="G67" s="39"/>
      <c r="H67" s="56">
        <v>25000</v>
      </c>
      <c r="I67" s="120">
        <v>25000</v>
      </c>
      <c r="J67" s="131">
        <f t="shared" si="4"/>
        <v>1</v>
      </c>
      <c r="K67" s="204"/>
      <c r="L67" s="205"/>
      <c r="M67" s="206"/>
      <c r="N67" s="207"/>
      <c r="O67" s="208"/>
      <c r="P67" s="224"/>
    </row>
    <row r="68" spans="1:16" s="214" customFormat="1" ht="89.25" customHeight="1" x14ac:dyDescent="0.35">
      <c r="A68" s="225"/>
      <c r="B68" s="226"/>
      <c r="C68" s="52" t="s">
        <v>150</v>
      </c>
      <c r="D68" s="68" t="s">
        <v>164</v>
      </c>
      <c r="E68" s="65"/>
      <c r="F68" s="66"/>
      <c r="G68" s="39"/>
      <c r="H68" s="56">
        <v>16000</v>
      </c>
      <c r="I68" s="57">
        <v>16000</v>
      </c>
      <c r="J68" s="131">
        <f t="shared" si="4"/>
        <v>1</v>
      </c>
      <c r="K68" s="59"/>
      <c r="L68" s="60"/>
      <c r="M68" s="61"/>
      <c r="N68" s="196"/>
      <c r="O68" s="63"/>
      <c r="P68" s="227"/>
    </row>
    <row r="69" spans="1:16" s="214" customFormat="1" ht="89.25" customHeight="1" x14ac:dyDescent="0.35">
      <c r="A69" s="225" t="s">
        <v>165</v>
      </c>
      <c r="B69" s="228" t="s">
        <v>166</v>
      </c>
      <c r="C69" s="228" t="s">
        <v>167</v>
      </c>
      <c r="D69" s="68" t="s">
        <v>168</v>
      </c>
      <c r="E69" s="229"/>
      <c r="F69" s="55"/>
      <c r="G69" s="39"/>
      <c r="H69" s="56">
        <v>16388</v>
      </c>
      <c r="I69" s="57">
        <v>5867</v>
      </c>
      <c r="J69" s="131">
        <f t="shared" si="4"/>
        <v>0.35800585794483769</v>
      </c>
      <c r="K69" s="59"/>
      <c r="L69" s="60"/>
      <c r="M69" s="61"/>
      <c r="N69" s="196"/>
      <c r="O69" s="63"/>
      <c r="P69" s="227"/>
    </row>
    <row r="70" spans="1:16" ht="36" customHeight="1" x14ac:dyDescent="0.3">
      <c r="A70" s="532" t="s">
        <v>169</v>
      </c>
      <c r="B70" s="533"/>
      <c r="C70" s="533"/>
      <c r="D70" s="534"/>
      <c r="E70" s="188">
        <f>SUM(E71:E74)</f>
        <v>37000</v>
      </c>
      <c r="F70" s="189">
        <f>F71+F72+F73+F74</f>
        <v>28516.9</v>
      </c>
      <c r="G70" s="230">
        <f t="shared" si="0"/>
        <v>0.77072702702702711</v>
      </c>
      <c r="H70" s="188">
        <f>SUM(H71:H74)</f>
        <v>10000.700000000001</v>
      </c>
      <c r="I70" s="188">
        <f>SUM(I71:I74)</f>
        <v>1275</v>
      </c>
      <c r="J70" s="190">
        <f>I70/H70</f>
        <v>0.12749107562470627</v>
      </c>
      <c r="K70" s="188">
        <f>SUM(K71:K74)</f>
        <v>25060.5</v>
      </c>
      <c r="L70" s="188">
        <f>SUM(L71:L74)</f>
        <v>38412.379999999997</v>
      </c>
      <c r="M70" s="191">
        <f>L70/K70</f>
        <v>1.5327858582231</v>
      </c>
      <c r="N70" s="231">
        <v>0.86</v>
      </c>
      <c r="O70" s="232"/>
      <c r="P70" s="233">
        <f>O70/1600000</f>
        <v>0</v>
      </c>
    </row>
    <row r="71" spans="1:16" ht="96.6" x14ac:dyDescent="0.35">
      <c r="A71" s="67" t="s">
        <v>170</v>
      </c>
      <c r="B71" s="52" t="s">
        <v>171</v>
      </c>
      <c r="C71" s="52" t="s">
        <v>25</v>
      </c>
      <c r="D71" s="68" t="s">
        <v>172</v>
      </c>
      <c r="E71" s="229"/>
      <c r="F71" s="55"/>
      <c r="G71" s="39"/>
      <c r="H71" s="234"/>
      <c r="I71" s="130"/>
      <c r="J71" s="235"/>
      <c r="K71" s="59">
        <f>1392.25*18</f>
        <v>25060.5</v>
      </c>
      <c r="L71" s="60">
        <v>38412.379999999997</v>
      </c>
      <c r="M71" s="61">
        <f>L71/K71</f>
        <v>1.5327858582231</v>
      </c>
      <c r="N71" s="236"/>
      <c r="O71" s="86"/>
    </row>
    <row r="72" spans="1:16" ht="82.8" x14ac:dyDescent="0.35">
      <c r="A72" s="67" t="s">
        <v>173</v>
      </c>
      <c r="B72" s="52" t="s">
        <v>174</v>
      </c>
      <c r="C72" s="52" t="s">
        <v>26</v>
      </c>
      <c r="D72" s="68" t="s">
        <v>175</v>
      </c>
      <c r="E72" s="65">
        <v>10000</v>
      </c>
      <c r="F72" s="66">
        <v>1516.9</v>
      </c>
      <c r="G72" s="39">
        <f t="shared" ref="G72:G74" si="5">F72/E72</f>
        <v>0.15169000000000002</v>
      </c>
      <c r="H72" s="56">
        <f>10000+0.7</f>
        <v>10000.700000000001</v>
      </c>
      <c r="I72" s="57">
        <v>1275</v>
      </c>
      <c r="J72" s="58">
        <f>I72/H72</f>
        <v>0.12749107562470627</v>
      </c>
      <c r="K72" s="59"/>
      <c r="L72" s="60"/>
      <c r="M72" s="61"/>
      <c r="N72" s="236"/>
      <c r="O72" s="86"/>
    </row>
    <row r="73" spans="1:16" ht="82.8" x14ac:dyDescent="0.35">
      <c r="A73" s="535" t="s">
        <v>176</v>
      </c>
      <c r="B73" s="495" t="s">
        <v>177</v>
      </c>
      <c r="C73" s="52" t="s">
        <v>25</v>
      </c>
      <c r="D73" s="68" t="s">
        <v>178</v>
      </c>
      <c r="E73" s="65">
        <f>30000-5000</f>
        <v>25000</v>
      </c>
      <c r="F73" s="66">
        <v>25000</v>
      </c>
      <c r="G73" s="39">
        <f t="shared" si="5"/>
        <v>1</v>
      </c>
      <c r="H73" s="56"/>
      <c r="I73" s="57"/>
      <c r="J73" s="58"/>
      <c r="K73" s="59"/>
      <c r="L73" s="60"/>
      <c r="M73" s="61"/>
      <c r="N73" s="236"/>
      <c r="O73" s="86"/>
    </row>
    <row r="74" spans="1:16" ht="24" customHeight="1" x14ac:dyDescent="0.35">
      <c r="A74" s="536"/>
      <c r="B74" s="497"/>
      <c r="C74" s="52" t="s">
        <v>26</v>
      </c>
      <c r="D74" s="68" t="s">
        <v>179</v>
      </c>
      <c r="E74" s="65">
        <v>2000</v>
      </c>
      <c r="F74" s="66">
        <v>2000</v>
      </c>
      <c r="G74" s="39">
        <f t="shared" si="5"/>
        <v>1</v>
      </c>
      <c r="H74" s="130"/>
      <c r="I74" s="130"/>
      <c r="J74" s="131"/>
      <c r="K74" s="59"/>
      <c r="L74" s="60"/>
      <c r="M74" s="61"/>
      <c r="N74" s="236"/>
      <c r="O74" s="86"/>
    </row>
    <row r="75" spans="1:16" ht="36" customHeight="1" x14ac:dyDescent="0.25">
      <c r="A75" s="537" t="s">
        <v>180</v>
      </c>
      <c r="B75" s="538"/>
      <c r="C75" s="538"/>
      <c r="D75" s="538"/>
      <c r="E75" s="188">
        <f>SUM(E76:E77)</f>
        <v>15022</v>
      </c>
      <c r="F75" s="189">
        <f>F76+F77</f>
        <v>12678.5</v>
      </c>
      <c r="G75" s="191">
        <f>F75/E75</f>
        <v>0.84399547330581814</v>
      </c>
      <c r="H75" s="188">
        <f t="shared" ref="H75:L75" si="6">SUM(H76:H77)</f>
        <v>15000</v>
      </c>
      <c r="I75" s="188">
        <f t="shared" si="6"/>
        <v>5137.01</v>
      </c>
      <c r="J75" s="190"/>
      <c r="K75" s="188">
        <f t="shared" si="6"/>
        <v>95676</v>
      </c>
      <c r="L75" s="188">
        <f t="shared" si="6"/>
        <v>104440.63</v>
      </c>
      <c r="M75" s="191"/>
      <c r="N75" s="231">
        <v>0.88</v>
      </c>
      <c r="O75" s="232"/>
      <c r="P75" s="233"/>
    </row>
    <row r="76" spans="1:16" s="239" customFormat="1" ht="31.5" customHeight="1" x14ac:dyDescent="0.25">
      <c r="A76" s="518" t="s">
        <v>181</v>
      </c>
      <c r="B76" s="519"/>
      <c r="C76" s="52" t="s">
        <v>22</v>
      </c>
      <c r="D76" s="68" t="s">
        <v>182</v>
      </c>
      <c r="E76" s="65"/>
      <c r="F76" s="66"/>
      <c r="G76" s="237"/>
      <c r="H76" s="56"/>
      <c r="I76" s="57"/>
      <c r="J76" s="58"/>
      <c r="K76" s="59">
        <v>82676</v>
      </c>
      <c r="L76" s="60">
        <v>71597.899999999994</v>
      </c>
      <c r="M76" s="61">
        <f>L76/K76</f>
        <v>0.86600585417775411</v>
      </c>
      <c r="N76" s="238"/>
      <c r="O76" s="63"/>
    </row>
    <row r="77" spans="1:16" s="239" customFormat="1" ht="44.25" customHeight="1" thickBot="1" x14ac:dyDescent="0.3">
      <c r="A77" s="520"/>
      <c r="B77" s="521"/>
      <c r="C77" s="70" t="s">
        <v>28</v>
      </c>
      <c r="D77" s="240" t="s">
        <v>183</v>
      </c>
      <c r="E77" s="241">
        <f>10022+5000</f>
        <v>15022</v>
      </c>
      <c r="F77" s="72">
        <v>12678.5</v>
      </c>
      <c r="G77" s="242">
        <f>F77/E77</f>
        <v>0.84399547330581814</v>
      </c>
      <c r="H77" s="243">
        <v>15000</v>
      </c>
      <c r="I77" s="244">
        <v>5137.01</v>
      </c>
      <c r="J77" s="245"/>
      <c r="K77" s="246">
        <v>13000</v>
      </c>
      <c r="L77" s="247">
        <v>32842.730000000003</v>
      </c>
      <c r="M77" s="61">
        <f>L77/K77</f>
        <v>2.5263638461538465</v>
      </c>
      <c r="N77" s="248"/>
      <c r="O77" s="249"/>
    </row>
    <row r="78" spans="1:16" ht="22.5" customHeight="1" thickBot="1" x14ac:dyDescent="0.35">
      <c r="A78" s="522" t="s">
        <v>184</v>
      </c>
      <c r="B78" s="523"/>
      <c r="C78" s="523"/>
      <c r="D78" s="524"/>
      <c r="E78" s="250">
        <f>E41+E6+E70+E75</f>
        <v>506152</v>
      </c>
      <c r="F78" s="250">
        <f>F41+F6+F70+F75</f>
        <v>483150.61</v>
      </c>
      <c r="G78" s="251">
        <f>F78/E78</f>
        <v>0.95455635856422572</v>
      </c>
      <c r="H78" s="252">
        <f>H41+H6+H70+H75</f>
        <v>594063.80999999994</v>
      </c>
      <c r="I78" s="253">
        <f>I75+I70+I56+I7</f>
        <v>421133.2</v>
      </c>
      <c r="J78" s="254">
        <f>I78/H78</f>
        <v>0.708902297886148</v>
      </c>
      <c r="K78" s="250">
        <f>K41+K6+K70+K75</f>
        <v>395111.5</v>
      </c>
      <c r="L78" s="250">
        <f>L41+L6+L70+L75</f>
        <v>385347.28</v>
      </c>
      <c r="M78" s="251">
        <f>L78/K78</f>
        <v>0.97528743152249431</v>
      </c>
      <c r="N78" s="255"/>
      <c r="O78" s="256"/>
    </row>
    <row r="79" spans="1:16" s="272" customFormat="1" ht="31.8" thickBot="1" x14ac:dyDescent="0.35">
      <c r="A79" s="257"/>
      <c r="B79" s="258" t="s">
        <v>185</v>
      </c>
      <c r="C79" s="259" t="s">
        <v>30</v>
      </c>
      <c r="D79" s="260" t="s">
        <v>185</v>
      </c>
      <c r="E79" s="261">
        <f>E78*7/100</f>
        <v>35430.639999999999</v>
      </c>
      <c r="F79" s="262">
        <f>Category!AP14+Category!AQ14</f>
        <v>33820.57</v>
      </c>
      <c r="G79" s="263"/>
      <c r="H79" s="264">
        <f>H78*7/100</f>
        <v>41584.466699999997</v>
      </c>
      <c r="I79" s="265">
        <f>Category!AJ14+Category!AK14</f>
        <v>28511.185500000003</v>
      </c>
      <c r="J79" s="266"/>
      <c r="K79" s="267">
        <f>K78*7/100</f>
        <v>27657.805</v>
      </c>
      <c r="L79" s="268">
        <v>26974.31</v>
      </c>
      <c r="M79" s="269"/>
      <c r="N79" s="270"/>
      <c r="O79" s="271"/>
    </row>
    <row r="80" spans="1:16" s="272" customFormat="1" ht="26.25" customHeight="1" thickBot="1" x14ac:dyDescent="0.35">
      <c r="A80" s="525" t="s">
        <v>186</v>
      </c>
      <c r="B80" s="526"/>
      <c r="C80" s="526"/>
      <c r="D80" s="527"/>
      <c r="E80" s="250">
        <f>E79+E78</f>
        <v>541582.64</v>
      </c>
      <c r="F80" s="250">
        <f>F79+F78</f>
        <v>516971.18</v>
      </c>
      <c r="G80" s="251">
        <f>F80/E80</f>
        <v>0.9545564089720453</v>
      </c>
      <c r="H80" s="252">
        <f>H79+H78</f>
        <v>635648.27669999993</v>
      </c>
      <c r="I80" s="253">
        <f>I79+I78</f>
        <v>449644.38550000003</v>
      </c>
      <c r="J80" s="254">
        <f>I80/H80</f>
        <v>0.70737922524442531</v>
      </c>
      <c r="K80" s="250">
        <f>K78+K79</f>
        <v>422769.30499999999</v>
      </c>
      <c r="L80" s="250">
        <f>L78+L79</f>
        <v>412321.59</v>
      </c>
      <c r="M80" s="251">
        <f>L80/K80</f>
        <v>0.97528743246863681</v>
      </c>
      <c r="N80" s="273"/>
      <c r="O80" s="274"/>
      <c r="P80" s="275"/>
    </row>
    <row r="81" spans="2:15" x14ac:dyDescent="0.25">
      <c r="K81" s="281"/>
      <c r="L81" s="281"/>
      <c r="M81" s="282"/>
      <c r="O81" s="283"/>
    </row>
    <row r="82" spans="2:15" x14ac:dyDescent="0.3">
      <c r="B82" s="284"/>
      <c r="C82" s="284"/>
      <c r="D82" s="284"/>
      <c r="E82" s="284"/>
      <c r="F82" s="284"/>
      <c r="H82" s="284"/>
      <c r="I82" s="284"/>
      <c r="J82" s="285"/>
      <c r="K82" s="284"/>
      <c r="L82" s="284"/>
      <c r="M82" s="285"/>
      <c r="N82" s="284"/>
    </row>
    <row r="83" spans="2:15" x14ac:dyDescent="0.3">
      <c r="C83" s="284"/>
      <c r="D83" s="284"/>
      <c r="E83" s="284"/>
      <c r="F83" s="284"/>
      <c r="H83" s="284"/>
      <c r="I83" s="284"/>
      <c r="J83" s="285"/>
      <c r="K83" s="284"/>
      <c r="L83" s="284"/>
      <c r="M83" s="285"/>
      <c r="N83" s="284"/>
    </row>
    <row r="84" spans="2:15" x14ac:dyDescent="0.3">
      <c r="C84" s="284"/>
      <c r="D84" s="284"/>
      <c r="E84" s="284"/>
      <c r="F84" s="284"/>
      <c r="H84" s="284"/>
      <c r="I84" s="284"/>
      <c r="J84" s="285"/>
      <c r="K84" s="284"/>
      <c r="L84" s="284"/>
      <c r="M84" s="285"/>
      <c r="N84" s="284"/>
    </row>
    <row r="85" spans="2:15" x14ac:dyDescent="0.3">
      <c r="C85" s="284"/>
      <c r="D85" s="284"/>
      <c r="E85" s="284"/>
      <c r="F85" s="284"/>
      <c r="H85" s="284"/>
      <c r="I85" s="284"/>
      <c r="J85" s="285"/>
      <c r="K85" s="284"/>
      <c r="L85" s="284"/>
      <c r="M85" s="285"/>
      <c r="N85" s="284"/>
    </row>
    <row r="86" spans="2:15" x14ac:dyDescent="0.3">
      <c r="C86" s="284"/>
      <c r="D86" s="284"/>
      <c r="E86" s="284"/>
      <c r="F86" s="284"/>
      <c r="H86" s="284"/>
      <c r="I86" s="284"/>
      <c r="J86" s="285"/>
      <c r="K86" s="284"/>
      <c r="L86" s="284"/>
      <c r="M86" s="285"/>
      <c r="N86" s="284"/>
    </row>
    <row r="87" spans="2:15" x14ac:dyDescent="0.3">
      <c r="C87" s="284">
        <f>C85-B82</f>
        <v>0</v>
      </c>
      <c r="D87" s="284"/>
      <c r="E87" s="284"/>
      <c r="F87" s="284"/>
      <c r="H87" s="284"/>
      <c r="I87" s="284"/>
      <c r="J87" s="285"/>
      <c r="K87" s="284"/>
      <c r="L87" s="284"/>
      <c r="M87" s="285"/>
      <c r="N87" s="284"/>
    </row>
    <row r="88" spans="2:15" x14ac:dyDescent="0.3">
      <c r="C88" s="284"/>
      <c r="D88" s="284"/>
      <c r="E88" s="284"/>
      <c r="F88" s="284"/>
      <c r="H88" s="284"/>
      <c r="I88" s="284"/>
      <c r="J88" s="285"/>
      <c r="K88" s="284"/>
      <c r="L88" s="284"/>
      <c r="M88" s="285"/>
      <c r="N88" s="284"/>
    </row>
    <row r="89" spans="2:15" x14ac:dyDescent="0.3">
      <c r="C89" s="284"/>
      <c r="D89" s="284"/>
      <c r="E89" s="284"/>
      <c r="F89" s="284"/>
      <c r="H89" s="284"/>
      <c r="I89" s="284"/>
      <c r="J89" s="285"/>
      <c r="K89" s="284"/>
      <c r="L89" s="284"/>
      <c r="M89" s="285"/>
      <c r="N89" s="284"/>
    </row>
    <row r="90" spans="2:15" x14ac:dyDescent="0.3">
      <c r="C90" s="284"/>
      <c r="D90" s="284"/>
      <c r="E90" s="284"/>
      <c r="F90" s="284"/>
      <c r="H90" s="284"/>
      <c r="I90" s="284"/>
      <c r="J90" s="285"/>
      <c r="K90" s="284"/>
      <c r="L90" s="284"/>
      <c r="M90" s="285"/>
      <c r="N90" s="284"/>
    </row>
    <row r="91" spans="2:15" x14ac:dyDescent="0.3">
      <c r="C91" s="284"/>
      <c r="D91" s="284"/>
      <c r="E91" s="284"/>
      <c r="F91" s="284"/>
      <c r="H91" s="284"/>
      <c r="I91" s="284"/>
      <c r="J91" s="285"/>
      <c r="K91" s="284"/>
      <c r="L91" s="284"/>
      <c r="M91" s="285"/>
      <c r="N91" s="284"/>
    </row>
    <row r="92" spans="2:15" x14ac:dyDescent="0.3">
      <c r="C92" s="284"/>
      <c r="D92" s="284"/>
      <c r="E92" s="284"/>
      <c r="F92" s="284"/>
      <c r="H92" s="284"/>
      <c r="I92" s="284"/>
      <c r="J92" s="285"/>
      <c r="K92" s="284"/>
      <c r="L92" s="284"/>
      <c r="M92" s="285"/>
      <c r="N92" s="284"/>
    </row>
    <row r="93" spans="2:15" x14ac:dyDescent="0.3">
      <c r="C93" s="284"/>
      <c r="D93" s="284"/>
      <c r="E93" s="284"/>
      <c r="F93" s="284"/>
      <c r="H93" s="284"/>
      <c r="I93" s="284"/>
      <c r="J93" s="285"/>
      <c r="K93" s="284"/>
      <c r="L93" s="284"/>
      <c r="M93" s="285"/>
      <c r="N93" s="284"/>
    </row>
    <row r="94" spans="2:15" x14ac:dyDescent="0.3">
      <c r="C94" s="284"/>
      <c r="D94" s="284"/>
      <c r="E94" s="284"/>
      <c r="F94" s="284"/>
      <c r="H94" s="284"/>
      <c r="I94" s="284"/>
      <c r="J94" s="285"/>
      <c r="K94" s="284"/>
      <c r="L94" s="284"/>
      <c r="M94" s="285"/>
      <c r="N94" s="284"/>
    </row>
    <row r="95" spans="2:15" x14ac:dyDescent="0.3">
      <c r="C95" s="284"/>
      <c r="D95" s="284"/>
      <c r="E95" s="284"/>
      <c r="F95" s="284"/>
      <c r="H95" s="284"/>
      <c r="I95" s="284"/>
      <c r="J95" s="285"/>
      <c r="K95" s="284"/>
      <c r="L95" s="284"/>
      <c r="M95" s="285"/>
      <c r="N95" s="284"/>
    </row>
    <row r="96" spans="2:15" x14ac:dyDescent="0.3">
      <c r="C96" s="284"/>
      <c r="D96" s="284"/>
      <c r="E96" s="284"/>
      <c r="F96" s="284"/>
      <c r="H96" s="284"/>
      <c r="I96" s="284"/>
      <c r="J96" s="285"/>
      <c r="K96" s="284"/>
      <c r="L96" s="284"/>
      <c r="M96" s="285"/>
      <c r="N96" s="284"/>
    </row>
  </sheetData>
  <mergeCells count="41">
    <mergeCell ref="A76:B77"/>
    <mergeCell ref="A78:D78"/>
    <mergeCell ref="A80:D80"/>
    <mergeCell ref="A54:A55"/>
    <mergeCell ref="B54:B55"/>
    <mergeCell ref="A70:D70"/>
    <mergeCell ref="A73:A74"/>
    <mergeCell ref="B73:B74"/>
    <mergeCell ref="A75:D75"/>
    <mergeCell ref="A42:D42"/>
    <mergeCell ref="A27:A30"/>
    <mergeCell ref="B27:B30"/>
    <mergeCell ref="A31:D31"/>
    <mergeCell ref="A32:A33"/>
    <mergeCell ref="B32:B33"/>
    <mergeCell ref="A34:A35"/>
    <mergeCell ref="B34:B35"/>
    <mergeCell ref="A36:A38"/>
    <mergeCell ref="B36:B38"/>
    <mergeCell ref="A39:A40"/>
    <mergeCell ref="B39:B40"/>
    <mergeCell ref="A41:D41"/>
    <mergeCell ref="A20:A22"/>
    <mergeCell ref="B20:B22"/>
    <mergeCell ref="A23:A24"/>
    <mergeCell ref="B23:B24"/>
    <mergeCell ref="A25:A26"/>
    <mergeCell ref="B25:B26"/>
    <mergeCell ref="A17:A19"/>
    <mergeCell ref="B17:B19"/>
    <mergeCell ref="A1:O1"/>
    <mergeCell ref="A2:O2"/>
    <mergeCell ref="A3:O3"/>
    <mergeCell ref="E4:G4"/>
    <mergeCell ref="H4:J4"/>
    <mergeCell ref="K4:M4"/>
    <mergeCell ref="A6:D6"/>
    <mergeCell ref="A7:D7"/>
    <mergeCell ref="A8:A10"/>
    <mergeCell ref="B8:B10"/>
    <mergeCell ref="A13:A15"/>
  </mergeCells>
  <pageMargins left="0.7" right="0.7" top="0.75" bottom="0.75" header="0.3" footer="0.3"/>
  <pageSetup scale="52" fitToHeight="0"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26"/>
  <sheetViews>
    <sheetView tabSelected="1" workbookViewId="0">
      <selection activeCell="AQ29" sqref="AQ29"/>
    </sheetView>
  </sheetViews>
  <sheetFormatPr defaultColWidth="8.6640625" defaultRowHeight="14.4" x14ac:dyDescent="0.3"/>
  <cols>
    <col min="1" max="1" width="28.44140625" customWidth="1"/>
    <col min="2" max="2" width="11.44140625" hidden="1" customWidth="1"/>
    <col min="3" max="3" width="11.5546875" hidden="1" customWidth="1"/>
    <col min="4" max="4" width="11.44140625" hidden="1" customWidth="1"/>
    <col min="5" max="5" width="10.6640625" hidden="1" customWidth="1"/>
    <col min="6" max="6" width="6" hidden="1" customWidth="1"/>
    <col min="7" max="7" width="12.5546875" hidden="1" customWidth="1"/>
    <col min="8" max="8" width="12.33203125" hidden="1" customWidth="1"/>
    <col min="9" max="9" width="11.5546875" hidden="1" customWidth="1"/>
    <col min="10" max="10" width="10.88671875" hidden="1" customWidth="1"/>
    <col min="11" max="11" width="12.88671875" hidden="1" customWidth="1"/>
    <col min="12" max="12" width="13.5546875" hidden="1" customWidth="1"/>
    <col min="13" max="13" width="10.6640625" hidden="1" customWidth="1"/>
    <col min="14" max="14" width="5.33203125" hidden="1" customWidth="1"/>
    <col min="15" max="15" width="12.33203125" hidden="1" customWidth="1"/>
    <col min="16" max="16" width="11.88671875" hidden="1" customWidth="1"/>
    <col min="17" max="17" width="12.44140625" hidden="1" customWidth="1"/>
    <col min="18" max="19" width="10.88671875" customWidth="1"/>
    <col min="20" max="20" width="11.88671875" customWidth="1"/>
    <col min="21" max="21" width="12" customWidth="1"/>
    <col min="22" max="22" width="12.88671875" hidden="1" customWidth="1"/>
    <col min="23" max="23" width="12.109375" hidden="1" customWidth="1"/>
    <col min="24" max="24" width="13" hidden="1" customWidth="1"/>
    <col min="25" max="25" width="10.6640625" customWidth="1"/>
    <col min="26" max="27" width="11.6640625" customWidth="1"/>
    <col min="28" max="28" width="10" customWidth="1"/>
    <col min="29" max="29" width="6.5546875" style="15" customWidth="1"/>
    <col min="30" max="30" width="12.44140625" customWidth="1"/>
    <col min="31" max="31" width="11" customWidth="1"/>
    <col min="32" max="32" width="11.33203125" customWidth="1"/>
    <col min="33" max="33" width="12" customWidth="1"/>
    <col min="34" max="34" width="12.6640625" customWidth="1"/>
    <col min="35" max="35" width="12.109375" customWidth="1"/>
    <col min="36" max="37" width="11.6640625" customWidth="1"/>
    <col min="38" max="38" width="6.5546875" customWidth="1"/>
    <col min="39" max="39" width="11.88671875" customWidth="1"/>
    <col min="40" max="40" width="12.44140625" customWidth="1"/>
    <col min="41" max="41" width="12" customWidth="1"/>
    <col min="42" max="43" width="12.44140625" customWidth="1"/>
    <col min="44" max="44" width="6.33203125" customWidth="1"/>
    <col min="45" max="45" width="14.77734375" style="17" customWidth="1"/>
    <col min="46" max="46" width="11.88671875" style="17" customWidth="1"/>
    <col min="47" max="47" width="12.109375" style="17" customWidth="1"/>
    <col min="48" max="48" width="14.33203125" style="17" customWidth="1"/>
    <col min="49" max="49" width="11.44140625" style="17" customWidth="1"/>
    <col min="50" max="50" width="6.109375" style="18" customWidth="1"/>
  </cols>
  <sheetData>
    <row r="1" spans="1:50" ht="18" x14ac:dyDescent="0.35">
      <c r="A1" s="2" t="s">
        <v>0</v>
      </c>
      <c r="B1" s="2"/>
      <c r="C1" s="2"/>
      <c r="D1" s="2"/>
      <c r="E1" s="2"/>
      <c r="F1" s="2"/>
      <c r="G1" s="2"/>
      <c r="H1" s="2"/>
      <c r="I1" s="2"/>
      <c r="J1" s="2"/>
      <c r="K1" s="3"/>
      <c r="L1" s="3"/>
      <c r="M1" s="3"/>
      <c r="N1" s="3"/>
      <c r="O1" s="3"/>
      <c r="P1" s="3"/>
      <c r="Q1" s="3"/>
      <c r="R1" s="3"/>
      <c r="S1" s="3"/>
      <c r="T1" s="3"/>
      <c r="U1" s="3"/>
      <c r="V1" s="3"/>
      <c r="W1" s="3"/>
      <c r="X1" s="3"/>
      <c r="Y1" s="3"/>
      <c r="Z1" s="3"/>
      <c r="AA1" s="3"/>
      <c r="AB1" s="3"/>
      <c r="AC1" s="16"/>
      <c r="AJ1" s="3"/>
      <c r="AK1" s="3"/>
      <c r="AL1" s="3"/>
    </row>
    <row r="2" spans="1:50" ht="15" thickBot="1" x14ac:dyDescent="0.35"/>
    <row r="3" spans="1:50" ht="18.600000000000001" thickBot="1" x14ac:dyDescent="0.35">
      <c r="A3" s="586" t="s">
        <v>1</v>
      </c>
      <c r="B3" s="589" t="s">
        <v>2</v>
      </c>
      <c r="C3" s="589"/>
      <c r="D3" s="589"/>
      <c r="E3" s="589"/>
      <c r="F3" s="589"/>
      <c r="G3" s="589"/>
      <c r="H3" s="589"/>
      <c r="I3" s="590"/>
      <c r="J3" s="591" t="s">
        <v>3</v>
      </c>
      <c r="K3" s="592"/>
      <c r="L3" s="592"/>
      <c r="M3" s="592"/>
      <c r="N3" s="592"/>
      <c r="O3" s="592"/>
      <c r="P3" s="592"/>
      <c r="Q3" s="593"/>
      <c r="R3" s="594" t="s">
        <v>4</v>
      </c>
      <c r="S3" s="595"/>
      <c r="T3" s="595"/>
      <c r="U3" s="595"/>
      <c r="V3" s="595"/>
      <c r="W3" s="595"/>
      <c r="X3" s="595"/>
      <c r="Y3" s="595"/>
      <c r="Z3" s="595"/>
      <c r="AA3" s="595"/>
      <c r="AB3" s="595"/>
      <c r="AC3" s="596"/>
      <c r="AD3" s="597" t="s">
        <v>3</v>
      </c>
      <c r="AE3" s="598"/>
      <c r="AF3" s="598"/>
      <c r="AG3" s="598"/>
      <c r="AH3" s="598"/>
      <c r="AI3" s="598"/>
      <c r="AJ3" s="598"/>
      <c r="AK3" s="598"/>
      <c r="AL3" s="599"/>
      <c r="AM3" s="578" t="s">
        <v>2</v>
      </c>
      <c r="AN3" s="579"/>
      <c r="AO3" s="579"/>
      <c r="AP3" s="579"/>
      <c r="AQ3" s="579"/>
      <c r="AR3" s="580"/>
      <c r="AS3" s="561" t="s">
        <v>5</v>
      </c>
      <c r="AT3" s="562"/>
      <c r="AU3" s="562"/>
      <c r="AV3" s="562"/>
      <c r="AW3" s="562"/>
      <c r="AX3" s="563"/>
    </row>
    <row r="4" spans="1:50" ht="16.5" customHeight="1" thickBot="1" x14ac:dyDescent="0.35">
      <c r="A4" s="587"/>
      <c r="B4" s="564" t="s">
        <v>6</v>
      </c>
      <c r="C4" s="566" t="s">
        <v>7</v>
      </c>
      <c r="D4" s="568" t="s">
        <v>8</v>
      </c>
      <c r="E4" s="570" t="s">
        <v>9</v>
      </c>
      <c r="F4" s="572" t="s">
        <v>10</v>
      </c>
      <c r="G4" s="574" t="s">
        <v>11</v>
      </c>
      <c r="H4" s="575"/>
      <c r="I4" s="576"/>
      <c r="J4" s="577" t="s">
        <v>6</v>
      </c>
      <c r="K4" s="566" t="s">
        <v>7</v>
      </c>
      <c r="L4" s="568" t="s">
        <v>8</v>
      </c>
      <c r="M4" s="570" t="s">
        <v>9</v>
      </c>
      <c r="N4" s="600" t="s">
        <v>10</v>
      </c>
      <c r="O4" s="602" t="s">
        <v>11</v>
      </c>
      <c r="P4" s="603"/>
      <c r="Q4" s="604"/>
      <c r="R4" s="605" t="s">
        <v>6</v>
      </c>
      <c r="S4" s="581" t="s">
        <v>7</v>
      </c>
      <c r="T4" s="555" t="s">
        <v>8</v>
      </c>
      <c r="U4" s="612" t="s">
        <v>11</v>
      </c>
      <c r="V4" s="613"/>
      <c r="W4" s="613"/>
      <c r="X4" s="613"/>
      <c r="Y4" s="613"/>
      <c r="Z4" s="614"/>
      <c r="AA4" s="607" t="s">
        <v>14</v>
      </c>
      <c r="AB4" s="551" t="s">
        <v>15</v>
      </c>
      <c r="AC4" s="584" t="s">
        <v>10</v>
      </c>
      <c r="AD4" s="568" t="s">
        <v>6</v>
      </c>
      <c r="AE4" s="545" t="s">
        <v>7</v>
      </c>
      <c r="AF4" s="600" t="s">
        <v>8</v>
      </c>
      <c r="AG4" s="609" t="s">
        <v>13</v>
      </c>
      <c r="AH4" s="610"/>
      <c r="AI4" s="611"/>
      <c r="AJ4" s="607" t="s">
        <v>14</v>
      </c>
      <c r="AK4" s="551" t="s">
        <v>15</v>
      </c>
      <c r="AL4" s="553" t="s">
        <v>10</v>
      </c>
      <c r="AM4" s="555" t="s">
        <v>6</v>
      </c>
      <c r="AN4" s="545" t="s">
        <v>7</v>
      </c>
      <c r="AO4" s="543" t="s">
        <v>32</v>
      </c>
      <c r="AP4" s="545" t="s">
        <v>14</v>
      </c>
      <c r="AQ4" s="545" t="s">
        <v>15</v>
      </c>
      <c r="AR4" s="545" t="s">
        <v>10</v>
      </c>
      <c r="AS4" s="547" t="s">
        <v>16</v>
      </c>
      <c r="AT4" s="549" t="s">
        <v>17</v>
      </c>
      <c r="AU4" s="557" t="s">
        <v>18</v>
      </c>
      <c r="AV4" s="559" t="s">
        <v>19</v>
      </c>
      <c r="AW4" s="539" t="s">
        <v>20</v>
      </c>
      <c r="AX4" s="541" t="s">
        <v>21</v>
      </c>
    </row>
    <row r="5" spans="1:50" ht="43.8" thickBot="1" x14ac:dyDescent="0.35">
      <c r="A5" s="588"/>
      <c r="B5" s="565"/>
      <c r="C5" s="567"/>
      <c r="D5" s="569"/>
      <c r="E5" s="571"/>
      <c r="F5" s="573"/>
      <c r="G5" s="4" t="s">
        <v>6</v>
      </c>
      <c r="H5" s="5" t="s">
        <v>7</v>
      </c>
      <c r="I5" s="6" t="s">
        <v>8</v>
      </c>
      <c r="J5" s="565"/>
      <c r="K5" s="567"/>
      <c r="L5" s="569"/>
      <c r="M5" s="571"/>
      <c r="N5" s="601"/>
      <c r="O5" s="7" t="s">
        <v>6</v>
      </c>
      <c r="P5" s="8" t="s">
        <v>7</v>
      </c>
      <c r="Q5" s="9" t="s">
        <v>8</v>
      </c>
      <c r="R5" s="606"/>
      <c r="S5" s="582"/>
      <c r="T5" s="556"/>
      <c r="U5" s="287" t="s">
        <v>12</v>
      </c>
      <c r="V5" s="4" t="s">
        <v>6</v>
      </c>
      <c r="W5" s="5" t="s">
        <v>7</v>
      </c>
      <c r="X5" s="6" t="s">
        <v>8</v>
      </c>
      <c r="Y5" s="10" t="s">
        <v>6</v>
      </c>
      <c r="Z5" s="286" t="s">
        <v>7</v>
      </c>
      <c r="AA5" s="608"/>
      <c r="AB5" s="583"/>
      <c r="AC5" s="585"/>
      <c r="AD5" s="569"/>
      <c r="AE5" s="615"/>
      <c r="AF5" s="601"/>
      <c r="AG5" s="287" t="s">
        <v>12</v>
      </c>
      <c r="AH5" s="10" t="s">
        <v>6</v>
      </c>
      <c r="AI5" s="286" t="s">
        <v>7</v>
      </c>
      <c r="AJ5" s="616"/>
      <c r="AK5" s="552"/>
      <c r="AL5" s="554"/>
      <c r="AM5" s="556"/>
      <c r="AN5" s="546"/>
      <c r="AO5" s="544"/>
      <c r="AP5" s="546"/>
      <c r="AQ5" s="546"/>
      <c r="AR5" s="546"/>
      <c r="AS5" s="548"/>
      <c r="AT5" s="550"/>
      <c r="AU5" s="558"/>
      <c r="AV5" s="560"/>
      <c r="AW5" s="540"/>
      <c r="AX5" s="542"/>
    </row>
    <row r="6" spans="1:50" s="330" customFormat="1" ht="21" customHeight="1" x14ac:dyDescent="0.3">
      <c r="A6" s="288" t="s">
        <v>22</v>
      </c>
      <c r="B6" s="289">
        <v>0</v>
      </c>
      <c r="C6" s="290">
        <v>0</v>
      </c>
      <c r="D6" s="290">
        <v>0</v>
      </c>
      <c r="E6" s="290">
        <v>0</v>
      </c>
      <c r="F6" s="291">
        <v>0</v>
      </c>
      <c r="G6" s="292">
        <f>B6</f>
        <v>0</v>
      </c>
      <c r="H6" s="293"/>
      <c r="I6" s="294">
        <f>G6+H6</f>
        <v>0</v>
      </c>
      <c r="J6" s="295"/>
      <c r="K6" s="296"/>
      <c r="L6" s="296"/>
      <c r="M6" s="296"/>
      <c r="N6" s="297">
        <v>0</v>
      </c>
      <c r="O6" s="298">
        <f>J6</f>
        <v>0</v>
      </c>
      <c r="P6" s="299"/>
      <c r="Q6" s="300">
        <f>O6+P6</f>
        <v>0</v>
      </c>
      <c r="R6" s="301">
        <f>T6*0.7</f>
        <v>57873.2</v>
      </c>
      <c r="S6" s="302">
        <f>T6*0.3</f>
        <v>24802.799999999999</v>
      </c>
      <c r="T6" s="303">
        <f>+[1]Activity!K76</f>
        <v>82676</v>
      </c>
      <c r="U6" s="304">
        <v>42873.2</v>
      </c>
      <c r="V6" s="305">
        <f t="shared" ref="V6:V12" si="0">R6</f>
        <v>57873.2</v>
      </c>
      <c r="W6" s="306">
        <f>-35724.89+2500+1474.52</f>
        <v>-31750.37</v>
      </c>
      <c r="X6" s="305">
        <f t="shared" ref="X6:X12" si="1">V6+W6</f>
        <v>26122.829999999998</v>
      </c>
      <c r="Y6" s="305">
        <f>70/100*U6</f>
        <v>30011.239999999994</v>
      </c>
      <c r="Z6" s="307">
        <f t="shared" ref="Z6:Z12" si="2">30/100*U6</f>
        <v>12861.96</v>
      </c>
      <c r="AA6" s="308">
        <v>28351.85</v>
      </c>
      <c r="AB6" s="309"/>
      <c r="AC6" s="310">
        <f>(AA6+AB6)/U6</f>
        <v>0.66129540132297104</v>
      </c>
      <c r="AD6" s="311"/>
      <c r="AE6" s="312"/>
      <c r="AF6" s="313"/>
      <c r="AG6" s="314"/>
      <c r="AH6" s="312"/>
      <c r="AI6" s="315"/>
      <c r="AJ6" s="316"/>
      <c r="AK6" s="317"/>
      <c r="AL6" s="318"/>
      <c r="AM6" s="319"/>
      <c r="AN6" s="320"/>
      <c r="AO6" s="321"/>
      <c r="AP6" s="322"/>
      <c r="AQ6" s="320"/>
      <c r="AR6" s="323"/>
      <c r="AS6" s="324">
        <f>Y6+AH6+AM6</f>
        <v>30011.239999999994</v>
      </c>
      <c r="AT6" s="325">
        <f>Z6+AI6+AN6</f>
        <v>12861.96</v>
      </c>
      <c r="AU6" s="326">
        <f>AT6+AS6</f>
        <v>42873.2</v>
      </c>
      <c r="AV6" s="327">
        <f>AA6+AJ6+AP6</f>
        <v>28351.85</v>
      </c>
      <c r="AW6" s="328">
        <f>AQ6+AK6+AB6</f>
        <v>0</v>
      </c>
      <c r="AX6" s="329">
        <f>(AV6+AW6)/AU6</f>
        <v>0.66129540132297104</v>
      </c>
    </row>
    <row r="7" spans="1:50" s="330" customFormat="1" ht="33" customHeight="1" x14ac:dyDescent="0.3">
      <c r="A7" s="331" t="s">
        <v>23</v>
      </c>
      <c r="B7" s="332">
        <f>D7*0.7</f>
        <v>11165</v>
      </c>
      <c r="C7" s="333">
        <f>D7*0.3</f>
        <v>4785</v>
      </c>
      <c r="D7" s="333">
        <f>+[1]Activity!E52+[1]Activity!E45+[1]Activity!E28</f>
        <v>15950</v>
      </c>
      <c r="E7" s="333">
        <v>9501</v>
      </c>
      <c r="F7" s="334">
        <f>E7/B7</f>
        <v>0.8509628302731751</v>
      </c>
      <c r="G7" s="292">
        <f t="shared" ref="G7:G12" si="3">B7</f>
        <v>11165</v>
      </c>
      <c r="H7" s="335"/>
      <c r="I7" s="294">
        <f t="shared" ref="I7:I12" si="4">G7+H7</f>
        <v>11165</v>
      </c>
      <c r="J7" s="336">
        <f>L7*0.7</f>
        <v>0</v>
      </c>
      <c r="K7" s="337">
        <f>L7*0.3</f>
        <v>0</v>
      </c>
      <c r="L7" s="338"/>
      <c r="M7" s="338"/>
      <c r="N7" s="297">
        <v>0</v>
      </c>
      <c r="O7" s="298">
        <f t="shared" ref="O7:O12" si="5">J7</f>
        <v>0</v>
      </c>
      <c r="P7" s="299"/>
      <c r="Q7" s="300">
        <f t="shared" ref="Q7:Q12" si="6">O7+P7</f>
        <v>0</v>
      </c>
      <c r="R7" s="339">
        <f>T7*0.7</f>
        <v>35700</v>
      </c>
      <c r="S7" s="340">
        <f>T7*0.3</f>
        <v>15300</v>
      </c>
      <c r="T7" s="341">
        <f>+[1]Activity!K24+[1]Activity!K37+[1]Activity!K40+[1]Activity!K54</f>
        <v>51000</v>
      </c>
      <c r="U7" s="342">
        <f>X7</f>
        <v>0</v>
      </c>
      <c r="V7" s="343">
        <f t="shared" si="0"/>
        <v>35700</v>
      </c>
      <c r="W7" s="344">
        <f>-35700</f>
        <v>-35700</v>
      </c>
      <c r="X7" s="343">
        <f t="shared" si="1"/>
        <v>0</v>
      </c>
      <c r="Y7" s="343">
        <f t="shared" ref="Y7:Y12" si="7">70/100*U7</f>
        <v>0</v>
      </c>
      <c r="Z7" s="345">
        <f t="shared" si="2"/>
        <v>0</v>
      </c>
      <c r="AA7" s="346"/>
      <c r="AB7" s="343"/>
      <c r="AC7" s="310"/>
      <c r="AD7" s="347"/>
      <c r="AE7" s="348"/>
      <c r="AF7" s="349"/>
      <c r="AG7" s="350"/>
      <c r="AH7" s="351"/>
      <c r="AI7" s="352"/>
      <c r="AJ7" s="353"/>
      <c r="AK7" s="354"/>
      <c r="AL7" s="355"/>
      <c r="AM7" s="356">
        <f>70/100*AO7</f>
        <v>11165</v>
      </c>
      <c r="AN7" s="357">
        <f>30/100*AO7</f>
        <v>4785</v>
      </c>
      <c r="AO7" s="358">
        <v>15950</v>
      </c>
      <c r="AP7" s="357">
        <v>1372.45</v>
      </c>
      <c r="AQ7" s="359">
        <f>1186+0.47</f>
        <v>1186.47</v>
      </c>
      <c r="AR7" s="360">
        <f>(AP7+AQ7)/AO7</f>
        <v>0.16043385579937305</v>
      </c>
      <c r="AS7" s="361">
        <f t="shared" ref="AS7:AT12" si="8">Y7+AH7+AM7</f>
        <v>11165</v>
      </c>
      <c r="AT7" s="325">
        <f t="shared" si="8"/>
        <v>4785</v>
      </c>
      <c r="AU7" s="326">
        <f t="shared" ref="AU7:AU12" si="9">AT7+AS7</f>
        <v>15950</v>
      </c>
      <c r="AV7" s="327">
        <f t="shared" ref="AV7:AV12" si="10">AA7+AJ7+AP7</f>
        <v>1372.45</v>
      </c>
      <c r="AW7" s="328">
        <f t="shared" ref="AW7:AW12" si="11">AQ7+AK7+AB7</f>
        <v>1186.47</v>
      </c>
      <c r="AX7" s="329">
        <f t="shared" ref="AX7:AX12" si="12">(AV7+AW7)/AU7</f>
        <v>0.16043385579937305</v>
      </c>
    </row>
    <row r="8" spans="1:50" s="330" customFormat="1" ht="33.75" customHeight="1" x14ac:dyDescent="0.3">
      <c r="A8" s="331" t="s">
        <v>24</v>
      </c>
      <c r="B8" s="332">
        <f>D8*0.7</f>
        <v>7000</v>
      </c>
      <c r="C8" s="333">
        <f>D8*0.3</f>
        <v>3000</v>
      </c>
      <c r="D8" s="333">
        <f>[1]Activity!E53</f>
        <v>10000</v>
      </c>
      <c r="E8" s="333"/>
      <c r="F8" s="334">
        <f t="shared" ref="F8:F15" si="13">E8/B8</f>
        <v>0</v>
      </c>
      <c r="G8" s="292">
        <f t="shared" si="3"/>
        <v>7000</v>
      </c>
      <c r="H8" s="335"/>
      <c r="I8" s="294">
        <f t="shared" si="4"/>
        <v>7000</v>
      </c>
      <c r="J8" s="336"/>
      <c r="K8" s="338"/>
      <c r="L8" s="338"/>
      <c r="M8" s="338"/>
      <c r="N8" s="297">
        <v>0</v>
      </c>
      <c r="O8" s="298">
        <f t="shared" si="5"/>
        <v>0</v>
      </c>
      <c r="P8" s="299"/>
      <c r="Q8" s="300">
        <f t="shared" si="6"/>
        <v>0</v>
      </c>
      <c r="R8" s="339"/>
      <c r="S8" s="340"/>
      <c r="T8" s="341"/>
      <c r="U8" s="342">
        <f t="shared" ref="U8:U11" si="14">X8</f>
        <v>1340</v>
      </c>
      <c r="V8" s="343">
        <f t="shared" si="0"/>
        <v>0</v>
      </c>
      <c r="W8" s="344">
        <v>1340</v>
      </c>
      <c r="X8" s="343">
        <f t="shared" si="1"/>
        <v>1340</v>
      </c>
      <c r="Y8" s="343">
        <f t="shared" si="7"/>
        <v>937.99999999999989</v>
      </c>
      <c r="Z8" s="345">
        <f t="shared" si="2"/>
        <v>402</v>
      </c>
      <c r="AA8" s="346">
        <v>1340.67</v>
      </c>
      <c r="AB8" s="343"/>
      <c r="AC8" s="310">
        <f t="shared" ref="AC8:AC12" si="15">(AA8+AB8)/U8</f>
        <v>1.0004999999999999</v>
      </c>
      <c r="AD8" s="347"/>
      <c r="AE8" s="348"/>
      <c r="AF8" s="349"/>
      <c r="AG8" s="350"/>
      <c r="AH8" s="351"/>
      <c r="AI8" s="352"/>
      <c r="AJ8" s="353"/>
      <c r="AK8" s="354"/>
      <c r="AL8" s="355"/>
      <c r="AM8" s="356">
        <f t="shared" ref="AM8:AM12" si="16">70/100*AO8</f>
        <v>7000</v>
      </c>
      <c r="AN8" s="357">
        <f t="shared" ref="AN8:AN12" si="17">30/100*AO8</f>
        <v>3000</v>
      </c>
      <c r="AO8" s="362">
        <v>10000</v>
      </c>
      <c r="AP8" s="357">
        <v>0</v>
      </c>
      <c r="AQ8" s="359">
        <v>10000</v>
      </c>
      <c r="AR8" s="360">
        <f t="shared" ref="AR8:AR12" si="18">(AP8+AQ8)/AO8</f>
        <v>1</v>
      </c>
      <c r="AS8" s="361">
        <f t="shared" si="8"/>
        <v>7938</v>
      </c>
      <c r="AT8" s="325">
        <f t="shared" si="8"/>
        <v>3402</v>
      </c>
      <c r="AU8" s="326">
        <f t="shared" si="9"/>
        <v>11340</v>
      </c>
      <c r="AV8" s="327">
        <f t="shared" si="10"/>
        <v>1340.67</v>
      </c>
      <c r="AW8" s="328">
        <f t="shared" si="11"/>
        <v>10000</v>
      </c>
      <c r="AX8" s="329">
        <f t="shared" si="12"/>
        <v>1.0000590828924163</v>
      </c>
    </row>
    <row r="9" spans="1:50" s="330" customFormat="1" ht="21" customHeight="1" x14ac:dyDescent="0.3">
      <c r="A9" s="331" t="s">
        <v>25</v>
      </c>
      <c r="B9" s="332">
        <f>D9*0.7</f>
        <v>245825.99999999997</v>
      </c>
      <c r="C9" s="333">
        <f>D9*0.3</f>
        <v>105354</v>
      </c>
      <c r="D9" s="333">
        <f>+[1]Activity!E73+[1]Activity!E51+[1]Activity!E49+[1]Activity!E48+[1]Activity!E47+[1]Activity!E46+[1]Activity!E43+[1]Activity!E29+[1]Activity!E27+[1]Activity!E26+[1]Activity!E25+[1]Activity!E22+[1]Activity!E21+[1]Activity!E19+[1]Activity!E18+[1]Activity!E16+[1]Activity!E14+[1]Activity!E13</f>
        <v>351180</v>
      </c>
      <c r="E9" s="333">
        <f>9617.08+136750</f>
        <v>146367.07999999999</v>
      </c>
      <c r="F9" s="334">
        <f t="shared" si="13"/>
        <v>0.59540927322577764</v>
      </c>
      <c r="G9" s="292">
        <f t="shared" si="3"/>
        <v>245825.99999999997</v>
      </c>
      <c r="H9" s="335"/>
      <c r="I9" s="294">
        <f t="shared" si="4"/>
        <v>245825.99999999997</v>
      </c>
      <c r="J9" s="336">
        <f>L9*0.7</f>
        <v>217131.59999999998</v>
      </c>
      <c r="K9" s="338">
        <f>L9*0.3</f>
        <v>93056.4</v>
      </c>
      <c r="L9" s="338">
        <f>+[1]Activity!H69+[1]Activity!H67+[1]Activity!H61+[1]Activity!H60+[1]Activity!H59+[1]Activity!H57+[1]Activity!H8+[1]Activity!H60+[1]Activity!H67-100000</f>
        <v>310188</v>
      </c>
      <c r="M9" s="338">
        <f>7065+125435</f>
        <v>132500</v>
      </c>
      <c r="N9" s="297">
        <f>M9/J9</f>
        <v>0.6102290039773115</v>
      </c>
      <c r="O9" s="298">
        <f t="shared" si="5"/>
        <v>217131.59999999998</v>
      </c>
      <c r="P9" s="299"/>
      <c r="Q9" s="300">
        <f t="shared" si="6"/>
        <v>217131.59999999998</v>
      </c>
      <c r="R9" s="339">
        <f>T9*0.7</f>
        <v>107530.84999999999</v>
      </c>
      <c r="S9" s="340">
        <f>T9*0.3</f>
        <v>46084.65</v>
      </c>
      <c r="T9" s="341">
        <f>+[1]Activity!K23+[1]Activity!K36+[1]Activity!K39+[1]Activity!K55+[1]Activity!K71</f>
        <v>153615.5</v>
      </c>
      <c r="U9" s="342">
        <v>142144.29999999999</v>
      </c>
      <c r="V9" s="343">
        <f t="shared" si="0"/>
        <v>107530.84999999999</v>
      </c>
      <c r="W9" s="344">
        <v>43363.82</v>
      </c>
      <c r="X9" s="343">
        <f t="shared" si="1"/>
        <v>150894.66999999998</v>
      </c>
      <c r="Y9" s="343">
        <f t="shared" si="7"/>
        <v>99501.00999999998</v>
      </c>
      <c r="Z9" s="345">
        <f t="shared" si="2"/>
        <v>42643.289999999994</v>
      </c>
      <c r="AA9" s="346">
        <v>178676.18</v>
      </c>
      <c r="AB9" s="343">
        <v>6205</v>
      </c>
      <c r="AC9" s="310">
        <f t="shared" si="15"/>
        <v>1.3006584154271399</v>
      </c>
      <c r="AD9" s="347">
        <f>70/100*AF9</f>
        <v>217131.59999999998</v>
      </c>
      <c r="AE9" s="348">
        <f>30/100*AF9</f>
        <v>93056.4</v>
      </c>
      <c r="AF9" s="349">
        <v>310188</v>
      </c>
      <c r="AG9" s="363">
        <v>333035.82</v>
      </c>
      <c r="AH9" s="351">
        <f>70/100*AG9</f>
        <v>233125.07399999999</v>
      </c>
      <c r="AI9" s="352">
        <f>30/100*AG9</f>
        <v>99910.745999999999</v>
      </c>
      <c r="AJ9" s="353">
        <v>169289</v>
      </c>
      <c r="AK9" s="354">
        <v>13830.55</v>
      </c>
      <c r="AL9" s="364">
        <f>(AJ9+AK9)/AG9</f>
        <v>0.5498494125947172</v>
      </c>
      <c r="AM9" s="356">
        <f t="shared" si="16"/>
        <v>245825.99999999997</v>
      </c>
      <c r="AN9" s="357">
        <f t="shared" si="17"/>
        <v>105354</v>
      </c>
      <c r="AO9" s="362">
        <v>351180</v>
      </c>
      <c r="AP9" s="357">
        <f>77666.89+101859.6+129262.47</f>
        <v>308788.95999999996</v>
      </c>
      <c r="AQ9" s="359">
        <f>1427+30628.3+10335.97</f>
        <v>42391.27</v>
      </c>
      <c r="AR9" s="360">
        <f t="shared" si="18"/>
        <v>1.0000006549347913</v>
      </c>
      <c r="AS9" s="361">
        <f t="shared" si="8"/>
        <v>578452.08399999992</v>
      </c>
      <c r="AT9" s="325">
        <f t="shared" si="8"/>
        <v>247908.03599999999</v>
      </c>
      <c r="AU9" s="326">
        <f t="shared" si="9"/>
        <v>826360.11999999988</v>
      </c>
      <c r="AV9" s="327">
        <f t="shared" si="10"/>
        <v>656754.1399999999</v>
      </c>
      <c r="AW9" s="328">
        <f t="shared" si="11"/>
        <v>62426.819999999992</v>
      </c>
      <c r="AX9" s="329">
        <f t="shared" si="12"/>
        <v>0.87029969452059219</v>
      </c>
    </row>
    <row r="10" spans="1:50" s="366" customFormat="1" ht="20.25" customHeight="1" x14ac:dyDescent="0.3">
      <c r="A10" s="365" t="s">
        <v>26</v>
      </c>
      <c r="B10" s="332">
        <f>D10*0.7</f>
        <v>79800</v>
      </c>
      <c r="C10" s="333">
        <f>D10*0.3</f>
        <v>34200</v>
      </c>
      <c r="D10" s="333">
        <f>+[1]Activity!E15+[1]Activity!E17+[1]Activity!E20+[1]Activity!E30+[1]Activity!E44+[1]Activity!E50+[1]Activity!E72+[1]Activity!E74</f>
        <v>114000</v>
      </c>
      <c r="E10" s="333">
        <f>14055+2200</f>
        <v>16255</v>
      </c>
      <c r="F10" s="334">
        <f t="shared" si="13"/>
        <v>0.2036967418546366</v>
      </c>
      <c r="G10" s="292">
        <f t="shared" si="3"/>
        <v>79800</v>
      </c>
      <c r="H10" s="335"/>
      <c r="I10" s="294">
        <f t="shared" si="4"/>
        <v>79800</v>
      </c>
      <c r="J10" s="336">
        <f>L10*0.7</f>
        <v>159303.06699999998</v>
      </c>
      <c r="K10" s="338">
        <f>L10*0.3</f>
        <v>68272.743000000002</v>
      </c>
      <c r="L10" s="338">
        <f>+[1]Activity!H72+[1]Activity!H68+[1]Activity!H66+[1]Activity!H64+[1]Activity!H62+[1]Activity!H58+[1]Activity!H11+[1]Activity!H10+[1]Activity!H9+[1]Activity!H66</f>
        <v>227575.81</v>
      </c>
      <c r="M10" s="338">
        <v>1275</v>
      </c>
      <c r="N10" s="297">
        <f t="shared" ref="N10:N15" si="19">M10/J10</f>
        <v>8.0036123849392057E-3</v>
      </c>
      <c r="O10" s="298">
        <f t="shared" si="5"/>
        <v>159303.06699999998</v>
      </c>
      <c r="P10" s="299"/>
      <c r="Q10" s="300">
        <f t="shared" si="6"/>
        <v>159303.06699999998</v>
      </c>
      <c r="R10" s="339">
        <f>T10*0.7</f>
        <v>17654</v>
      </c>
      <c r="S10" s="340">
        <f>T10*0.3</f>
        <v>7566</v>
      </c>
      <c r="T10" s="341">
        <f>+[1]Activity!K33+[1]Activity!K35+[1]Activity!K38</f>
        <v>25220</v>
      </c>
      <c r="U10" s="342">
        <v>47654</v>
      </c>
      <c r="V10" s="343">
        <f t="shared" si="0"/>
        <v>17654</v>
      </c>
      <c r="W10" s="344">
        <v>34000</v>
      </c>
      <c r="X10" s="343">
        <f t="shared" si="1"/>
        <v>51654</v>
      </c>
      <c r="Y10" s="343">
        <f t="shared" si="7"/>
        <v>33357.799999999996</v>
      </c>
      <c r="Z10" s="345">
        <v>48376</v>
      </c>
      <c r="AA10" s="346">
        <v>48376</v>
      </c>
      <c r="AB10" s="343">
        <v>181.8</v>
      </c>
      <c r="AC10" s="310">
        <f t="shared" si="15"/>
        <v>1.0189658790447811</v>
      </c>
      <c r="AD10" s="347">
        <f t="shared" ref="AD10:AD11" si="20">70/100*AF10</f>
        <v>159303.06699999998</v>
      </c>
      <c r="AE10" s="348">
        <f t="shared" ref="AE10:AE12" si="21">30/100*AF10</f>
        <v>68272.743000000002</v>
      </c>
      <c r="AF10" s="349">
        <v>227575.81</v>
      </c>
      <c r="AG10" s="363">
        <v>10174.99</v>
      </c>
      <c r="AH10" s="351">
        <f t="shared" ref="AH10:AH12" si="22">70/100*AG10</f>
        <v>7122.4929999999995</v>
      </c>
      <c r="AI10" s="352">
        <f t="shared" ref="AI10:AI12" si="23">30/100*AG10</f>
        <v>3052.4969999999998</v>
      </c>
      <c r="AJ10" s="353">
        <v>5815</v>
      </c>
      <c r="AK10" s="354">
        <v>0</v>
      </c>
      <c r="AL10" s="364">
        <f t="shared" ref="AL10:AL12" si="24">(AJ10+AK10)/AG10</f>
        <v>0.5714993331688778</v>
      </c>
      <c r="AM10" s="356">
        <f t="shared" si="16"/>
        <v>79800</v>
      </c>
      <c r="AN10" s="357">
        <f t="shared" si="17"/>
        <v>34200</v>
      </c>
      <c r="AO10" s="362">
        <v>114000</v>
      </c>
      <c r="AP10" s="357">
        <v>106254.39999999999</v>
      </c>
      <c r="AQ10" s="359">
        <v>0</v>
      </c>
      <c r="AR10" s="360">
        <f t="shared" si="18"/>
        <v>0.93205614035087714</v>
      </c>
      <c r="AS10" s="361">
        <f t="shared" si="8"/>
        <v>120280.29300000001</v>
      </c>
      <c r="AT10" s="325">
        <f t="shared" si="8"/>
        <v>85628.497000000003</v>
      </c>
      <c r="AU10" s="326">
        <f t="shared" si="9"/>
        <v>205908.79</v>
      </c>
      <c r="AV10" s="327">
        <f t="shared" si="10"/>
        <v>160445.4</v>
      </c>
      <c r="AW10" s="328">
        <f t="shared" si="11"/>
        <v>181.8</v>
      </c>
      <c r="AX10" s="329">
        <f t="shared" si="12"/>
        <v>0.78008908701760604</v>
      </c>
    </row>
    <row r="11" spans="1:50" s="330" customFormat="1" ht="33" customHeight="1" x14ac:dyDescent="0.3">
      <c r="A11" s="331" t="s">
        <v>27</v>
      </c>
      <c r="B11" s="332">
        <v>0</v>
      </c>
      <c r="C11" s="333">
        <v>0</v>
      </c>
      <c r="D11" s="333">
        <v>0</v>
      </c>
      <c r="E11" s="333">
        <v>0</v>
      </c>
      <c r="F11" s="334">
        <v>0</v>
      </c>
      <c r="G11" s="292">
        <f t="shared" si="3"/>
        <v>0</v>
      </c>
      <c r="H11" s="335"/>
      <c r="I11" s="294">
        <f t="shared" si="4"/>
        <v>0</v>
      </c>
      <c r="J11" s="336">
        <f>L11*0.7</f>
        <v>28909.999999999996</v>
      </c>
      <c r="K11" s="338">
        <f>L11*0.3</f>
        <v>12390</v>
      </c>
      <c r="L11" s="338">
        <f>+[1]Activity!H12+[1]Activity!H63+[1]Activity!H65</f>
        <v>41300</v>
      </c>
      <c r="M11" s="338">
        <v>121906</v>
      </c>
      <c r="N11" s="367">
        <f t="shared" si="19"/>
        <v>4.2167416118989971</v>
      </c>
      <c r="O11" s="298">
        <f t="shared" si="5"/>
        <v>28909.999999999996</v>
      </c>
      <c r="P11" s="368"/>
      <c r="Q11" s="300">
        <f t="shared" si="6"/>
        <v>28909.999999999996</v>
      </c>
      <c r="R11" s="339">
        <f>T11*0.7</f>
        <v>48720</v>
      </c>
      <c r="S11" s="340">
        <f>T11*0.3</f>
        <v>20880</v>
      </c>
      <c r="T11" s="341">
        <f>+[1]Activity!K32+[1]Activity!K34</f>
        <v>69600</v>
      </c>
      <c r="U11" s="342">
        <f t="shared" si="14"/>
        <v>131000</v>
      </c>
      <c r="V11" s="343">
        <f t="shared" si="0"/>
        <v>48720</v>
      </c>
      <c r="W11" s="344">
        <v>82280</v>
      </c>
      <c r="X11" s="343">
        <f t="shared" si="1"/>
        <v>131000</v>
      </c>
      <c r="Y11" s="343">
        <f t="shared" si="7"/>
        <v>91700</v>
      </c>
      <c r="Z11" s="345">
        <f t="shared" si="2"/>
        <v>39300</v>
      </c>
      <c r="AA11" s="346">
        <v>36355.9</v>
      </c>
      <c r="AB11" s="343">
        <v>0</v>
      </c>
      <c r="AC11" s="310">
        <f t="shared" si="15"/>
        <v>0.27752595419847331</v>
      </c>
      <c r="AD11" s="347">
        <f t="shared" si="20"/>
        <v>28909.999999999996</v>
      </c>
      <c r="AE11" s="348">
        <f t="shared" si="21"/>
        <v>12390</v>
      </c>
      <c r="AF11" s="349">
        <v>41300</v>
      </c>
      <c r="AG11" s="363">
        <v>240943</v>
      </c>
      <c r="AH11" s="351">
        <f t="shared" si="22"/>
        <v>168660.09999999998</v>
      </c>
      <c r="AI11" s="352">
        <f t="shared" si="23"/>
        <v>72282.899999999994</v>
      </c>
      <c r="AJ11" s="353">
        <v>225261.65</v>
      </c>
      <c r="AK11" s="354">
        <v>0</v>
      </c>
      <c r="AL11" s="364">
        <f t="shared" si="24"/>
        <v>0.93491676454597139</v>
      </c>
      <c r="AM11" s="356">
        <f t="shared" si="16"/>
        <v>0</v>
      </c>
      <c r="AN11" s="357">
        <f t="shared" si="17"/>
        <v>0</v>
      </c>
      <c r="AO11" s="362"/>
      <c r="AP11" s="357"/>
      <c r="AQ11" s="359"/>
      <c r="AR11" s="360"/>
      <c r="AS11" s="361">
        <f t="shared" si="8"/>
        <v>260360.09999999998</v>
      </c>
      <c r="AT11" s="325">
        <f t="shared" si="8"/>
        <v>111582.9</v>
      </c>
      <c r="AU11" s="326">
        <f t="shared" si="9"/>
        <v>371943</v>
      </c>
      <c r="AV11" s="327">
        <f t="shared" si="10"/>
        <v>261617.55</v>
      </c>
      <c r="AW11" s="328">
        <f t="shared" si="11"/>
        <v>0</v>
      </c>
      <c r="AX11" s="329">
        <f t="shared" si="12"/>
        <v>0.70338075995515437</v>
      </c>
    </row>
    <row r="12" spans="1:50" s="330" customFormat="1" ht="36.75" customHeight="1" thickBot="1" x14ac:dyDescent="0.35">
      <c r="A12" s="369" t="s">
        <v>28</v>
      </c>
      <c r="B12" s="370">
        <f>D12*0.7</f>
        <v>10515.4</v>
      </c>
      <c r="C12" s="371">
        <f>D12*0.3</f>
        <v>4506.5999999999995</v>
      </c>
      <c r="D12" s="371">
        <f>+[1]Activity!E77</f>
        <v>15022</v>
      </c>
      <c r="E12" s="371">
        <f>149.22+9405.78</f>
        <v>9555</v>
      </c>
      <c r="F12" s="372">
        <f t="shared" si="13"/>
        <v>0.90866728797763285</v>
      </c>
      <c r="G12" s="373">
        <f t="shared" si="3"/>
        <v>10515.4</v>
      </c>
      <c r="H12" s="374"/>
      <c r="I12" s="375">
        <f t="shared" si="4"/>
        <v>10515.4</v>
      </c>
      <c r="J12" s="376">
        <f>L12*0.7</f>
        <v>10500</v>
      </c>
      <c r="K12" s="377">
        <f>L12*0.3</f>
        <v>4500</v>
      </c>
      <c r="L12" s="377">
        <f>[1]Activity!H77</f>
        <v>15000</v>
      </c>
      <c r="M12" s="377"/>
      <c r="N12" s="378">
        <f t="shared" si="19"/>
        <v>0</v>
      </c>
      <c r="O12" s="379">
        <f t="shared" si="5"/>
        <v>10500</v>
      </c>
      <c r="P12" s="380"/>
      <c r="Q12" s="381">
        <f t="shared" si="6"/>
        <v>10500</v>
      </c>
      <c r="R12" s="382">
        <f>[1]Activity!K77*0.7</f>
        <v>9100</v>
      </c>
      <c r="S12" s="383">
        <f>T12*0.3</f>
        <v>3900</v>
      </c>
      <c r="T12" s="384">
        <f>+[1]Activity!K77</f>
        <v>13000</v>
      </c>
      <c r="U12" s="385">
        <v>30100</v>
      </c>
      <c r="V12" s="386">
        <f t="shared" si="0"/>
        <v>9100</v>
      </c>
      <c r="W12" s="387">
        <v>25000</v>
      </c>
      <c r="X12" s="386">
        <f t="shared" si="1"/>
        <v>34100</v>
      </c>
      <c r="Y12" s="386">
        <f t="shared" si="7"/>
        <v>21070</v>
      </c>
      <c r="Z12" s="388">
        <f t="shared" si="2"/>
        <v>9030</v>
      </c>
      <c r="AA12" s="389">
        <v>92246.68</v>
      </c>
      <c r="AB12" s="386">
        <v>2410</v>
      </c>
      <c r="AC12" s="310">
        <f t="shared" si="15"/>
        <v>3.1447401993355482</v>
      </c>
      <c r="AD12" s="347">
        <f>70/100*AF12</f>
        <v>10500</v>
      </c>
      <c r="AE12" s="348">
        <f t="shared" si="21"/>
        <v>4500</v>
      </c>
      <c r="AF12" s="390">
        <v>15000</v>
      </c>
      <c r="AG12" s="391">
        <v>9910</v>
      </c>
      <c r="AH12" s="392">
        <f t="shared" si="22"/>
        <v>6937</v>
      </c>
      <c r="AI12" s="393">
        <f t="shared" si="23"/>
        <v>2973</v>
      </c>
      <c r="AJ12" s="394">
        <v>6937</v>
      </c>
      <c r="AK12" s="395">
        <v>0</v>
      </c>
      <c r="AL12" s="364">
        <f t="shared" si="24"/>
        <v>0.7</v>
      </c>
      <c r="AM12" s="356">
        <f t="shared" si="16"/>
        <v>10515.4</v>
      </c>
      <c r="AN12" s="357">
        <f t="shared" si="17"/>
        <v>4506.5999999999995</v>
      </c>
      <c r="AO12" s="396">
        <v>15022</v>
      </c>
      <c r="AP12" s="398">
        <v>13155.51</v>
      </c>
      <c r="AQ12" s="397">
        <v>1.55</v>
      </c>
      <c r="AR12" s="360">
        <f t="shared" si="18"/>
        <v>0.87585274930102508</v>
      </c>
      <c r="AS12" s="361">
        <f t="shared" si="8"/>
        <v>38522.400000000001</v>
      </c>
      <c r="AT12" s="325">
        <f t="shared" si="8"/>
        <v>16509.599999999999</v>
      </c>
      <c r="AU12" s="326">
        <f t="shared" si="9"/>
        <v>55032</v>
      </c>
      <c r="AV12" s="399">
        <f t="shared" si="10"/>
        <v>112339.18999999999</v>
      </c>
      <c r="AW12" s="400">
        <f t="shared" si="11"/>
        <v>2411.5500000000002</v>
      </c>
      <c r="AX12" s="329">
        <f t="shared" si="12"/>
        <v>2.0851639046373016</v>
      </c>
    </row>
    <row r="13" spans="1:50" s="423" customFormat="1" ht="25.5" customHeight="1" thickBot="1" x14ac:dyDescent="0.35">
      <c r="A13" s="401" t="s">
        <v>29</v>
      </c>
      <c r="B13" s="402">
        <f>SUM(B6:B12)</f>
        <v>354306.4</v>
      </c>
      <c r="C13" s="403">
        <f>SUM(C6:C12)</f>
        <v>151845.6</v>
      </c>
      <c r="D13" s="403">
        <f>SUM(D6:D12)</f>
        <v>506152</v>
      </c>
      <c r="E13" s="403">
        <f t="shared" ref="E13" si="25">SUM(E6:E12)</f>
        <v>181678.07999999999</v>
      </c>
      <c r="F13" s="404">
        <f t="shared" si="13"/>
        <v>0.51277109304263191</v>
      </c>
      <c r="G13" s="405">
        <f>SUM(G6:G12)</f>
        <v>354306.4</v>
      </c>
      <c r="H13" s="406">
        <f>SUM(H6:H12)</f>
        <v>0</v>
      </c>
      <c r="I13" s="407">
        <f t="shared" ref="I13" si="26">SUM(I6:I12)</f>
        <v>354306.4</v>
      </c>
      <c r="J13" s="408">
        <f>SUM(J6:J12)</f>
        <v>415844.66699999996</v>
      </c>
      <c r="K13" s="403">
        <f>SUM(K6:K12)</f>
        <v>178219.14299999998</v>
      </c>
      <c r="L13" s="403">
        <f t="shared" ref="L13:S13" si="27">SUM(L6:L12)</f>
        <v>594063.81000000006</v>
      </c>
      <c r="M13" s="403">
        <f t="shared" si="27"/>
        <v>255681</v>
      </c>
      <c r="N13" s="404">
        <f t="shared" si="19"/>
        <v>0.61484737040044812</v>
      </c>
      <c r="O13" s="405">
        <f>SUM(O6:O12)</f>
        <v>415844.66699999996</v>
      </c>
      <c r="P13" s="406">
        <f t="shared" ref="P13:Q13" si="28">SUM(P6:P12)</f>
        <v>0</v>
      </c>
      <c r="Q13" s="407">
        <f t="shared" si="28"/>
        <v>415844.66699999996</v>
      </c>
      <c r="R13" s="402">
        <f t="shared" si="27"/>
        <v>276578.05</v>
      </c>
      <c r="S13" s="403">
        <f t="shared" si="27"/>
        <v>118533.45000000001</v>
      </c>
      <c r="T13" s="409">
        <f>SUM(T6:T12)</f>
        <v>395111.5</v>
      </c>
      <c r="U13" s="410">
        <f>SUM(U6:U12)</f>
        <v>395111.5</v>
      </c>
      <c r="V13" s="411">
        <f>SUM(V6:V12)</f>
        <v>276578.05</v>
      </c>
      <c r="W13" s="412">
        <f t="shared" ref="W13:X13" si="29">SUM(W6:W12)</f>
        <v>118533.45000000001</v>
      </c>
      <c r="X13" s="411">
        <f t="shared" si="29"/>
        <v>395111.5</v>
      </c>
      <c r="Y13" s="406">
        <f>SUM(Y6:Y12)</f>
        <v>276578.04999999993</v>
      </c>
      <c r="Z13" s="407">
        <f>SUM(Z6:Z12)</f>
        <v>152613.25</v>
      </c>
      <c r="AA13" s="411">
        <f>SUM(AA6:AA12)</f>
        <v>385347.27999999997</v>
      </c>
      <c r="AB13" s="406">
        <f>SUM(AB6:AB12)</f>
        <v>8796.7999999999993</v>
      </c>
      <c r="AC13" s="413">
        <f>(AA13+AB13)/U13</f>
        <v>0.99755152659439161</v>
      </c>
      <c r="AD13" s="414">
        <f>SUM(AD6:AD12)</f>
        <v>415844.66699999996</v>
      </c>
      <c r="AE13" s="415">
        <f t="shared" ref="AE13:AF13" si="30">SUM(AE6:AE12)</f>
        <v>178219.14299999998</v>
      </c>
      <c r="AF13" s="416">
        <f t="shared" si="30"/>
        <v>594063.81000000006</v>
      </c>
      <c r="AG13" s="417">
        <f>SUM(AG9:AG12)</f>
        <v>594063.81000000006</v>
      </c>
      <c r="AH13" s="415">
        <f t="shared" ref="AH13:AK13" si="31">SUM(AH9:AH12)</f>
        <v>415844.66699999996</v>
      </c>
      <c r="AI13" s="416">
        <f t="shared" si="31"/>
        <v>178219.14299999998</v>
      </c>
      <c r="AJ13" s="418">
        <f t="shared" si="31"/>
        <v>407302.65</v>
      </c>
      <c r="AK13" s="415">
        <f t="shared" si="31"/>
        <v>13830.55</v>
      </c>
      <c r="AL13" s="419">
        <f>(AJ13+AK13)/AG13</f>
        <v>0.70890229788614789</v>
      </c>
      <c r="AM13" s="418">
        <f>SUM(AM7:AM12)</f>
        <v>354306.4</v>
      </c>
      <c r="AN13" s="415">
        <f>SUM(AN7:AN12)</f>
        <v>151845.6</v>
      </c>
      <c r="AO13" s="420">
        <f t="shared" ref="AO13:AP13" si="32">SUM(AO7:AO12)</f>
        <v>506152</v>
      </c>
      <c r="AP13" s="414">
        <f t="shared" si="32"/>
        <v>429571.31999999995</v>
      </c>
      <c r="AQ13" s="415">
        <f>SUM(AQ7:AQ12)</f>
        <v>53579.29</v>
      </c>
      <c r="AR13" s="421">
        <f>(AP13+AQ13)/AO13</f>
        <v>0.9545563585642256</v>
      </c>
      <c r="AS13" s="408">
        <f>R13+J13+B13</f>
        <v>1046729.117</v>
      </c>
      <c r="AT13" s="403">
        <f>S13+K13+C13</f>
        <v>448598.19299999997</v>
      </c>
      <c r="AU13" s="409">
        <f>SUM(AU6:AU12)</f>
        <v>1529407.1099999999</v>
      </c>
      <c r="AV13" s="422">
        <f t="shared" ref="AV13:AW13" si="33">SUM(AV6:AV12)</f>
        <v>1222221.2499999998</v>
      </c>
      <c r="AW13" s="409">
        <f t="shared" si="33"/>
        <v>76206.64</v>
      </c>
      <c r="AX13" s="421">
        <f>(AV13+AW13)/AU13</f>
        <v>0.84897466574481906</v>
      </c>
    </row>
    <row r="14" spans="1:50" s="330" customFormat="1" ht="39" customHeight="1" thickBot="1" x14ac:dyDescent="0.35">
      <c r="A14" s="424" t="s">
        <v>187</v>
      </c>
      <c r="B14" s="425">
        <f>D14*0.7</f>
        <v>24801.447999999997</v>
      </c>
      <c r="C14" s="426">
        <f>D14*0.3</f>
        <v>10629.191999999999</v>
      </c>
      <c r="D14" s="426">
        <f>+[1]Activity!E79</f>
        <v>35430.639999999999</v>
      </c>
      <c r="E14" s="426">
        <f>SUM(E6:E12)*0.07</f>
        <v>12717.4656</v>
      </c>
      <c r="F14" s="372">
        <f t="shared" si="13"/>
        <v>0.51277109304263213</v>
      </c>
      <c r="G14" s="427">
        <f>7/100*G13</f>
        <v>24801.448000000004</v>
      </c>
      <c r="H14" s="428">
        <f t="shared" ref="H14:I14" si="34">7/100*H13</f>
        <v>0</v>
      </c>
      <c r="I14" s="429">
        <f t="shared" si="34"/>
        <v>24801.448000000004</v>
      </c>
      <c r="J14" s="430">
        <f>L14*0.7</f>
        <v>29109.126689999997</v>
      </c>
      <c r="K14" s="431">
        <f>L14*0.3</f>
        <v>12475.340009999998</v>
      </c>
      <c r="L14" s="431">
        <f>[1]Activity!H79</f>
        <v>41584.466699999997</v>
      </c>
      <c r="M14" s="431">
        <f>7/100*M13</f>
        <v>17897.670000000002</v>
      </c>
      <c r="N14" s="378">
        <f t="shared" si="19"/>
        <v>0.61484737040044823</v>
      </c>
      <c r="O14" s="432">
        <f>7/100*O13</f>
        <v>29109.126690000001</v>
      </c>
      <c r="P14" s="433">
        <f t="shared" ref="P14:Q14" si="35">7/100*P13</f>
        <v>0</v>
      </c>
      <c r="Q14" s="434">
        <f t="shared" si="35"/>
        <v>29109.126690000001</v>
      </c>
      <c r="R14" s="435">
        <f>T14*0.7</f>
        <v>19360.463499999998</v>
      </c>
      <c r="S14" s="436">
        <f>T14*0.3</f>
        <v>8297.3415000000005</v>
      </c>
      <c r="T14" s="437">
        <f>+[1]Activity!K79</f>
        <v>27657.805</v>
      </c>
      <c r="U14" s="438">
        <f>7/100*U13</f>
        <v>27657.805000000004</v>
      </c>
      <c r="V14" s="439">
        <f t="shared" ref="V14:Y14" si="36">7/100*V13</f>
        <v>19360.463500000002</v>
      </c>
      <c r="W14" s="440">
        <f t="shared" si="36"/>
        <v>8297.3415000000023</v>
      </c>
      <c r="X14" s="441">
        <f t="shared" si="36"/>
        <v>27657.805000000004</v>
      </c>
      <c r="Y14" s="442">
        <f t="shared" si="36"/>
        <v>19360.463499999998</v>
      </c>
      <c r="Z14" s="443">
        <f>7/100*Z13</f>
        <v>10682.927500000002</v>
      </c>
      <c r="AA14" s="444">
        <f>7/100*AA13</f>
        <v>26974.309600000001</v>
      </c>
      <c r="AB14" s="442">
        <f>7/100*AB13</f>
        <v>615.77599999999995</v>
      </c>
      <c r="AC14" s="445">
        <f>(AA14+AB14)/U14</f>
        <v>0.99755152659439161</v>
      </c>
      <c r="AD14" s="446">
        <f>7/100*AD13</f>
        <v>29109.126690000001</v>
      </c>
      <c r="AE14" s="447">
        <f t="shared" ref="AE14:AI14" si="37">7/100*AE13</f>
        <v>12475.34001</v>
      </c>
      <c r="AF14" s="393">
        <f t="shared" si="37"/>
        <v>41584.466700000004</v>
      </c>
      <c r="AG14" s="448">
        <f t="shared" si="37"/>
        <v>41584.466700000004</v>
      </c>
      <c r="AH14" s="449">
        <f t="shared" si="37"/>
        <v>29109.126690000001</v>
      </c>
      <c r="AI14" s="450">
        <f t="shared" si="37"/>
        <v>12475.34001</v>
      </c>
      <c r="AJ14" s="446">
        <f>7/100*AJ13</f>
        <v>28511.185500000003</v>
      </c>
      <c r="AK14" s="447">
        <v>0</v>
      </c>
      <c r="AL14" s="451">
        <f>(AJ14+AK14)/AG14</f>
        <v>0.68562104464838547</v>
      </c>
      <c r="AM14" s="452">
        <f>7/100*AM13</f>
        <v>24801.448000000004</v>
      </c>
      <c r="AN14" s="453">
        <f t="shared" ref="AN14:AO14" si="38">7/100*AN13</f>
        <v>10629.192000000001</v>
      </c>
      <c r="AO14" s="454">
        <f t="shared" si="38"/>
        <v>35430.640000000007</v>
      </c>
      <c r="AP14" s="456">
        <v>30070.02</v>
      </c>
      <c r="AQ14" s="455">
        <v>3750.55</v>
      </c>
      <c r="AR14" s="457">
        <f>(AP14+AQ14)/AO14</f>
        <v>0.95455712908375334</v>
      </c>
      <c r="AS14" s="458">
        <f>Y14+AH14+AM14</f>
        <v>73271.038190000007</v>
      </c>
      <c r="AT14" s="459">
        <f>Z14+AI14+AN14</f>
        <v>33787.459510000001</v>
      </c>
      <c r="AU14" s="460">
        <f>AS14+AT14</f>
        <v>107058.49770000001</v>
      </c>
      <c r="AV14" s="399">
        <f>AP14+AJ14+AA14</f>
        <v>85555.515100000004</v>
      </c>
      <c r="AW14" s="400">
        <f>AQ14+AK14+AB14</f>
        <v>4366.326</v>
      </c>
      <c r="AX14" s="461">
        <f>(AV14+AW14)/AU14</f>
        <v>0.83993184130025389</v>
      </c>
    </row>
    <row r="15" spans="1:50" s="423" customFormat="1" ht="24" customHeight="1" thickBot="1" x14ac:dyDescent="0.35">
      <c r="A15" s="401" t="s">
        <v>31</v>
      </c>
      <c r="B15" s="402">
        <f>B13+B14</f>
        <v>379107.848</v>
      </c>
      <c r="C15" s="409">
        <f>C14+C13</f>
        <v>162474.79200000002</v>
      </c>
      <c r="D15" s="403">
        <f>D14+D13</f>
        <v>541582.64</v>
      </c>
      <c r="E15" s="403">
        <f t="shared" ref="E15" si="39">E14+E13</f>
        <v>194395.54559999998</v>
      </c>
      <c r="F15" s="404">
        <f t="shared" si="13"/>
        <v>0.51277109304263202</v>
      </c>
      <c r="G15" s="405">
        <f>SUM(G13:G14)</f>
        <v>379107.848</v>
      </c>
      <c r="H15" s="406">
        <f t="shared" ref="H15:I15" si="40">SUM(H13:H14)</f>
        <v>0</v>
      </c>
      <c r="I15" s="407">
        <f t="shared" si="40"/>
        <v>379107.848</v>
      </c>
      <c r="J15" s="408">
        <f>J14+J13</f>
        <v>444953.79368999996</v>
      </c>
      <c r="K15" s="403">
        <f>K14+K13</f>
        <v>190694.48300999997</v>
      </c>
      <c r="L15" s="403">
        <f>L13+L14</f>
        <v>635648.27670000005</v>
      </c>
      <c r="M15" s="403">
        <f>M13+M14</f>
        <v>273578.67</v>
      </c>
      <c r="N15" s="404">
        <f t="shared" si="19"/>
        <v>0.61484737040044812</v>
      </c>
      <c r="O15" s="405">
        <f>SUM(O13:O14)</f>
        <v>444953.79368999996</v>
      </c>
      <c r="P15" s="406">
        <f t="shared" ref="P15:Q15" si="41">SUM(P13:P14)</f>
        <v>0</v>
      </c>
      <c r="Q15" s="407">
        <f t="shared" si="41"/>
        <v>444953.79368999996</v>
      </c>
      <c r="R15" s="402">
        <f>R14+R13</f>
        <v>295938.5135</v>
      </c>
      <c r="S15" s="403">
        <f>S14+S13</f>
        <v>126830.79150000001</v>
      </c>
      <c r="T15" s="409">
        <f>T13+T14</f>
        <v>422769.30499999999</v>
      </c>
      <c r="U15" s="410">
        <f>SUM(U13:U14)</f>
        <v>422769.30499999999</v>
      </c>
      <c r="V15" s="411">
        <f>SUM(V13:V14)</f>
        <v>295938.5135</v>
      </c>
      <c r="W15" s="412">
        <f t="shared" ref="W15:X15" si="42">SUM(W13:W14)</f>
        <v>126830.79150000002</v>
      </c>
      <c r="X15" s="411">
        <f t="shared" si="42"/>
        <v>422769.30499999999</v>
      </c>
      <c r="Y15" s="406">
        <f>SUM(Y13:Y14)</f>
        <v>295938.51349999994</v>
      </c>
      <c r="Z15" s="407">
        <f>SUM(Z13:Z14)</f>
        <v>163296.17749999999</v>
      </c>
      <c r="AA15" s="462">
        <f>AA13+AA14</f>
        <v>412321.58959999995</v>
      </c>
      <c r="AB15" s="463">
        <f>AB13+AB14</f>
        <v>9412.5759999999991</v>
      </c>
      <c r="AC15" s="413">
        <f>(AA15+AB15)/U15</f>
        <v>0.99755152659439161</v>
      </c>
      <c r="AD15" s="414">
        <f>SUM(AD13:AD14)</f>
        <v>444953.79368999996</v>
      </c>
      <c r="AE15" s="415">
        <f t="shared" ref="AE15:AF15" si="43">SUM(AE13:AE14)</f>
        <v>190694.48300999997</v>
      </c>
      <c r="AF15" s="416">
        <f t="shared" si="43"/>
        <v>635648.27670000005</v>
      </c>
      <c r="AG15" s="417">
        <f>SUM(AG13:AG14)</f>
        <v>635648.27670000005</v>
      </c>
      <c r="AH15" s="415">
        <f t="shared" ref="AH15:AK15" si="44">SUM(AH13:AH14)</f>
        <v>444953.79368999996</v>
      </c>
      <c r="AI15" s="416">
        <f t="shared" si="44"/>
        <v>190694.48300999997</v>
      </c>
      <c r="AJ15" s="418">
        <f t="shared" si="44"/>
        <v>435813.83550000004</v>
      </c>
      <c r="AK15" s="415">
        <f t="shared" si="44"/>
        <v>13830.55</v>
      </c>
      <c r="AL15" s="419">
        <f>(AJ15+AK15)/AG15</f>
        <v>0.7073792252444252</v>
      </c>
      <c r="AM15" s="418">
        <f>SUM(AM13:AM14)</f>
        <v>379107.848</v>
      </c>
      <c r="AN15" s="415">
        <f t="shared" ref="AN15:AQ15" si="45">SUM(AN13:AN14)</f>
        <v>162474.79200000002</v>
      </c>
      <c r="AO15" s="420">
        <f t="shared" si="45"/>
        <v>541582.64</v>
      </c>
      <c r="AP15" s="414">
        <f>SUM(AP13:AP14)</f>
        <v>459641.33999999997</v>
      </c>
      <c r="AQ15" s="415">
        <f t="shared" si="45"/>
        <v>57329.840000000004</v>
      </c>
      <c r="AR15" s="421">
        <f>(AP15+AQ15)/AO15</f>
        <v>0.9545564089720453</v>
      </c>
      <c r="AS15" s="408">
        <f>AS14+AS13</f>
        <v>1120000.1551900001</v>
      </c>
      <c r="AT15" s="403">
        <f>+AT14+AT13</f>
        <v>482385.65250999999</v>
      </c>
      <c r="AU15" s="409">
        <f>D15+L15+T15</f>
        <v>1600000.2216999999</v>
      </c>
      <c r="AV15" s="464">
        <f>AV13+AV14</f>
        <v>1307776.7650999997</v>
      </c>
      <c r="AW15" s="415">
        <f>AW13+AW14</f>
        <v>80572.966</v>
      </c>
      <c r="AX15" s="421">
        <f>(AV15+AW15)/AU15</f>
        <v>0.86771846170426059</v>
      </c>
    </row>
    <row r="16" spans="1:50" ht="15.6" x14ac:dyDescent="0.3">
      <c r="D16" s="11"/>
      <c r="E16" s="11"/>
      <c r="F16" s="11"/>
      <c r="G16" s="11"/>
      <c r="H16" s="11"/>
      <c r="I16" s="11"/>
      <c r="K16" s="12"/>
      <c r="L16" s="12"/>
      <c r="M16" s="12"/>
      <c r="N16" s="12"/>
      <c r="O16" s="12"/>
      <c r="P16" s="12"/>
      <c r="Q16" s="12"/>
      <c r="R16" s="12"/>
      <c r="S16" s="12"/>
      <c r="W16" s="1">
        <f>+X16-X15</f>
        <v>0</v>
      </c>
      <c r="X16" s="1">
        <f>+T15</f>
        <v>422769.30499999999</v>
      </c>
      <c r="Y16" s="1"/>
      <c r="Z16" s="1"/>
      <c r="AA16" s="1"/>
      <c r="AB16" s="1"/>
      <c r="AJ16" s="1"/>
      <c r="AK16" s="1"/>
      <c r="AL16" s="1"/>
      <c r="AT16" s="19"/>
      <c r="AU16" s="19"/>
    </row>
    <row r="17" spans="4:50" x14ac:dyDescent="0.3">
      <c r="D17" s="11"/>
      <c r="E17" s="11"/>
      <c r="F17" s="11"/>
      <c r="G17" s="11"/>
      <c r="H17" s="11"/>
      <c r="I17" s="11"/>
      <c r="R17" s="13"/>
      <c r="S17" s="13"/>
      <c r="T17" s="11"/>
      <c r="U17" s="11"/>
      <c r="V17" s="11"/>
      <c r="W17" s="11"/>
      <c r="X17" s="11"/>
      <c r="Y17" s="11"/>
      <c r="Z17" s="11"/>
      <c r="AA17" s="11"/>
      <c r="AB17" s="11"/>
      <c r="AJ17" s="14"/>
      <c r="AK17" s="11"/>
      <c r="AL17" s="11"/>
      <c r="AS17" s="19"/>
      <c r="AT17" s="19"/>
      <c r="AU17" s="19"/>
    </row>
    <row r="18" spans="4:50" x14ac:dyDescent="0.3">
      <c r="L18" s="11"/>
      <c r="M18" s="11"/>
      <c r="N18" s="11"/>
      <c r="O18" s="11"/>
      <c r="P18" s="11"/>
      <c r="Q18" s="11"/>
      <c r="S18" s="11"/>
      <c r="T18" s="1"/>
      <c r="U18" s="1"/>
      <c r="AU18" s="19"/>
    </row>
    <row r="19" spans="4:50" x14ac:dyDescent="0.3">
      <c r="AJ19" s="1"/>
      <c r="AP19" s="17"/>
      <c r="AQ19" s="17"/>
      <c r="AR19" s="17"/>
      <c r="AU19" s="18"/>
      <c r="AV19"/>
      <c r="AW19"/>
      <c r="AX19"/>
    </row>
    <row r="20" spans="4:50" x14ac:dyDescent="0.3">
      <c r="AP20" s="17"/>
      <c r="AQ20" s="17"/>
      <c r="AR20" s="17"/>
      <c r="AU20" s="18"/>
      <c r="AV20"/>
      <c r="AW20"/>
      <c r="AX20"/>
    </row>
    <row r="21" spans="4:50" x14ac:dyDescent="0.3">
      <c r="AP21" s="17"/>
      <c r="AQ21" s="17"/>
      <c r="AR21" s="17"/>
      <c r="AU21" s="18"/>
      <c r="AV21"/>
      <c r="AW21"/>
      <c r="AX21"/>
    </row>
    <row r="22" spans="4:50" x14ac:dyDescent="0.3">
      <c r="AK22" s="465"/>
      <c r="AP22" s="17"/>
      <c r="AQ22" s="17"/>
      <c r="AR22" s="17"/>
      <c r="AU22" s="18"/>
      <c r="AV22"/>
      <c r="AW22"/>
      <c r="AX22"/>
    </row>
    <row r="23" spans="4:50" x14ac:dyDescent="0.3">
      <c r="AK23" s="465"/>
      <c r="AP23" s="17"/>
      <c r="AQ23" s="17"/>
      <c r="AR23" s="17"/>
      <c r="AU23" s="18"/>
      <c r="AV23"/>
      <c r="AW23"/>
      <c r="AX23"/>
    </row>
    <row r="24" spans="4:50" x14ac:dyDescent="0.3">
      <c r="AK24" s="1"/>
      <c r="AP24" s="17"/>
      <c r="AQ24" s="17"/>
      <c r="AR24" s="17"/>
      <c r="AU24" s="18"/>
      <c r="AV24"/>
      <c r="AW24"/>
      <c r="AX24"/>
    </row>
    <row r="25" spans="4:50" x14ac:dyDescent="0.3">
      <c r="AP25" s="17"/>
      <c r="AQ25" s="17"/>
      <c r="AR25" s="17"/>
      <c r="AU25" s="18"/>
      <c r="AV25"/>
      <c r="AW25"/>
      <c r="AX25"/>
    </row>
    <row r="26" spans="4:50" x14ac:dyDescent="0.3">
      <c r="AP26" s="17"/>
      <c r="AQ26" s="17"/>
      <c r="AR26" s="17"/>
      <c r="AU26" s="18"/>
      <c r="AV26"/>
      <c r="AW26"/>
      <c r="AX26"/>
    </row>
  </sheetData>
  <mergeCells count="45">
    <mergeCell ref="A3:A5"/>
    <mergeCell ref="B3:I3"/>
    <mergeCell ref="J3:Q3"/>
    <mergeCell ref="R3:AC3"/>
    <mergeCell ref="AD3:AL3"/>
    <mergeCell ref="M4:M5"/>
    <mergeCell ref="N4:N5"/>
    <mergeCell ref="O4:Q4"/>
    <mergeCell ref="R4:R5"/>
    <mergeCell ref="AA4:AA5"/>
    <mergeCell ref="AG4:AI4"/>
    <mergeCell ref="U4:Z4"/>
    <mergeCell ref="AD4:AD5"/>
    <mergeCell ref="AE4:AE5"/>
    <mergeCell ref="AF4:AF5"/>
    <mergeCell ref="AJ4:AJ5"/>
    <mergeCell ref="AS3:AX3"/>
    <mergeCell ref="B4:B5"/>
    <mergeCell ref="C4:C5"/>
    <mergeCell ref="D4:D5"/>
    <mergeCell ref="E4:E5"/>
    <mergeCell ref="F4:F5"/>
    <mergeCell ref="G4:I4"/>
    <mergeCell ref="J4:J5"/>
    <mergeCell ref="K4:K5"/>
    <mergeCell ref="L4:L5"/>
    <mergeCell ref="AM3:AR3"/>
    <mergeCell ref="S4:S5"/>
    <mergeCell ref="T4:T5"/>
    <mergeCell ref="AN4:AN5"/>
    <mergeCell ref="AB4:AB5"/>
    <mergeCell ref="AC4:AC5"/>
    <mergeCell ref="AK4:AK5"/>
    <mergeCell ref="AL4:AL5"/>
    <mergeCell ref="AM4:AM5"/>
    <mergeCell ref="AU4:AU5"/>
    <mergeCell ref="AV4:AV5"/>
    <mergeCell ref="AW4:AW5"/>
    <mergeCell ref="AX4:AX5"/>
    <mergeCell ref="AO4:AO5"/>
    <mergeCell ref="AP4:AP5"/>
    <mergeCell ref="AQ4:AQ5"/>
    <mergeCell ref="AR4:AR5"/>
    <mergeCell ref="AS4:AS5"/>
    <mergeCell ref="AT4:AT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Activity</vt:lpstr>
      <vt:lpstr>Category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Nah</dc:creator>
  <cp:lastModifiedBy>John Dennis</cp:lastModifiedBy>
  <cp:lastPrinted>2020-11-18T10:47:24Z</cp:lastPrinted>
  <dcterms:created xsi:type="dcterms:W3CDTF">2020-03-31T12:17:22Z</dcterms:created>
  <dcterms:modified xsi:type="dcterms:W3CDTF">2020-11-23T11:48:31Z</dcterms:modified>
</cp:coreProperties>
</file>