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showInkAnnotation="0" codeName="ThisWorkbook"/>
  <mc:AlternateContent xmlns:mc="http://schemas.openxmlformats.org/markup-compatibility/2006">
    <mc:Choice Requires="x15">
      <x15ac:absPath xmlns:x15ac="http://schemas.microsoft.com/office/spreadsheetml/2010/11/ac" url="C:\Users\caitlin.hannahan\United Nations\SSU - General\02. Stabilization Coherence Fund\04. Projects\06. Sud Irumu_OIM\01. Identification and Design\01. Approved Proposal\"/>
    </mc:Choice>
  </mc:AlternateContent>
  <xr:revisionPtr revIDLastSave="0" documentId="8_{0DCF74B0-1390-47B2-AD6B-A59D963BB6F5}" xr6:coauthVersionLast="45" xr6:coauthVersionMax="45" xr10:uidLastSave="{00000000-0000-0000-0000-000000000000}"/>
  <bookViews>
    <workbookView xWindow="-110" yWindow="-110" windowWidth="19420" windowHeight="10420" activeTab="1" xr2:uid="{00000000-000D-0000-FFFF-FFFF00000000}"/>
  </bookViews>
  <sheets>
    <sheet name="Budget_Recapitulatif_AAP" sheetId="2" r:id="rId1"/>
    <sheet name="Consolidated" sheetId="1" r:id="rId2"/>
    <sheet name="OIM" sheetId="3" r:id="rId3"/>
    <sheet name="Trocaire" sheetId="4" r:id="rId4"/>
    <sheet name="Caritas" sheetId="5" r:id="rId5"/>
  </sheets>
  <externalReferences>
    <externalReference r:id="rId6"/>
    <externalReference r:id="rId7"/>
    <externalReference r:id="rId8"/>
  </externalReferences>
  <definedNames>
    <definedName name="_xlnm._FilterDatabase" localSheetId="1" hidden="1">Consolidated!$C$1:$C$265</definedName>
    <definedName name="_xlnm._FilterDatabase" localSheetId="2" hidden="1">OIM!$C$9:$C$99</definedName>
    <definedName name="cat">OIM!#REF!</definedName>
    <definedName name="cate">[1]Consolidated!#REF!</definedName>
    <definedName name="categ">OIM!#REF!</definedName>
    <definedName name="catego">OIM!#REF!</definedName>
    <definedName name="categories" localSheetId="2">OIM!#REF!</definedName>
    <definedName name="categories">Consolidated!#REF!</definedName>
    <definedName name="cc">OIM!#REF!</definedName>
    <definedName name="dafadfadf">OIM!#REF!</definedName>
    <definedName name="dd">OIM!#REF!</definedName>
    <definedName name="ddd">OIM!#REF!</definedName>
    <definedName name="dddd">[2]Consolidated!#REF!</definedName>
    <definedName name="dsdfsdfds">OIM!#REF!</definedName>
    <definedName name="dsmnf">[2]Consolidated!#REF!</definedName>
    <definedName name="f">[3]OIM!#REF!</definedName>
    <definedName name="fhf">[3]Consolidated!#REF!</definedName>
    <definedName name="gjg">[3]OIM!#REF!</definedName>
    <definedName name="gjgjg">OIM!#REF!</definedName>
    <definedName name="hf">[3]OIM!#REF!</definedName>
    <definedName name="hgf">OIM!#REF!</definedName>
    <definedName name="jjk">OIM!#REF!</definedName>
    <definedName name="kf">[3]OIM!#REF!</definedName>
    <definedName name="options" localSheetId="2">OIM!#REF!</definedName>
    <definedName name="options">Consolidated!#REF!</definedName>
    <definedName name="rr">[3]OIM!#REF!</definedName>
    <definedName name="sdf">[3]OIM!#REF!</definedName>
    <definedName name="tt">[3]OIM!#REF!</definedName>
    <definedName name="vvvvv">OIM!#REF!</definedName>
    <definedName name="werwer">OIM!#REF!</definedName>
    <definedName name="wfewefwef">OIM!#REF!</definedName>
    <definedName name="ww">[3]OIM!#REF!</definedName>
    <definedName name="wwdd">OIM!#REF!</definedName>
    <definedName name="_xlnm.Print_Area" localSheetId="0">Budget_Recapitulatif_AAP!$A$2:$E$28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2" l="1"/>
  <c r="M82" i="3" l="1"/>
  <c r="H82" i="3"/>
  <c r="M75" i="3"/>
  <c r="H75" i="3"/>
  <c r="M16" i="3"/>
  <c r="H16" i="3"/>
  <c r="K131" i="1"/>
  <c r="M131" i="1" s="1"/>
  <c r="H131" i="1"/>
  <c r="K139" i="1"/>
  <c r="M139" i="1" s="1"/>
  <c r="H139" i="1"/>
  <c r="K170" i="1"/>
  <c r="M170" i="1" s="1"/>
  <c r="H170" i="1"/>
  <c r="K169" i="1"/>
  <c r="M169" i="1" s="1"/>
  <c r="H169" i="1"/>
  <c r="M168" i="1"/>
  <c r="H168" i="1"/>
  <c r="K219" i="1"/>
  <c r="M219" i="1" s="1"/>
  <c r="H219" i="1"/>
  <c r="K218" i="1"/>
  <c r="M218" i="1" s="1"/>
  <c r="H218" i="1"/>
  <c r="K217" i="1"/>
  <c r="M217" i="1" s="1"/>
  <c r="H217" i="1"/>
  <c r="K216" i="1"/>
  <c r="M216" i="1" s="1"/>
  <c r="H216" i="1"/>
  <c r="K215" i="1"/>
  <c r="M215" i="1" s="1"/>
  <c r="H215" i="1"/>
  <c r="K214" i="1"/>
  <c r="M214" i="1" s="1"/>
  <c r="H214" i="1"/>
  <c r="K213" i="1"/>
  <c r="M213" i="1" s="1"/>
  <c r="H213" i="1"/>
  <c r="K212" i="1"/>
  <c r="M212" i="1" s="1"/>
  <c r="H212" i="1"/>
  <c r="K211" i="1"/>
  <c r="M211" i="1" s="1"/>
  <c r="H211" i="1"/>
  <c r="K210" i="1"/>
  <c r="M210" i="1" s="1"/>
  <c r="H210" i="1"/>
  <c r="K209" i="1"/>
  <c r="M209" i="1" s="1"/>
  <c r="H209" i="1"/>
  <c r="O212" i="1" l="1"/>
  <c r="O169" i="1"/>
  <c r="O16" i="3"/>
  <c r="Q16" i="3" s="1"/>
  <c r="O214" i="1"/>
  <c r="O168" i="1"/>
  <c r="O210" i="1"/>
  <c r="O82" i="3"/>
  <c r="O219" i="1"/>
  <c r="O209" i="1"/>
  <c r="O213" i="1"/>
  <c r="O211" i="1"/>
  <c r="O75" i="3"/>
  <c r="O215" i="1"/>
  <c r="O216" i="1"/>
  <c r="O217" i="1"/>
  <c r="O218" i="1"/>
  <c r="O131" i="1"/>
  <c r="O139" i="1"/>
  <c r="O170" i="1"/>
  <c r="Q41" i="1" l="1"/>
  <c r="Q39" i="1"/>
  <c r="H183" i="1"/>
  <c r="M25" i="1"/>
  <c r="H25" i="1"/>
  <c r="T70" i="5"/>
  <c r="U70" i="5" s="1"/>
  <c r="T133" i="4"/>
  <c r="U133" i="4" s="1"/>
  <c r="U68" i="5"/>
  <c r="T68" i="5"/>
  <c r="T114" i="4"/>
  <c r="U114" i="4" s="1"/>
  <c r="T60" i="5"/>
  <c r="U60" i="5" s="1"/>
  <c r="T109" i="4"/>
  <c r="U109" i="4" s="1"/>
  <c r="T62" i="5"/>
  <c r="U62" i="5" s="1"/>
  <c r="T111" i="4"/>
  <c r="U111" i="4" s="1"/>
  <c r="T53" i="5"/>
  <c r="U53" i="5" s="1"/>
  <c r="T104" i="4"/>
  <c r="U104" i="4" s="1"/>
  <c r="T50" i="5"/>
  <c r="U50" i="5" s="1"/>
  <c r="T102" i="4"/>
  <c r="U102" i="4" s="1"/>
  <c r="M38" i="3"/>
  <c r="H38" i="3"/>
  <c r="M37" i="3"/>
  <c r="H37" i="3"/>
  <c r="T17" i="5"/>
  <c r="M17" i="5"/>
  <c r="H17" i="5"/>
  <c r="M27" i="3"/>
  <c r="H27" i="3"/>
  <c r="T36" i="5"/>
  <c r="M36" i="5"/>
  <c r="H36" i="5"/>
  <c r="O36" i="5" s="1"/>
  <c r="U36" i="5" s="1"/>
  <c r="T35" i="5"/>
  <c r="M35" i="5"/>
  <c r="H35" i="5"/>
  <c r="T33" i="5"/>
  <c r="M33" i="5"/>
  <c r="H33" i="5"/>
  <c r="T32" i="5"/>
  <c r="M32" i="5"/>
  <c r="H32" i="5"/>
  <c r="T31" i="5"/>
  <c r="M31" i="5"/>
  <c r="H31" i="5"/>
  <c r="T30" i="5"/>
  <c r="M30" i="5"/>
  <c r="H30" i="5"/>
  <c r="T29" i="5"/>
  <c r="M29" i="5"/>
  <c r="H29" i="5"/>
  <c r="T28" i="5"/>
  <c r="M28" i="5"/>
  <c r="H28" i="5"/>
  <c r="T27" i="5"/>
  <c r="M27" i="5"/>
  <c r="H27" i="5"/>
  <c r="T26" i="5"/>
  <c r="M26" i="5"/>
  <c r="H26" i="5"/>
  <c r="T25" i="5"/>
  <c r="O25" i="5"/>
  <c r="H25" i="5"/>
  <c r="T24" i="5"/>
  <c r="M24" i="5"/>
  <c r="H24" i="5"/>
  <c r="T23" i="5"/>
  <c r="M23" i="5"/>
  <c r="H23" i="5"/>
  <c r="T22" i="5"/>
  <c r="M22" i="5"/>
  <c r="H22" i="5"/>
  <c r="O22" i="5" s="1"/>
  <c r="T21" i="5"/>
  <c r="H21" i="5"/>
  <c r="O21" i="5" s="1"/>
  <c r="T20" i="5"/>
  <c r="M20" i="5"/>
  <c r="H20" i="5"/>
  <c r="T19" i="5"/>
  <c r="M19" i="5"/>
  <c r="H19" i="5"/>
  <c r="T18" i="5"/>
  <c r="H18" i="5"/>
  <c r="O18" i="5" s="1"/>
  <c r="T16" i="5"/>
  <c r="U16" i="5" s="1"/>
  <c r="T15" i="5"/>
  <c r="M15" i="5"/>
  <c r="H15" i="5"/>
  <c r="T14" i="5"/>
  <c r="M14" i="5"/>
  <c r="H14" i="5"/>
  <c r="M78" i="1"/>
  <c r="H78" i="1"/>
  <c r="O29" i="5" l="1"/>
  <c r="U29" i="5" s="1"/>
  <c r="O14" i="5"/>
  <c r="U14" i="5" s="1"/>
  <c r="U18" i="5"/>
  <c r="U21" i="5"/>
  <c r="O24" i="5"/>
  <c r="U24" i="5" s="1"/>
  <c r="O32" i="5"/>
  <c r="U32" i="5" s="1"/>
  <c r="U22" i="5"/>
  <c r="O15" i="5"/>
  <c r="U15" i="5" s="1"/>
  <c r="O33" i="5"/>
  <c r="U33" i="5" s="1"/>
  <c r="O38" i="3"/>
  <c r="Q38" i="3" s="1"/>
  <c r="U25" i="5"/>
  <c r="O28" i="5"/>
  <c r="O26" i="5"/>
  <c r="U26" i="5" s="1"/>
  <c r="O30" i="5"/>
  <c r="U30" i="5" s="1"/>
  <c r="U28" i="5"/>
  <c r="O20" i="5"/>
  <c r="U20" i="5" s="1"/>
  <c r="O23" i="5"/>
  <c r="U23" i="5" s="1"/>
  <c r="O31" i="5"/>
  <c r="U31" i="5" s="1"/>
  <c r="O35" i="5"/>
  <c r="U35" i="5" s="1"/>
  <c r="O19" i="5"/>
  <c r="U19" i="5" s="1"/>
  <c r="O27" i="5"/>
  <c r="U27" i="5" s="1"/>
  <c r="O17" i="5"/>
  <c r="U17" i="5" s="1"/>
  <c r="O37" i="3"/>
  <c r="Q37" i="3" s="1"/>
  <c r="O78" i="1"/>
  <c r="O25" i="1"/>
  <c r="Q25" i="1" s="1"/>
  <c r="O27" i="3"/>
  <c r="Q27" i="3" s="1"/>
  <c r="K89" i="4"/>
  <c r="M89" i="4" s="1"/>
  <c r="F89" i="4"/>
  <c r="H89" i="4" s="1"/>
  <c r="K132" i="1"/>
  <c r="M132" i="1" s="1"/>
  <c r="F132" i="1"/>
  <c r="H132" i="1" s="1"/>
  <c r="K165" i="1"/>
  <c r="M165" i="1" s="1"/>
  <c r="F165" i="1"/>
  <c r="H165" i="1" s="1"/>
  <c r="O165" i="1" l="1"/>
  <c r="O89" i="4"/>
  <c r="O132" i="1"/>
  <c r="F95" i="4"/>
  <c r="M242" i="1" l="1"/>
  <c r="H242" i="1"/>
  <c r="M240" i="1"/>
  <c r="H240" i="1"/>
  <c r="M239" i="1"/>
  <c r="H239" i="1"/>
  <c r="M238" i="1"/>
  <c r="H238" i="1"/>
  <c r="K237" i="1"/>
  <c r="M237" i="1" s="1"/>
  <c r="F237" i="1"/>
  <c r="H237" i="1" s="1"/>
  <c r="M236" i="1"/>
  <c r="H236" i="1"/>
  <c r="M235" i="1"/>
  <c r="H235" i="1"/>
  <c r="M234" i="1"/>
  <c r="H234" i="1"/>
  <c r="M233" i="1"/>
  <c r="H233" i="1"/>
  <c r="M232" i="1"/>
  <c r="H232" i="1"/>
  <c r="M231" i="1"/>
  <c r="H231" i="1"/>
  <c r="M230" i="1"/>
  <c r="H230" i="1"/>
  <c r="M229" i="1"/>
  <c r="H229" i="1"/>
  <c r="M228" i="1"/>
  <c r="H228" i="1"/>
  <c r="M226" i="1"/>
  <c r="H226" i="1"/>
  <c r="M225" i="1"/>
  <c r="H225" i="1"/>
  <c r="M224" i="1"/>
  <c r="H224" i="1"/>
  <c r="M223" i="1"/>
  <c r="H223" i="1"/>
  <c r="M222" i="1"/>
  <c r="H222" i="1"/>
  <c r="M221" i="1"/>
  <c r="H221" i="1"/>
  <c r="M220" i="1"/>
  <c r="H220" i="1"/>
  <c r="M207" i="1"/>
  <c r="H207" i="1"/>
  <c r="M206" i="1"/>
  <c r="H206" i="1"/>
  <c r="M205" i="1"/>
  <c r="H205" i="1"/>
  <c r="M204" i="1"/>
  <c r="H204" i="1"/>
  <c r="M203" i="1"/>
  <c r="H203" i="1"/>
  <c r="M202" i="1"/>
  <c r="H202" i="1"/>
  <c r="K201" i="1"/>
  <c r="M201" i="1" s="1"/>
  <c r="F201" i="1"/>
  <c r="M200" i="1"/>
  <c r="H200" i="1"/>
  <c r="M199" i="1"/>
  <c r="H199" i="1"/>
  <c r="M197" i="1"/>
  <c r="H197" i="1"/>
  <c r="M195" i="1"/>
  <c r="H195" i="1"/>
  <c r="M194" i="1"/>
  <c r="H194" i="1"/>
  <c r="M193" i="1"/>
  <c r="H193" i="1"/>
  <c r="M192" i="1"/>
  <c r="H192" i="1"/>
  <c r="M191" i="1"/>
  <c r="H191" i="1"/>
  <c r="M190" i="1"/>
  <c r="H190" i="1"/>
  <c r="M189" i="1"/>
  <c r="H189" i="1"/>
  <c r="M188" i="1"/>
  <c r="H188" i="1"/>
  <c r="M187" i="1"/>
  <c r="H187" i="1"/>
  <c r="M186" i="1"/>
  <c r="H186" i="1"/>
  <c r="M185" i="1"/>
  <c r="H185" i="1"/>
  <c r="M184" i="1"/>
  <c r="H184" i="1"/>
  <c r="M183" i="1"/>
  <c r="M181" i="1"/>
  <c r="H181" i="1"/>
  <c r="M180" i="1"/>
  <c r="H180" i="1"/>
  <c r="M179" i="1"/>
  <c r="H179" i="1"/>
  <c r="M177" i="1"/>
  <c r="H177" i="1"/>
  <c r="M176" i="1"/>
  <c r="H176" i="1"/>
  <c r="M175" i="1"/>
  <c r="H175" i="1"/>
  <c r="M174" i="1"/>
  <c r="H174" i="1"/>
  <c r="M173" i="1"/>
  <c r="H173" i="1"/>
  <c r="M172" i="1"/>
  <c r="H172" i="1"/>
  <c r="M171" i="1"/>
  <c r="H171" i="1"/>
  <c r="F167" i="1"/>
  <c r="K166" i="1"/>
  <c r="H166" i="1"/>
  <c r="H164" i="1"/>
  <c r="M164" i="1"/>
  <c r="M163" i="1"/>
  <c r="H163" i="1"/>
  <c r="M162" i="1"/>
  <c r="H162" i="1"/>
  <c r="M161" i="1"/>
  <c r="H161" i="1"/>
  <c r="M160" i="1"/>
  <c r="H160" i="1"/>
  <c r="M159" i="1"/>
  <c r="H159" i="1"/>
  <c r="M158" i="1"/>
  <c r="H158" i="1"/>
  <c r="M157" i="1"/>
  <c r="H157" i="1"/>
  <c r="M156" i="1"/>
  <c r="H156" i="1"/>
  <c r="M150" i="1"/>
  <c r="O150" i="1" s="1"/>
  <c r="M149" i="1"/>
  <c r="H149" i="1"/>
  <c r="H151" i="1" s="1"/>
  <c r="M147" i="1"/>
  <c r="H147" i="1"/>
  <c r="M146" i="1"/>
  <c r="H146" i="1"/>
  <c r="M145" i="1"/>
  <c r="H145" i="1"/>
  <c r="M144" i="1"/>
  <c r="H144" i="1"/>
  <c r="M143" i="1"/>
  <c r="H143" i="1"/>
  <c r="H142" i="1"/>
  <c r="M141" i="1"/>
  <c r="H141" i="1"/>
  <c r="M140" i="1"/>
  <c r="H140" i="1"/>
  <c r="M138" i="1"/>
  <c r="H138" i="1"/>
  <c r="M137" i="1"/>
  <c r="H137" i="1"/>
  <c r="M130" i="1"/>
  <c r="H130" i="1"/>
  <c r="M129" i="1"/>
  <c r="H129" i="1"/>
  <c r="M128" i="1"/>
  <c r="H128" i="1"/>
  <c r="M127" i="1"/>
  <c r="H127" i="1"/>
  <c r="M126" i="1"/>
  <c r="H126" i="1"/>
  <c r="K125" i="1"/>
  <c r="M125" i="1" s="1"/>
  <c r="F125" i="1"/>
  <c r="F124" i="1"/>
  <c r="K123" i="1"/>
  <c r="H123" i="1"/>
  <c r="K122" i="1"/>
  <c r="H122" i="1"/>
  <c r="M121" i="1"/>
  <c r="H121" i="1"/>
  <c r="M120" i="1"/>
  <c r="H120" i="1"/>
  <c r="M119" i="1"/>
  <c r="H119" i="1"/>
  <c r="M117" i="1"/>
  <c r="H117" i="1"/>
  <c r="H116" i="1"/>
  <c r="O116" i="1" s="1"/>
  <c r="Q116" i="1" s="1"/>
  <c r="M115" i="1"/>
  <c r="H115" i="1"/>
  <c r="M114" i="1"/>
  <c r="H114" i="1"/>
  <c r="M112" i="1"/>
  <c r="H112" i="1"/>
  <c r="M111" i="1"/>
  <c r="H111" i="1"/>
  <c r="M110" i="1"/>
  <c r="H110" i="1"/>
  <c r="M108" i="1"/>
  <c r="H108" i="1"/>
  <c r="M107" i="1"/>
  <c r="H107" i="1"/>
  <c r="M106" i="1"/>
  <c r="H106" i="1"/>
  <c r="M105" i="1"/>
  <c r="H105" i="1"/>
  <c r="M104" i="1"/>
  <c r="H104" i="1"/>
  <c r="M103" i="1"/>
  <c r="H103" i="1"/>
  <c r="M102" i="1"/>
  <c r="H102" i="1"/>
  <c r="M101" i="1"/>
  <c r="H101" i="1"/>
  <c r="M100" i="1"/>
  <c r="H100" i="1"/>
  <c r="M99" i="1"/>
  <c r="H99" i="1"/>
  <c r="M98" i="1"/>
  <c r="H98" i="1"/>
  <c r="M97" i="1"/>
  <c r="H97" i="1"/>
  <c r="M96" i="1"/>
  <c r="H96" i="1"/>
  <c r="M95" i="1"/>
  <c r="H95" i="1"/>
  <c r="M94" i="1"/>
  <c r="H94" i="1"/>
  <c r="M92" i="1"/>
  <c r="H92" i="1"/>
  <c r="M91" i="1"/>
  <c r="H91" i="1"/>
  <c r="M90" i="1"/>
  <c r="H90" i="1"/>
  <c r="M89" i="1"/>
  <c r="H89" i="1"/>
  <c r="M87" i="1"/>
  <c r="H87" i="1"/>
  <c r="M86" i="1"/>
  <c r="H86" i="1"/>
  <c r="M85" i="1"/>
  <c r="H85" i="1"/>
  <c r="M84" i="1"/>
  <c r="H84" i="1"/>
  <c r="M83" i="1"/>
  <c r="H83" i="1"/>
  <c r="M82" i="1"/>
  <c r="H82" i="1"/>
  <c r="M81" i="1"/>
  <c r="H81" i="1"/>
  <c r="M80" i="1"/>
  <c r="H80" i="1"/>
  <c r="H79" i="1"/>
  <c r="O79" i="1" s="1"/>
  <c r="M77" i="1"/>
  <c r="H77" i="1"/>
  <c r="M76" i="1"/>
  <c r="H76" i="1"/>
  <c r="H75" i="1"/>
  <c r="O75" i="1" s="1"/>
  <c r="M74" i="1"/>
  <c r="H74" i="1"/>
  <c r="M73" i="1"/>
  <c r="H73" i="1"/>
  <c r="H72" i="1"/>
  <c r="O72" i="1" s="1"/>
  <c r="M71" i="1"/>
  <c r="H71" i="1"/>
  <c r="M69" i="1"/>
  <c r="H69" i="1"/>
  <c r="M68" i="1"/>
  <c r="H68" i="1"/>
  <c r="M67" i="1"/>
  <c r="H67" i="1"/>
  <c r="M66" i="1"/>
  <c r="H66" i="1"/>
  <c r="M63" i="1"/>
  <c r="H63" i="1"/>
  <c r="M62" i="1"/>
  <c r="H62" i="1"/>
  <c r="M61" i="1"/>
  <c r="H61" i="1"/>
  <c r="K59" i="1"/>
  <c r="H59" i="1"/>
  <c r="K58" i="1"/>
  <c r="H58" i="1"/>
  <c r="M57" i="1"/>
  <c r="H57" i="1"/>
  <c r="M56" i="1"/>
  <c r="H56" i="1"/>
  <c r="M55" i="1"/>
  <c r="H55" i="1"/>
  <c r="K52" i="1"/>
  <c r="H52" i="1"/>
  <c r="K51" i="1"/>
  <c r="H51" i="1"/>
  <c r="M50" i="1"/>
  <c r="H50" i="1"/>
  <c r="M49" i="1"/>
  <c r="H49" i="1"/>
  <c r="M48" i="1"/>
  <c r="H48" i="1"/>
  <c r="M47" i="1"/>
  <c r="H47" i="1"/>
  <c r="K46" i="1"/>
  <c r="M46" i="1" s="1"/>
  <c r="F46" i="1"/>
  <c r="M45" i="1"/>
  <c r="H45" i="1"/>
  <c r="M44" i="1"/>
  <c r="H44" i="1"/>
  <c r="M43" i="1"/>
  <c r="H43" i="1"/>
  <c r="M42" i="1"/>
  <c r="H42" i="1"/>
  <c r="M40" i="1"/>
  <c r="H40" i="1"/>
  <c r="M37" i="1"/>
  <c r="H37" i="1"/>
  <c r="M36" i="1"/>
  <c r="H36" i="1"/>
  <c r="M35" i="1"/>
  <c r="H35" i="1"/>
  <c r="M34" i="1"/>
  <c r="H34" i="1"/>
  <c r="M33" i="1"/>
  <c r="H33" i="1"/>
  <c r="M32" i="1"/>
  <c r="H32" i="1"/>
  <c r="M30" i="1"/>
  <c r="H30" i="1"/>
  <c r="M29" i="1"/>
  <c r="H29" i="1"/>
  <c r="M28" i="1"/>
  <c r="H28" i="1"/>
  <c r="M23" i="1"/>
  <c r="F23" i="1"/>
  <c r="M22" i="1"/>
  <c r="H22" i="1"/>
  <c r="M21" i="1"/>
  <c r="H21" i="1"/>
  <c r="F20" i="1"/>
  <c r="F19" i="1"/>
  <c r="M17" i="1"/>
  <c r="H17" i="1"/>
  <c r="M16" i="1"/>
  <c r="H16" i="1"/>
  <c r="M24" i="1"/>
  <c r="H24" i="1"/>
  <c r="M14" i="1"/>
  <c r="H14" i="1"/>
  <c r="M13" i="1"/>
  <c r="C37" i="5"/>
  <c r="C38" i="5" s="1"/>
  <c r="J37" i="5"/>
  <c r="F81" i="4"/>
  <c r="H81" i="4" s="1"/>
  <c r="M54" i="4"/>
  <c r="H54" i="4"/>
  <c r="M19" i="4"/>
  <c r="H19" i="4"/>
  <c r="F18" i="4"/>
  <c r="K18" i="4" s="1"/>
  <c r="M18" i="4" s="1"/>
  <c r="F17" i="4"/>
  <c r="K17" i="4" s="1"/>
  <c r="M17" i="4" s="1"/>
  <c r="H73" i="4"/>
  <c r="O73" i="4" s="1"/>
  <c r="H48" i="4"/>
  <c r="M48" i="4"/>
  <c r="H49" i="4"/>
  <c r="M49" i="4"/>
  <c r="O54" i="4" l="1"/>
  <c r="O66" i="1"/>
  <c r="Q66" i="1" s="1"/>
  <c r="O179" i="1"/>
  <c r="O13" i="1"/>
  <c r="Q13" i="1" s="1"/>
  <c r="O202" i="1"/>
  <c r="O206" i="1"/>
  <c r="O228" i="1"/>
  <c r="O232" i="1"/>
  <c r="O16" i="1"/>
  <c r="Q16" i="1" s="1"/>
  <c r="O43" i="1"/>
  <c r="O47" i="1"/>
  <c r="O176" i="1"/>
  <c r="K81" i="4"/>
  <c r="M81" i="4" s="1"/>
  <c r="O81" i="4" s="1"/>
  <c r="O37" i="5"/>
  <c r="O224" i="1"/>
  <c r="O190" i="1"/>
  <c r="O22" i="1"/>
  <c r="Q22" i="1" s="1"/>
  <c r="O94" i="1"/>
  <c r="Q94" i="1" s="1"/>
  <c r="O102" i="1"/>
  <c r="Q102" i="1" s="1"/>
  <c r="O144" i="1"/>
  <c r="M151" i="1"/>
  <c r="O222" i="1"/>
  <c r="O189" i="1"/>
  <c r="O68" i="1"/>
  <c r="O197" i="1"/>
  <c r="O205" i="1"/>
  <c r="O106" i="1"/>
  <c r="Q106" i="1" s="1"/>
  <c r="O171" i="1"/>
  <c r="O235" i="1"/>
  <c r="O63" i="1"/>
  <c r="Q63" i="1" s="1"/>
  <c r="O183" i="1"/>
  <c r="O187" i="1"/>
  <c r="O195" i="1"/>
  <c r="H17" i="4"/>
  <c r="O17" i="4" s="1"/>
  <c r="Q17" i="4" s="1"/>
  <c r="O19" i="4"/>
  <c r="Q19" i="4" s="1"/>
  <c r="H18" i="4"/>
  <c r="O18" i="4" s="1"/>
  <c r="Q18" i="4" s="1"/>
  <c r="K20" i="1"/>
  <c r="M20" i="1" s="1"/>
  <c r="M51" i="1"/>
  <c r="O51" i="1" s="1"/>
  <c r="Q51" i="1" s="1"/>
  <c r="O164" i="1"/>
  <c r="O204" i="1"/>
  <c r="O220" i="1"/>
  <c r="H201" i="1"/>
  <c r="O201" i="1" s="1"/>
  <c r="H125" i="1"/>
  <c r="O125" i="1" s="1"/>
  <c r="M52" i="1"/>
  <c r="O52" i="1" s="1"/>
  <c r="Q52" i="1" s="1"/>
  <c r="M58" i="1"/>
  <c r="O58" i="1" s="1"/>
  <c r="O69" i="1"/>
  <c r="O99" i="1"/>
  <c r="Q99" i="1" s="1"/>
  <c r="O237" i="1"/>
  <c r="O242" i="1"/>
  <c r="M122" i="1"/>
  <c r="O122" i="1" s="1"/>
  <c r="Q122" i="1" s="1"/>
  <c r="M59" i="1"/>
  <c r="O59" i="1" s="1"/>
  <c r="H148" i="1"/>
  <c r="H152" i="1" s="1"/>
  <c r="O162" i="1"/>
  <c r="M166" i="1"/>
  <c r="O166" i="1" s="1"/>
  <c r="H19" i="1"/>
  <c r="H23" i="1"/>
  <c r="O23" i="1" s="1"/>
  <c r="Q23" i="1" s="1"/>
  <c r="H46" i="1"/>
  <c r="H53" i="1" s="1"/>
  <c r="M123" i="1"/>
  <c r="O123" i="1" s="1"/>
  <c r="Q123" i="1" s="1"/>
  <c r="K167" i="1"/>
  <c r="M167" i="1" s="1"/>
  <c r="O120" i="1"/>
  <c r="Q120" i="1" s="1"/>
  <c r="K124" i="1"/>
  <c r="M124" i="1" s="1"/>
  <c r="O239" i="1"/>
  <c r="O200" i="1"/>
  <c r="O92" i="1"/>
  <c r="O28" i="1"/>
  <c r="O145" i="1"/>
  <c r="O186" i="1"/>
  <c r="O199" i="1"/>
  <c r="O236" i="1"/>
  <c r="O29" i="1"/>
  <c r="O194" i="1"/>
  <c r="O203" i="1"/>
  <c r="O207" i="1"/>
  <c r="O221" i="1"/>
  <c r="O233" i="1"/>
  <c r="O30" i="1"/>
  <c r="O45" i="1"/>
  <c r="O119" i="1"/>
  <c r="Q119" i="1" s="1"/>
  <c r="O147" i="1"/>
  <c r="O174" i="1"/>
  <c r="O184" i="1"/>
  <c r="O188" i="1"/>
  <c r="O42" i="1"/>
  <c r="O67" i="1"/>
  <c r="Q67" i="1" s="1"/>
  <c r="O77" i="1"/>
  <c r="Q77" i="1" s="1"/>
  <c r="O175" i="1"/>
  <c r="O40" i="1"/>
  <c r="H124" i="1"/>
  <c r="O223" i="1"/>
  <c r="O238" i="1"/>
  <c r="O193" i="1"/>
  <c r="O81" i="1"/>
  <c r="O85" i="1"/>
  <c r="Q85" i="1" s="1"/>
  <c r="O159" i="1"/>
  <c r="O163" i="1"/>
  <c r="O229" i="1"/>
  <c r="O14" i="1"/>
  <c r="O56" i="1"/>
  <c r="O71" i="1"/>
  <c r="O107" i="1"/>
  <c r="Q107" i="1" s="1"/>
  <c r="H167" i="1"/>
  <c r="O172" i="1"/>
  <c r="O180" i="1"/>
  <c r="O191" i="1"/>
  <c r="O225" i="1"/>
  <c r="O230" i="1"/>
  <c r="O240" i="1"/>
  <c r="O24" i="1"/>
  <c r="O21" i="1"/>
  <c r="O37" i="1"/>
  <c r="O83" i="1"/>
  <c r="O126" i="1"/>
  <c r="O181" i="1"/>
  <c r="O185" i="1"/>
  <c r="O192" i="1"/>
  <c r="O226" i="1"/>
  <c r="O231" i="1"/>
  <c r="O234" i="1"/>
  <c r="O73" i="1"/>
  <c r="O129" i="1"/>
  <c r="K19" i="1"/>
  <c r="M19" i="1" s="1"/>
  <c r="O74" i="1"/>
  <c r="Q74" i="1" s="1"/>
  <c r="O141" i="1"/>
  <c r="O156" i="1"/>
  <c r="H20" i="1"/>
  <c r="O36" i="1"/>
  <c r="O55" i="1"/>
  <c r="O80" i="1"/>
  <c r="O98" i="1"/>
  <c r="Q98" i="1" s="1"/>
  <c r="O101" i="1"/>
  <c r="Q101" i="1" s="1"/>
  <c r="O138" i="1"/>
  <c r="O157" i="1"/>
  <c r="O161" i="1"/>
  <c r="O173" i="1"/>
  <c r="O158" i="1"/>
  <c r="O177" i="1"/>
  <c r="O57" i="1"/>
  <c r="O128" i="1"/>
  <c r="O149" i="1"/>
  <c r="O32" i="1"/>
  <c r="O61" i="1"/>
  <c r="O87" i="1"/>
  <c r="O97" i="1"/>
  <c r="Q97" i="1" s="1"/>
  <c r="O100" i="1"/>
  <c r="Q100" i="1" s="1"/>
  <c r="O104" i="1"/>
  <c r="Q104" i="1" s="1"/>
  <c r="O112" i="1"/>
  <c r="O117" i="1"/>
  <c r="Q117" i="1" s="1"/>
  <c r="O142" i="1"/>
  <c r="O17" i="1"/>
  <c r="O33" i="1"/>
  <c r="O48" i="1"/>
  <c r="O62" i="1"/>
  <c r="Q62" i="1" s="1"/>
  <c r="O84" i="1"/>
  <c r="O89" i="1"/>
  <c r="Q89" i="1" s="1"/>
  <c r="O105" i="1"/>
  <c r="Q105" i="1" s="1"/>
  <c r="O108" i="1"/>
  <c r="Q108" i="1" s="1"/>
  <c r="O146" i="1"/>
  <c r="O76" i="1"/>
  <c r="O114" i="1"/>
  <c r="Q114" i="1" s="1"/>
  <c r="O140" i="1"/>
  <c r="O34" i="1"/>
  <c r="O49" i="1"/>
  <c r="O90" i="1"/>
  <c r="Q90" i="1" s="1"/>
  <c r="O95" i="1"/>
  <c r="Q95" i="1" s="1"/>
  <c r="O110" i="1"/>
  <c r="Q110" i="1" s="1"/>
  <c r="O115" i="1"/>
  <c r="Q115" i="1" s="1"/>
  <c r="O130" i="1"/>
  <c r="O137" i="1"/>
  <c r="O160" i="1"/>
  <c r="O82" i="1"/>
  <c r="O121" i="1"/>
  <c r="Q121" i="1" s="1"/>
  <c r="O35" i="1"/>
  <c r="O44" i="1"/>
  <c r="O50" i="1"/>
  <c r="O86" i="1"/>
  <c r="O91" i="1"/>
  <c r="O96" i="1"/>
  <c r="Q96" i="1" s="1"/>
  <c r="O103" i="1"/>
  <c r="Q103" i="1" s="1"/>
  <c r="O111" i="1"/>
  <c r="Q111" i="1" s="1"/>
  <c r="O127" i="1"/>
  <c r="O143" i="1"/>
  <c r="O49" i="4"/>
  <c r="O48" i="4"/>
  <c r="M26" i="1" l="1"/>
  <c r="H26" i="1"/>
  <c r="O26" i="1" s="1"/>
  <c r="H133" i="1"/>
  <c r="Q45" i="1"/>
  <c r="Q44" i="1"/>
  <c r="Q48" i="1"/>
  <c r="M133" i="1"/>
  <c r="M134" i="1" s="1"/>
  <c r="Q35" i="1"/>
  <c r="Q42" i="1"/>
  <c r="Q43" i="1"/>
  <c r="Q50" i="1"/>
  <c r="Q49" i="1"/>
  <c r="Q40" i="1"/>
  <c r="Q47" i="1"/>
  <c r="O167" i="1"/>
  <c r="C10" i="2"/>
  <c r="Q21" i="1"/>
  <c r="Q17" i="1"/>
  <c r="O19" i="1"/>
  <c r="Q19" i="1" s="1"/>
  <c r="O124" i="1"/>
  <c r="Q34" i="1"/>
  <c r="M53" i="1"/>
  <c r="Q91" i="1"/>
  <c r="Q32" i="1"/>
  <c r="R149" i="1"/>
  <c r="Q36" i="1"/>
  <c r="O46" i="1"/>
  <c r="Q92" i="1"/>
  <c r="Q14" i="1"/>
  <c r="Q33" i="1"/>
  <c r="Q37" i="1"/>
  <c r="Q24" i="1"/>
  <c r="M244" i="1"/>
  <c r="H244" i="1"/>
  <c r="O20" i="1"/>
  <c r="Q20" i="1" s="1"/>
  <c r="M148" i="1"/>
  <c r="Q26" i="1" l="1"/>
  <c r="O133" i="1"/>
  <c r="Q46" i="1"/>
  <c r="Q53" i="1" s="1"/>
  <c r="O53" i="1"/>
  <c r="H134" i="1"/>
  <c r="O134" i="1" s="1"/>
  <c r="O244" i="1"/>
  <c r="M152" i="1"/>
  <c r="O148" i="1"/>
  <c r="M35" i="3" l="1"/>
  <c r="H35" i="3"/>
  <c r="O35" i="3" s="1"/>
  <c r="M28" i="3"/>
  <c r="H28" i="3"/>
  <c r="M26" i="3"/>
  <c r="H26" i="3"/>
  <c r="M24" i="3"/>
  <c r="H24" i="3"/>
  <c r="M23" i="3"/>
  <c r="H23" i="3"/>
  <c r="O23" i="3" s="1"/>
  <c r="Q23" i="3" s="1"/>
  <c r="M67" i="5"/>
  <c r="H67" i="5"/>
  <c r="O67" i="5" s="1"/>
  <c r="M52" i="5"/>
  <c r="H52" i="5"/>
  <c r="O52" i="5" s="1"/>
  <c r="O24" i="3" l="1"/>
  <c r="O28" i="3"/>
  <c r="Q28" i="3" s="1"/>
  <c r="O26" i="3"/>
  <c r="Q152" i="1"/>
  <c r="Q244" i="1"/>
  <c r="O88" i="1"/>
  <c r="O93" i="1"/>
  <c r="H74" i="4" l="1"/>
  <c r="M13" i="3"/>
  <c r="O13" i="3" l="1"/>
  <c r="Q13" i="3" s="1"/>
  <c r="C15" i="2"/>
  <c r="D15" i="2"/>
  <c r="D11" i="2"/>
  <c r="D14" i="2"/>
  <c r="O151" i="1"/>
  <c r="D13" i="2"/>
  <c r="C16" i="2"/>
  <c r="C12" i="2"/>
  <c r="D16" i="2"/>
  <c r="C14" i="2"/>
  <c r="D12" i="2"/>
  <c r="C11" i="2"/>
  <c r="C13" i="2"/>
  <c r="O152" i="1" l="1"/>
  <c r="M246" i="1"/>
  <c r="E15" i="2"/>
  <c r="Q133" i="1"/>
  <c r="E13" i="2"/>
  <c r="E16" i="2"/>
  <c r="D10" i="2"/>
  <c r="E14" i="2"/>
  <c r="E12" i="2"/>
  <c r="E11" i="2"/>
  <c r="J134" i="1"/>
  <c r="H246" i="1" l="1"/>
  <c r="M247" i="1"/>
  <c r="Q134" i="1"/>
  <c r="E10" i="2"/>
  <c r="E17" i="2" s="1"/>
  <c r="R152" i="1"/>
  <c r="H51" i="5"/>
  <c r="M51" i="5"/>
  <c r="M136" i="4"/>
  <c r="H136" i="4"/>
  <c r="K135" i="4"/>
  <c r="M135" i="4" s="1"/>
  <c r="F135" i="4"/>
  <c r="H135" i="4" s="1"/>
  <c r="M134" i="4"/>
  <c r="H134" i="4"/>
  <c r="M132" i="4"/>
  <c r="H132" i="4"/>
  <c r="M131" i="4"/>
  <c r="H131" i="4"/>
  <c r="M130" i="4"/>
  <c r="H130" i="4"/>
  <c r="M129" i="4"/>
  <c r="H129" i="4"/>
  <c r="M128" i="4"/>
  <c r="H128" i="4"/>
  <c r="M127" i="4"/>
  <c r="H127" i="4"/>
  <c r="M126" i="4"/>
  <c r="H126" i="4"/>
  <c r="K125" i="4"/>
  <c r="M125" i="4" s="1"/>
  <c r="H125" i="4"/>
  <c r="K124" i="4"/>
  <c r="M124" i="4" s="1"/>
  <c r="H124" i="4"/>
  <c r="K123" i="4"/>
  <c r="M123" i="4" s="1"/>
  <c r="H123" i="4"/>
  <c r="K122" i="4"/>
  <c r="M122" i="4" s="1"/>
  <c r="H122" i="4"/>
  <c r="K121" i="4"/>
  <c r="M121" i="4" s="1"/>
  <c r="H121" i="4"/>
  <c r="K120" i="4"/>
  <c r="M120" i="4" s="1"/>
  <c r="H120" i="4"/>
  <c r="K119" i="4"/>
  <c r="M119" i="4" s="1"/>
  <c r="H119" i="4"/>
  <c r="K118" i="4"/>
  <c r="M118" i="4" s="1"/>
  <c r="H118" i="4"/>
  <c r="K117" i="4"/>
  <c r="M117" i="4" s="1"/>
  <c r="H117" i="4"/>
  <c r="K116" i="4"/>
  <c r="M116" i="4" s="1"/>
  <c r="H116" i="4"/>
  <c r="K115" i="4"/>
  <c r="M115" i="4" s="1"/>
  <c r="H115" i="4"/>
  <c r="K88" i="4"/>
  <c r="M88" i="4" s="1"/>
  <c r="H88" i="4"/>
  <c r="M113" i="4"/>
  <c r="H113" i="4"/>
  <c r="K112" i="4"/>
  <c r="M112" i="4" s="1"/>
  <c r="F112" i="4"/>
  <c r="H112" i="4" s="1"/>
  <c r="M108" i="4"/>
  <c r="H108" i="4"/>
  <c r="M107" i="4"/>
  <c r="H107" i="4"/>
  <c r="M106" i="4"/>
  <c r="H106" i="4"/>
  <c r="M105" i="4"/>
  <c r="H105" i="4"/>
  <c r="M103" i="4"/>
  <c r="H103" i="4"/>
  <c r="F101" i="4"/>
  <c r="K101" i="4" s="1"/>
  <c r="M101" i="4" s="1"/>
  <c r="F100" i="4"/>
  <c r="H100" i="4" s="1"/>
  <c r="K99" i="4"/>
  <c r="M99" i="4" s="1"/>
  <c r="F99" i="4"/>
  <c r="H99" i="4" s="1"/>
  <c r="F98" i="4"/>
  <c r="K98" i="4" s="1"/>
  <c r="M98" i="4" s="1"/>
  <c r="F97" i="4"/>
  <c r="H97" i="4" s="1"/>
  <c r="K96" i="4"/>
  <c r="M96" i="4" s="1"/>
  <c r="H96" i="4"/>
  <c r="K95" i="4"/>
  <c r="M95" i="4" s="1"/>
  <c r="H95" i="4"/>
  <c r="M87" i="4"/>
  <c r="H87" i="4"/>
  <c r="M86" i="4"/>
  <c r="H86" i="4"/>
  <c r="M85" i="4"/>
  <c r="H85" i="4"/>
  <c r="M84" i="4"/>
  <c r="H84" i="4"/>
  <c r="M83" i="4"/>
  <c r="H83" i="4"/>
  <c r="K82" i="4"/>
  <c r="M82" i="4" s="1"/>
  <c r="F82" i="4"/>
  <c r="H82" i="4" s="1"/>
  <c r="K80" i="4"/>
  <c r="M80" i="4" s="1"/>
  <c r="H80" i="4"/>
  <c r="K79" i="4"/>
  <c r="M79" i="4" s="1"/>
  <c r="H79" i="4"/>
  <c r="M78" i="4"/>
  <c r="H78" i="4"/>
  <c r="M77" i="4"/>
  <c r="H77" i="4"/>
  <c r="M76" i="4"/>
  <c r="H76" i="4"/>
  <c r="M74" i="4"/>
  <c r="O74" i="4" s="1"/>
  <c r="M72" i="4"/>
  <c r="H72" i="4"/>
  <c r="M71" i="4"/>
  <c r="H71" i="4"/>
  <c r="M51" i="4"/>
  <c r="H51" i="4"/>
  <c r="M68" i="4"/>
  <c r="H68" i="4"/>
  <c r="M52" i="4"/>
  <c r="H52" i="4"/>
  <c r="M67" i="4"/>
  <c r="H67" i="4"/>
  <c r="M66" i="4"/>
  <c r="H66" i="4"/>
  <c r="M65" i="4"/>
  <c r="H65" i="4"/>
  <c r="M64" i="4"/>
  <c r="H64" i="4"/>
  <c r="M63" i="4"/>
  <c r="H63" i="4"/>
  <c r="M62" i="4"/>
  <c r="H62" i="4"/>
  <c r="M61" i="4"/>
  <c r="H61" i="4"/>
  <c r="M60" i="4"/>
  <c r="H60" i="4"/>
  <c r="M59" i="4"/>
  <c r="H59" i="4"/>
  <c r="M58" i="4"/>
  <c r="H58" i="4"/>
  <c r="M57" i="4"/>
  <c r="H57" i="4"/>
  <c r="M56" i="4"/>
  <c r="H56" i="4"/>
  <c r="M55" i="4"/>
  <c r="H55" i="4"/>
  <c r="M45" i="4"/>
  <c r="H45" i="4"/>
  <c r="M44" i="4"/>
  <c r="H44" i="4"/>
  <c r="K42" i="4"/>
  <c r="M42" i="4" s="1"/>
  <c r="H42" i="4"/>
  <c r="K41" i="4"/>
  <c r="M41" i="4" s="1"/>
  <c r="H41" i="4"/>
  <c r="K38" i="4"/>
  <c r="M38" i="4" s="1"/>
  <c r="H38" i="4"/>
  <c r="K37" i="4"/>
  <c r="M37" i="4" s="1"/>
  <c r="H37" i="4"/>
  <c r="M36" i="4"/>
  <c r="H36" i="4"/>
  <c r="M35" i="4"/>
  <c r="H35" i="4"/>
  <c r="M34" i="4"/>
  <c r="H34" i="4"/>
  <c r="M33" i="4"/>
  <c r="H33" i="4"/>
  <c r="K32" i="4"/>
  <c r="M32" i="4" s="1"/>
  <c r="F32" i="4"/>
  <c r="H32" i="4" s="1"/>
  <c r="M31" i="4"/>
  <c r="H31" i="4"/>
  <c r="M30" i="4"/>
  <c r="H30" i="4"/>
  <c r="M29" i="4"/>
  <c r="H29" i="4"/>
  <c r="M28" i="4"/>
  <c r="H28" i="4"/>
  <c r="M26" i="4"/>
  <c r="H26" i="4"/>
  <c r="M21" i="4"/>
  <c r="F21" i="4"/>
  <c r="H21" i="4" s="1"/>
  <c r="M20" i="4"/>
  <c r="H20" i="4"/>
  <c r="M15" i="4"/>
  <c r="H15" i="4"/>
  <c r="M14" i="4"/>
  <c r="H14" i="4"/>
  <c r="E19" i="2" l="1"/>
  <c r="E20" i="2"/>
  <c r="C37" i="2"/>
  <c r="H90" i="4"/>
  <c r="M90" i="4"/>
  <c r="H22" i="4"/>
  <c r="M22" i="4"/>
  <c r="M248" i="1"/>
  <c r="C39" i="4"/>
  <c r="O51" i="5"/>
  <c r="O15" i="4"/>
  <c r="Q15" i="4" s="1"/>
  <c r="O86" i="4"/>
  <c r="O21" i="4"/>
  <c r="Q21" i="4" s="1"/>
  <c r="O108" i="4"/>
  <c r="O127" i="4"/>
  <c r="O118" i="4"/>
  <c r="O131" i="4"/>
  <c r="K97" i="4"/>
  <c r="M97" i="4" s="1"/>
  <c r="O97" i="4" s="1"/>
  <c r="O105" i="4"/>
  <c r="O129" i="4"/>
  <c r="J39" i="4"/>
  <c r="O87" i="4"/>
  <c r="O116" i="4"/>
  <c r="O82" i="4"/>
  <c r="O85" i="4"/>
  <c r="O78" i="4"/>
  <c r="O126" i="4"/>
  <c r="O42" i="4"/>
  <c r="O34" i="4"/>
  <c r="O45" i="4"/>
  <c r="O58" i="4"/>
  <c r="O66" i="4"/>
  <c r="O51" i="4"/>
  <c r="O84" i="4"/>
  <c r="O95" i="4"/>
  <c r="O14" i="4"/>
  <c r="Q14" i="4" s="1"/>
  <c r="O106" i="4"/>
  <c r="O128" i="4"/>
  <c r="O132" i="4"/>
  <c r="O107" i="4"/>
  <c r="O88" i="4"/>
  <c r="O96" i="4"/>
  <c r="O115" i="4"/>
  <c r="O124" i="4"/>
  <c r="O135" i="4"/>
  <c r="O121" i="4"/>
  <c r="O99" i="4"/>
  <c r="O125" i="4"/>
  <c r="O136" i="4"/>
  <c r="O103" i="4"/>
  <c r="O119" i="4"/>
  <c r="K100" i="4"/>
  <c r="M100" i="4" s="1"/>
  <c r="O100" i="4" s="1"/>
  <c r="O112" i="4"/>
  <c r="O122" i="4"/>
  <c r="O20" i="4"/>
  <c r="Q20" i="4" s="1"/>
  <c r="O113" i="4"/>
  <c r="O123" i="4"/>
  <c r="O130" i="4"/>
  <c r="O134" i="4"/>
  <c r="O117" i="4"/>
  <c r="O120" i="4"/>
  <c r="O30" i="4"/>
  <c r="O33" i="4"/>
  <c r="O59" i="4"/>
  <c r="O35" i="4"/>
  <c r="O57" i="4"/>
  <c r="O37" i="4"/>
  <c r="O55" i="4"/>
  <c r="O77" i="4"/>
  <c r="O32" i="4"/>
  <c r="O28" i="4"/>
  <c r="O44" i="4"/>
  <c r="O60" i="4"/>
  <c r="O64" i="4"/>
  <c r="O52" i="4"/>
  <c r="O72" i="4"/>
  <c r="O36" i="4"/>
  <c r="O65" i="4"/>
  <c r="O61" i="4"/>
  <c r="O31" i="4"/>
  <c r="O62" i="4"/>
  <c r="O68" i="4"/>
  <c r="O76" i="4"/>
  <c r="O79" i="4"/>
  <c r="O63" i="4"/>
  <c r="O80" i="4"/>
  <c r="O83" i="4"/>
  <c r="O29" i="4"/>
  <c r="O38" i="4"/>
  <c r="O56" i="4"/>
  <c r="O67" i="4"/>
  <c r="O71" i="4"/>
  <c r="O41" i="4"/>
  <c r="O26" i="4"/>
  <c r="H101" i="4"/>
  <c r="O101" i="4" s="1"/>
  <c r="H98" i="4"/>
  <c r="O98" i="4" s="1"/>
  <c r="O90" i="4" l="1"/>
  <c r="E21" i="2"/>
  <c r="C38" i="2"/>
  <c r="C6" i="2" s="1"/>
  <c r="C5" i="2"/>
  <c r="C7" i="2" s="1"/>
  <c r="H91" i="4"/>
  <c r="H137" i="4"/>
  <c r="H247" i="1"/>
  <c r="O247" i="1" s="1"/>
  <c r="O39" i="4"/>
  <c r="M137" i="4"/>
  <c r="O137" i="4"/>
  <c r="E44" i="2" s="1"/>
  <c r="M91" i="4"/>
  <c r="H248" i="1" l="1"/>
  <c r="O248" i="1" s="1"/>
  <c r="C6" i="1"/>
  <c r="M138" i="4"/>
  <c r="M140" i="4" s="1"/>
  <c r="M141" i="4" s="1"/>
  <c r="H138" i="4"/>
  <c r="H140" i="4" s="1"/>
  <c r="H141" i="4" s="1"/>
  <c r="O22" i="4"/>
  <c r="C7" i="1" l="1"/>
  <c r="O91" i="4"/>
  <c r="O138" i="4" s="1"/>
  <c r="O140" i="4" l="1"/>
  <c r="C6" i="4" s="1"/>
  <c r="C5" i="4"/>
  <c r="E43" i="2"/>
  <c r="O141" i="4" l="1"/>
  <c r="C7" i="4" s="1"/>
  <c r="E45" i="2"/>
  <c r="M33" i="3" l="1"/>
  <c r="H33" i="3"/>
  <c r="M32" i="3"/>
  <c r="H32" i="3"/>
  <c r="M19" i="3"/>
  <c r="M31" i="3"/>
  <c r="H31" i="3"/>
  <c r="O33" i="3" l="1"/>
  <c r="O32" i="3"/>
  <c r="O31" i="3"/>
  <c r="H46" i="3"/>
  <c r="M25" i="3" l="1"/>
  <c r="H25" i="3"/>
  <c r="O25" i="3" l="1"/>
  <c r="Q25" i="3" s="1"/>
  <c r="C17" i="2"/>
  <c r="C19" i="2" l="1"/>
  <c r="C20" i="2"/>
  <c r="M40" i="3"/>
  <c r="M41" i="3" s="1"/>
  <c r="H40" i="3"/>
  <c r="H41" i="3" s="1"/>
  <c r="M14" i="3"/>
  <c r="H14" i="3"/>
  <c r="C21" i="2" l="1"/>
  <c r="O40" i="3"/>
  <c r="O14" i="3"/>
  <c r="Q14" i="3" s="1"/>
  <c r="E46" i="2" l="1"/>
  <c r="F44" i="2" s="1"/>
  <c r="M59" i="5"/>
  <c r="H59" i="5"/>
  <c r="M58" i="5"/>
  <c r="H58" i="5"/>
  <c r="M57" i="5"/>
  <c r="H57" i="5"/>
  <c r="F43" i="2" l="1"/>
  <c r="O58" i="5"/>
  <c r="O57" i="5"/>
  <c r="O59" i="5"/>
  <c r="M56" i="3" l="1"/>
  <c r="O56" i="3" s="1"/>
  <c r="M55" i="3"/>
  <c r="H55" i="3"/>
  <c r="C57" i="3" s="1"/>
  <c r="M53" i="3"/>
  <c r="H53" i="3"/>
  <c r="M52" i="3"/>
  <c r="H52" i="3"/>
  <c r="M51" i="3"/>
  <c r="H51" i="3"/>
  <c r="M50" i="3"/>
  <c r="H50" i="3"/>
  <c r="M49" i="3"/>
  <c r="H49" i="3"/>
  <c r="H48" i="3"/>
  <c r="O48" i="3" s="1"/>
  <c r="M47" i="3"/>
  <c r="H47" i="3"/>
  <c r="M46" i="3"/>
  <c r="M45" i="3"/>
  <c r="H45" i="3"/>
  <c r="H19" i="3"/>
  <c r="C54" i="3" l="1"/>
  <c r="J54" i="3"/>
  <c r="C58" i="3"/>
  <c r="J57" i="3"/>
  <c r="O50" i="3"/>
  <c r="O49" i="3"/>
  <c r="O19" i="3"/>
  <c r="O52" i="3"/>
  <c r="O46" i="3"/>
  <c r="O53" i="3"/>
  <c r="O47" i="3"/>
  <c r="O51" i="3"/>
  <c r="O45" i="3"/>
  <c r="O55" i="3"/>
  <c r="R55" i="3" s="1"/>
  <c r="J58" i="3" l="1"/>
  <c r="O58" i="3" s="1"/>
  <c r="R58" i="3" s="1"/>
  <c r="O54" i="3"/>
  <c r="J38" i="5" l="1"/>
  <c r="O38" i="5" l="1"/>
  <c r="M65" i="5" l="1"/>
  <c r="M64" i="5"/>
  <c r="M63" i="5"/>
  <c r="M66" i="5"/>
  <c r="M54" i="5"/>
  <c r="M56" i="5"/>
  <c r="M55" i="5"/>
  <c r="M49" i="5"/>
  <c r="M48" i="5"/>
  <c r="M47" i="5"/>
  <c r="M46" i="5"/>
  <c r="M45" i="5"/>
  <c r="M43" i="5"/>
  <c r="M42" i="5"/>
  <c r="M44" i="5"/>
  <c r="M74" i="5" l="1"/>
  <c r="H74" i="5"/>
  <c r="M72" i="5"/>
  <c r="H72" i="5"/>
  <c r="M71" i="5"/>
  <c r="H71" i="5"/>
  <c r="H65" i="5"/>
  <c r="O65" i="5" s="1"/>
  <c r="H64" i="5"/>
  <c r="O64" i="5" s="1"/>
  <c r="H63" i="5"/>
  <c r="O63" i="5" s="1"/>
  <c r="M61" i="5"/>
  <c r="M75" i="5" s="1"/>
  <c r="H61" i="5"/>
  <c r="H66" i="5"/>
  <c r="H54" i="5"/>
  <c r="O54" i="5" s="1"/>
  <c r="H56" i="5"/>
  <c r="O56" i="5" s="1"/>
  <c r="H55" i="5"/>
  <c r="O55" i="5" s="1"/>
  <c r="H49" i="5"/>
  <c r="O49" i="5" s="1"/>
  <c r="H48" i="5"/>
  <c r="O48" i="5" s="1"/>
  <c r="H47" i="5"/>
  <c r="O47" i="5" s="1"/>
  <c r="H46" i="5"/>
  <c r="O46" i="5" s="1"/>
  <c r="H45" i="5"/>
  <c r="O45" i="5" s="1"/>
  <c r="H43" i="5"/>
  <c r="H42" i="5"/>
  <c r="H44" i="5"/>
  <c r="O44" i="5" s="1"/>
  <c r="H75" i="5" l="1"/>
  <c r="O75" i="5" s="1"/>
  <c r="M77" i="5"/>
  <c r="M78" i="5" s="1"/>
  <c r="M79" i="5" s="1"/>
  <c r="O66" i="5"/>
  <c r="O43" i="5"/>
  <c r="O71" i="5"/>
  <c r="O72" i="5"/>
  <c r="O61" i="5"/>
  <c r="U12" i="5" s="1"/>
  <c r="O42" i="5"/>
  <c r="O74" i="5"/>
  <c r="Q38" i="5"/>
  <c r="H77" i="5" l="1"/>
  <c r="H78" i="5" s="1"/>
  <c r="H79" i="5" s="1"/>
  <c r="G44" i="2"/>
  <c r="G43" i="2"/>
  <c r="R38" i="5" l="1"/>
  <c r="O77" i="5" l="1"/>
  <c r="C5" i="5" s="1"/>
  <c r="O78" i="5" l="1"/>
  <c r="C6" i="5" s="1"/>
  <c r="G45" i="2" s="1"/>
  <c r="G46" i="2" s="1"/>
  <c r="H44" i="2" s="1"/>
  <c r="H43" i="2" l="1"/>
  <c r="O79" i="5"/>
  <c r="M15" i="3"/>
  <c r="J17" i="3" s="1"/>
  <c r="H15" i="3"/>
  <c r="C17" i="3" s="1"/>
  <c r="O17" i="3" s="1"/>
  <c r="C7" i="5" l="1"/>
  <c r="V12" i="5" s="1"/>
  <c r="O15" i="3"/>
  <c r="Q15" i="3" s="1"/>
  <c r="M93" i="3"/>
  <c r="H93" i="3"/>
  <c r="M92" i="3"/>
  <c r="H92" i="3"/>
  <c r="M91" i="3"/>
  <c r="H91" i="3"/>
  <c r="M90" i="3"/>
  <c r="H90" i="3"/>
  <c r="M89" i="3"/>
  <c r="H89" i="3"/>
  <c r="M88" i="3"/>
  <c r="H88" i="3"/>
  <c r="M87" i="3"/>
  <c r="H87" i="3"/>
  <c r="M86" i="3"/>
  <c r="H86" i="3"/>
  <c r="M81" i="3"/>
  <c r="H81" i="3"/>
  <c r="M77" i="3"/>
  <c r="H77" i="3"/>
  <c r="M76" i="3"/>
  <c r="H76" i="3"/>
  <c r="M70" i="3"/>
  <c r="H70" i="3"/>
  <c r="M69" i="3"/>
  <c r="H69" i="3"/>
  <c r="M68" i="3"/>
  <c r="H68" i="3"/>
  <c r="M67" i="3"/>
  <c r="H67" i="3"/>
  <c r="M66" i="3"/>
  <c r="H66" i="3"/>
  <c r="M65" i="3"/>
  <c r="H65" i="3"/>
  <c r="M64" i="3"/>
  <c r="H64" i="3"/>
  <c r="M63" i="3"/>
  <c r="H63" i="3"/>
  <c r="M62" i="3"/>
  <c r="H62" i="3"/>
  <c r="M21" i="3"/>
  <c r="H21" i="3"/>
  <c r="M20" i="3"/>
  <c r="H20" i="3"/>
  <c r="M95" i="3" l="1"/>
  <c r="C29" i="3"/>
  <c r="H42" i="3" s="1"/>
  <c r="H95" i="3"/>
  <c r="M29" i="3"/>
  <c r="O41" i="3"/>
  <c r="Q42" i="3"/>
  <c r="O65" i="3"/>
  <c r="O77" i="3"/>
  <c r="O91" i="3"/>
  <c r="O63" i="3"/>
  <c r="O88" i="3"/>
  <c r="O67" i="3"/>
  <c r="O66" i="3"/>
  <c r="O68" i="3"/>
  <c r="O69" i="3"/>
  <c r="O76" i="3"/>
  <c r="O20" i="3"/>
  <c r="O87" i="3"/>
  <c r="O90" i="3"/>
  <c r="O21" i="3"/>
  <c r="O64" i="3"/>
  <c r="O70" i="3"/>
  <c r="O81" i="3"/>
  <c r="O86" i="3"/>
  <c r="O89" i="3"/>
  <c r="O92" i="3"/>
  <c r="O93" i="3"/>
  <c r="O62" i="3"/>
  <c r="O95" i="3" l="1"/>
  <c r="C44" i="2" s="1"/>
  <c r="H97" i="3"/>
  <c r="O29" i="3"/>
  <c r="M42" i="3"/>
  <c r="O57" i="3"/>
  <c r="M97" i="3" l="1"/>
  <c r="M98" i="3" s="1"/>
  <c r="O42" i="3"/>
  <c r="C43" i="2" s="1"/>
  <c r="O97" i="3" l="1"/>
  <c r="C5" i="3" s="1"/>
  <c r="M99" i="3"/>
  <c r="R42" i="3"/>
  <c r="H98" i="3"/>
  <c r="O98" i="3" s="1"/>
  <c r="C45" i="2" s="1"/>
  <c r="C6" i="3" l="1"/>
  <c r="C46" i="2"/>
  <c r="H99" i="3"/>
  <c r="O99" i="3" s="1"/>
  <c r="C7" i="3" l="1"/>
  <c r="D43" i="2"/>
  <c r="D44" i="2"/>
  <c r="D39" i="2"/>
  <c r="C39" i="2"/>
  <c r="E38" i="2"/>
  <c r="E37" i="2"/>
  <c r="G28" i="2"/>
  <c r="G29" i="2" s="1"/>
  <c r="F28" i="2"/>
  <c r="F13" i="2" l="1"/>
  <c r="E29" i="2"/>
  <c r="E30" i="2" s="1"/>
  <c r="E39" i="2"/>
  <c r="G30" i="2"/>
  <c r="F29" i="2"/>
  <c r="C30" i="2"/>
  <c r="C31" i="2" s="1"/>
  <c r="F16" i="2" l="1"/>
  <c r="F14" i="2"/>
  <c r="F12" i="2"/>
  <c r="F15" i="2"/>
  <c r="F11" i="2"/>
  <c r="F10" i="2"/>
  <c r="E32" i="2"/>
  <c r="E31" i="2"/>
  <c r="G31" i="2"/>
  <c r="G32" i="2"/>
  <c r="C32" i="2"/>
  <c r="F30" i="2"/>
  <c r="G33" i="2" l="1"/>
  <c r="E33" i="2"/>
  <c r="F32" i="2"/>
  <c r="F31" i="2"/>
  <c r="C33" i="2"/>
  <c r="F33" i="2" l="1"/>
  <c r="D17" i="2"/>
  <c r="D19" i="2" l="1"/>
  <c r="D21" i="2" s="1"/>
  <c r="D20" i="2"/>
  <c r="D29" i="2"/>
  <c r="H28" i="2"/>
  <c r="F17" i="2"/>
  <c r="D30" i="2" l="1"/>
  <c r="H29" i="2"/>
  <c r="H30" i="2" s="1"/>
  <c r="D31" i="2" l="1"/>
  <c r="H31" i="2" s="1"/>
  <c r="D32" i="2"/>
  <c r="D33" i="2" l="1"/>
  <c r="H33" i="2" s="1"/>
  <c r="H32" i="2"/>
  <c r="R134" i="1" l="1"/>
  <c r="O246" i="1"/>
  <c r="C5" i="1" l="1"/>
</calcChain>
</file>

<file path=xl/sharedStrings.xml><?xml version="1.0" encoding="utf-8"?>
<sst xmlns="http://schemas.openxmlformats.org/spreadsheetml/2006/main" count="1756" uniqueCount="382">
  <si>
    <t>CATEGORY</t>
  </si>
  <si>
    <t>GRAND TOTAL</t>
  </si>
  <si>
    <t>Year 1</t>
  </si>
  <si>
    <t>Year 2</t>
  </si>
  <si>
    <t>Quantite</t>
  </si>
  <si>
    <t>Cout Unitaire</t>
  </si>
  <si>
    <t xml:space="preserve"> Budget Année 1</t>
  </si>
  <si>
    <t>Budget Année 2</t>
  </si>
  <si>
    <t>BUDGET TOTAL</t>
  </si>
  <si>
    <t>Personnel et autres employés</t>
  </si>
  <si>
    <t>Fournitures, produits de base, materiels</t>
  </si>
  <si>
    <t>Services Contractuels</t>
  </si>
  <si>
    <t>Frais de deplacement</t>
  </si>
  <si>
    <t>Transferts et subventions</t>
  </si>
  <si>
    <t>Frais generaux de fonctionnement et autres couts directs</t>
  </si>
  <si>
    <t xml:space="preserve">Total des Couts liés au Programme </t>
  </si>
  <si>
    <t xml:space="preserve">(c) Pour la Periode: </t>
  </si>
  <si>
    <t>(d) Total du Budget (USD):</t>
  </si>
  <si>
    <t>(a) Nom de l'organisation:</t>
  </si>
  <si>
    <t>(b) Titre du Projet:</t>
  </si>
  <si>
    <t>% du Budget Genre</t>
  </si>
  <si>
    <t>Total Global</t>
  </si>
  <si>
    <t xml:space="preserve">Fonds de Coherence pour la Stabilisation: Budget par Activité </t>
  </si>
  <si>
    <t>Annee 1</t>
  </si>
  <si>
    <t>Annee 2</t>
  </si>
  <si>
    <t xml:space="preserve">Total </t>
  </si>
  <si>
    <t>Fonds de Coherence pour la Stabilisation: Budget par Categorie de Dépense*</t>
  </si>
  <si>
    <t>Budget programmatique: Budget total/1.07</t>
  </si>
  <si>
    <t>SGG:  budget total/1.07*0.07</t>
  </si>
  <si>
    <t>Organisation Lead</t>
  </si>
  <si>
    <t>Equipements et mobilier</t>
  </si>
  <si>
    <t>(e) GMS 7% Agent de Gestion (USD):</t>
  </si>
  <si>
    <t xml:space="preserve">(f) Budget TOTAL </t>
  </si>
  <si>
    <t>% Total Budget</t>
  </si>
  <si>
    <t>Couts total pour PNUNOs</t>
  </si>
  <si>
    <t>Budget Narrative</t>
  </si>
  <si>
    <t>Sous-total Objective Specifique 1</t>
  </si>
  <si>
    <t>CATEGORIES DE DEPENSE*</t>
  </si>
  <si>
    <t>Cout Total Programme</t>
  </si>
  <si>
    <t>SOUS-TOTAL COUTS DIRECTS DE SOUTIEN (ne peuvent représentés plus de 35% du budget total)</t>
  </si>
  <si>
    <t xml:space="preserve">COUTS DIRECTS LIES AUX ACTIVITES </t>
  </si>
  <si>
    <t xml:space="preserve"> 1) Personnel et autres employés (lies au soutien)</t>
  </si>
  <si>
    <t xml:space="preserve"> 2) Fournitures, produits de base, materiels (lies au soutien)</t>
  </si>
  <si>
    <t>3) Equipements et mobilier (lies au soutien)</t>
  </si>
  <si>
    <t xml:space="preserve"> 4) Services Contractuels (lies au soutien)</t>
  </si>
  <si>
    <t>7) Frais généraux de fonctionnement et autres couts directs (lies au soutien)</t>
  </si>
  <si>
    <t>5) Frais de deplacement (lies au soutien)</t>
  </si>
  <si>
    <t xml:space="preserve"> 6) Transferts et subventions (lies au soutien)</t>
  </si>
  <si>
    <t xml:space="preserve">COUTS DIRECTS DE SOUTIEN </t>
  </si>
  <si>
    <t>Couts Indirects (7%)**</t>
  </si>
  <si>
    <t>% Budget liee au genre ***</t>
  </si>
  <si>
    <t>* A completer par les agences des Nations Unies. Voir la note explicative sur l’élaboration d’un budget à soumettre au Fonds de Cohérence pour la Stabilisation.</t>
  </si>
  <si>
    <t>PNUNOs</t>
  </si>
  <si>
    <t>TOTAL</t>
  </si>
  <si>
    <t>Programme cost</t>
  </si>
  <si>
    <t>Indirect cost</t>
  </si>
  <si>
    <t>Total PNUNOs</t>
  </si>
  <si>
    <t>Cout GMS AG (PNUD) 7%</t>
  </si>
  <si>
    <t xml:space="preserve">Cout d'auit 1% </t>
  </si>
  <si>
    <t xml:space="preserve">Couts programmatique </t>
  </si>
  <si>
    <t xml:space="preserve">Couts indirect </t>
  </si>
  <si>
    <t>PUNO</t>
  </si>
  <si>
    <t xml:space="preserve">Total PUNO </t>
  </si>
  <si>
    <t xml:space="preserve">Budget Detaille trois catégories de dépenses </t>
  </si>
  <si>
    <t>%</t>
  </si>
  <si>
    <r>
      <t xml:space="preserve">SOUS-TOTAL COUTS DIRECTS LIES AUX ACTIVITES </t>
    </r>
    <r>
      <rPr>
        <sz val="11"/>
        <color rgb="FFFF0000"/>
        <rFont val="Calibri"/>
        <family val="2"/>
        <scheme val="minor"/>
      </rPr>
      <t>(au minimum 60% du budget total)</t>
    </r>
  </si>
  <si>
    <r>
      <t xml:space="preserve">SOUS-TOTAL COUTS DIRECTS DE SOUTIEN </t>
    </r>
    <r>
      <rPr>
        <sz val="11"/>
        <color rgb="FFFF0000"/>
        <rFont val="Calibri"/>
        <family val="2"/>
        <scheme val="minor"/>
      </rPr>
      <t>(ne peuvent représentés plus de 35% du budget total)</t>
    </r>
  </si>
  <si>
    <r>
      <t xml:space="preserve">Cout GMS </t>
    </r>
    <r>
      <rPr>
        <sz val="11"/>
        <color rgb="FFFF0000"/>
        <rFont val="Calibri"/>
        <family val="2"/>
        <scheme val="minor"/>
      </rPr>
      <t>7%</t>
    </r>
  </si>
  <si>
    <t>PMO</t>
  </si>
  <si>
    <t>DEPENSES</t>
  </si>
  <si>
    <t>OIM</t>
  </si>
  <si>
    <t>Consortium</t>
  </si>
  <si>
    <t>International Support Staff Kinshasa - 10%</t>
  </si>
  <si>
    <t>Chief of Mission - 5%</t>
  </si>
  <si>
    <t>Driver Bunia - 100%</t>
  </si>
  <si>
    <t>IT Equipment</t>
  </si>
  <si>
    <t>Office Furniture and Equipment</t>
  </si>
  <si>
    <t>MOSS and MORSS -VHF/HF Radio</t>
  </si>
  <si>
    <t>Vehicle Costs (Fuel &amp; Maintenance)</t>
  </si>
  <si>
    <t>Duty Travel</t>
  </si>
  <si>
    <t>Consortium Office Rent, building maintenance &amp; utilities</t>
  </si>
  <si>
    <t>Office Supplies</t>
  </si>
  <si>
    <t xml:space="preserve">Communication Cost </t>
  </si>
  <si>
    <t>Communication Cost (Internet)</t>
  </si>
  <si>
    <t>Kinshasa Office Support Cost</t>
  </si>
  <si>
    <t>Bank Charges</t>
  </si>
  <si>
    <t>Consortium Office Security</t>
  </si>
  <si>
    <t>Consortium Generator Running Cost</t>
  </si>
  <si>
    <t xml:space="preserve">Services Contractuels </t>
  </si>
  <si>
    <t>18 mois</t>
  </si>
  <si>
    <t>OIM (pour Consortium)</t>
  </si>
  <si>
    <t>Evaluation de base</t>
  </si>
  <si>
    <t>Atelier de lancement du projet</t>
  </si>
  <si>
    <t>Revue annuelle</t>
  </si>
  <si>
    <t>Viste terrain des bailleurs de fonds</t>
  </si>
  <si>
    <t>Couts de suivi partenaires etatiques (STAREC)</t>
  </si>
  <si>
    <t>Atelier de cloture du projet</t>
  </si>
  <si>
    <t>Evaluation finale</t>
  </si>
  <si>
    <t>Visibilite / strategie communication</t>
  </si>
  <si>
    <t>Audit externe</t>
  </si>
  <si>
    <t>Sous-total Couts de Program Management / Suivi &amp; Evaluation du Consortium</t>
  </si>
  <si>
    <t>Sous-total Program Management / Suivit &amp; Evaluation</t>
  </si>
  <si>
    <t>Sous-total Visibilite / Audit</t>
  </si>
  <si>
    <t>Sous-total Resultat 1.2</t>
  </si>
  <si>
    <t>n/a</t>
  </si>
  <si>
    <t>Consultant du Genre</t>
  </si>
  <si>
    <t>Sous-total Resultat 1.1</t>
  </si>
  <si>
    <t>TROCAIRE</t>
  </si>
  <si>
    <t>Trocaire</t>
  </si>
  <si>
    <t>Atelier(location salle, raffraichissement, transport et autres) Cars</t>
  </si>
  <si>
    <t>Atelier(location salle, raffraichissement, transport et autres) CARS</t>
  </si>
  <si>
    <t>Atelier(location salle, raffraichissement, transport et autres) APEC</t>
  </si>
  <si>
    <t>Evaluation realisee par Trocaire</t>
  </si>
  <si>
    <t>Atelier(location salle, raffraichissement, transport et autres) par Trocaire</t>
  </si>
  <si>
    <t>Formateur Specialise dans la structuration et Accompagnement des Cooperatives &amp; Associations(100 % Cars)</t>
  </si>
  <si>
    <t>Diagnostic des producteurs, marketing des produits, etc.) par le partenaire APEC</t>
  </si>
  <si>
    <t>Reunions entre vendeurs, transformateurs, transformateurs etc.</t>
  </si>
  <si>
    <t>Connection entre producteurs et transformateurs des produits agricoles</t>
  </si>
  <si>
    <t>Responsable technique en filieres agricoles (100%) APEC</t>
  </si>
  <si>
    <t>Staff lie aux activites</t>
  </si>
  <si>
    <t>Animateurs Locaux Apec</t>
  </si>
  <si>
    <t>Meal Trocaire(40%)</t>
  </si>
  <si>
    <t>Staff de soutien aux activites</t>
  </si>
  <si>
    <t>Creation et redynamisation des MUSO et GM CARS</t>
  </si>
  <si>
    <t>Gouverance des groupes et prevention des conflits Trocaire avec CARS</t>
  </si>
  <si>
    <t>Suivi de proximite des MUSO et GM par CARS</t>
  </si>
  <si>
    <t>Categorisation de MUSO et GM par CARS</t>
  </si>
  <si>
    <t>Renforcement de capacites en gouvernance des GM par CARS</t>
  </si>
  <si>
    <t>salle,raffraichissement,… 3 jours par WEGTA de Trocaire</t>
  </si>
  <si>
    <t>4 Animateurs Locaux des MUSO et AGR (CARS)</t>
  </si>
  <si>
    <t>Staff lie aux activites pour CARS</t>
  </si>
  <si>
    <t>Formateur Specialise sur les MUSO et AGR (100 % Cars)</t>
  </si>
  <si>
    <t>Coordonnateur 20% Cars</t>
  </si>
  <si>
    <t>Chef du Bureau Relais 20% Cars</t>
  </si>
  <si>
    <t>Caissière 20% Cars</t>
  </si>
  <si>
    <t>Logisticien (25%) Apec</t>
  </si>
  <si>
    <t>Coordinator (25%) Apec</t>
  </si>
  <si>
    <t>Charge des RH (25%) Apec</t>
  </si>
  <si>
    <t>caissiere (40%) Apec</t>
  </si>
  <si>
    <t>ordinateur (Trocaire)</t>
  </si>
  <si>
    <t>Equipements d'appui aux activites</t>
  </si>
  <si>
    <t>Mobilier de bureau ( chaises) Trocaire</t>
  </si>
  <si>
    <t>Mobilier de bureau ( Tables) Trocaire</t>
  </si>
  <si>
    <t xml:space="preserve"> Etageur Bureau cars</t>
  </si>
  <si>
    <t>carburant vehicules (20%)</t>
  </si>
  <si>
    <t>maintenance et reparation vehicule (20%)</t>
  </si>
  <si>
    <t>couts de fonctionnement general(loyers, securite,papeterie,tel,…)</t>
  </si>
  <si>
    <t>Pour le fonctionement et protection des bureaux</t>
  </si>
  <si>
    <t>couts de fonctionnement general(loyers, securite,papeterie,tel,…)Cars</t>
  </si>
  <si>
    <t>couts de fonctionnement general(loyers, securite,papeterie,tel,…) Apec</t>
  </si>
  <si>
    <t>CARITAS</t>
  </si>
  <si>
    <t>Printers</t>
  </si>
  <si>
    <t>Radio equipement kits</t>
  </si>
  <si>
    <t>Generateur</t>
  </si>
  <si>
    <t>Service de sécurité</t>
  </si>
  <si>
    <t>Reparations et maintenance</t>
  </si>
  <si>
    <t>Carburant</t>
  </si>
  <si>
    <t>Insurance</t>
  </si>
  <si>
    <t xml:space="preserve">Frais d'audit  </t>
  </si>
  <si>
    <t>Frais de suivi&amp;evaluation conjoint et participatif du projet avec les autorités</t>
  </si>
  <si>
    <t>Services communs (Loyer, internet, securité) au niveau du bureau de coordination et de la base commune</t>
  </si>
  <si>
    <t>Caritas</t>
  </si>
  <si>
    <t>Couts de Program Management / Suivi &amp; Evaluation</t>
  </si>
  <si>
    <t>Sélection des bénéficiaires dans les communautés de retour à effectuer par la communauté sur la base des critères identifiés lors des ateliers (activité 1.1.5). Le personnel de l'OIM à surveiller (les coûts comprennent les frais de voyage tels la location de véhicules)</t>
  </si>
  <si>
    <t>La faisabilité des transferts monétaires sera évaluée au début du projet. Sinon, les bénéficiaires seront regroupés en coopératives commerciales en fonction de leur AGR et de leurs zones de réintégration et recevront des kits de démarrage d'entreprise collectifs. Dans la mesure du possible, les entreprises communes entre les ex-combattants et les membres de la communauté seront encouragées.</t>
  </si>
  <si>
    <t>Profilage ICRS individuel à effectuer sur le site de cantonnement immédiatement après le lancement du projet (les coûts incluent equipment, le personnel temporaire / horaire et le transport). L'évaluation des données, la base de données et le rapport d'évaluation seront rédigés par le personnel de soutien</t>
  </si>
  <si>
    <t>Les coûts incluent perdiems et transport pour les participants</t>
  </si>
  <si>
    <t>Speciaiste en restructuration des groupes et en accompagnement des cooperatives et regroupement pour Cars</t>
  </si>
  <si>
    <t>Charge de projet qui va suivre directement le projet avec les organisations partenaires de Trocaire</t>
  </si>
  <si>
    <t>pour les cooperatives et regroupements a base communautaire</t>
  </si>
  <si>
    <t>Pour faire une cartographiede tous les acteursintervenants dans le mayo production</t>
  </si>
  <si>
    <t>pour fournir des informations detaillees sur les differents segments des chaines de valeur agricole</t>
  </si>
  <si>
    <t>pour faire la promotion des produits agricoles transformees</t>
  </si>
  <si>
    <t>connecter les producteurs avec les transformateurs regroupes</t>
  </si>
  <si>
    <t>Visite de suivi de la coordination</t>
  </si>
  <si>
    <t>Visite de suivi de Ministere l'ITAPEL</t>
  </si>
  <si>
    <t>Visite de suivi de Ministere PLAN</t>
  </si>
  <si>
    <t>Perdiem missions de suivi mensuel Specialiste Filiaire</t>
  </si>
  <si>
    <t>Activite 3.3.8 Suivi, Accompagnement, Etude de cas et capitalisation Trocaire</t>
  </si>
  <si>
    <t>contribution a la communication Bunia et Kinshasa (20%)</t>
  </si>
  <si>
    <t>National Support Staff Kinshasa - 10%</t>
  </si>
  <si>
    <t>Les radios seront soutenues dans le développement de messages appropriés et 25 émission de radio (5 par territoire)</t>
  </si>
  <si>
    <t>Superviseur Technique de Réintégration</t>
  </si>
  <si>
    <t>OIM / Trocaire / Caritas</t>
  </si>
  <si>
    <t xml:space="preserve">Chargé de projet </t>
  </si>
  <si>
    <t>Chargé de Suivi et évaluation</t>
  </si>
  <si>
    <t>Coordonnateur</t>
  </si>
  <si>
    <t xml:space="preserve">Chargé d'Administration </t>
  </si>
  <si>
    <t>Chargé de Communication</t>
  </si>
  <si>
    <t>Comptable</t>
  </si>
  <si>
    <t>Logisticien</t>
  </si>
  <si>
    <t>Chauffeur</t>
  </si>
  <si>
    <t>Tables Bureau (2)</t>
  </si>
  <si>
    <t>Ordinateurs portable (3)</t>
  </si>
  <si>
    <t>Chaises Bureau (2)</t>
  </si>
  <si>
    <t>2.2.2.1 Construction de salles de classes</t>
  </si>
  <si>
    <t xml:space="preserve">Equipements et mobilier </t>
  </si>
  <si>
    <t>Frais genereaux de fonctionnement et autres couts</t>
  </si>
  <si>
    <t>Superviseur Technique des Activites Professionnelles</t>
  </si>
  <si>
    <t>ACTIVITES PREPARATOIRES</t>
  </si>
  <si>
    <r>
      <t>Activité préparatoire 2 :</t>
    </r>
    <r>
      <rPr>
        <sz val="10"/>
        <rFont val="Calibri Light"/>
        <family val="2"/>
      </rPr>
      <t xml:space="preserve"> Identifier et profiler les bénéficiaires ex-combattants</t>
    </r>
  </si>
  <si>
    <r>
      <rPr>
        <b/>
        <sz val="10"/>
        <color theme="1"/>
        <rFont val="Calibri Light"/>
        <family val="2"/>
      </rPr>
      <t xml:space="preserve">Activité préparatoire 3 : </t>
    </r>
    <r>
      <rPr>
        <sz val="10"/>
        <color theme="1"/>
        <rFont val="Calibri Light"/>
        <family val="2"/>
      </rPr>
      <t>Identifier les obstacles potentiels à la réintégration et cartographie des besoins en infrastructures à travers l'enquête d'évaluation du village (EEV)</t>
    </r>
  </si>
  <si>
    <t>Enquête d'évaluation villageoise évaluant les infrastructures et les services publics existants et détruits dans les zones prioritaires de retour des ex-combattants. Les zones cibles seront définies sur la base du profilage des bénéficiaires (les coûts comprennent les salaires journaliers et les couts logistques)</t>
  </si>
  <si>
    <t>Sous-total Activités Préparatoires</t>
  </si>
  <si>
    <r>
      <rPr>
        <b/>
        <sz val="10"/>
        <rFont val="Calibri Light"/>
        <family val="2"/>
      </rPr>
      <t>Activité 1.1.1 :</t>
    </r>
    <r>
      <rPr>
        <sz val="10"/>
        <rFont val="Calibri Light"/>
        <family val="2"/>
      </rPr>
      <t xml:space="preserve"> Identifier, redynamiser et former les Comités Locaux de Sécurité de Proximité (CLSP) dans les communautés cibles sur la sélection des infrastructures</t>
    </r>
  </si>
  <si>
    <r>
      <rPr>
        <b/>
        <sz val="10"/>
        <rFont val="Calibri Light"/>
        <family val="2"/>
      </rPr>
      <t>Activité 1.1.2 :</t>
    </r>
    <r>
      <rPr>
        <sz val="10"/>
        <rFont val="Calibri Light"/>
        <family val="2"/>
      </rPr>
      <t xml:space="preserve"> Organiser un atelier avec les CLSP et tous les partenaires concernés (représentants de la communauté, structures de dialogue, STAREC, gouvernement, etc.) afin de sélectionner les infrastructures à réhabiliter et les bénéficiaires pour les activités HIMO et les AGR</t>
    </r>
  </si>
  <si>
    <r>
      <rPr>
        <b/>
        <sz val="10"/>
        <rFont val="Calibri Light"/>
        <family val="2"/>
      </rPr>
      <t xml:space="preserve">Activité 1.1.3 : </t>
    </r>
    <r>
      <rPr>
        <sz val="10"/>
        <rFont val="Calibri Light"/>
        <family val="2"/>
      </rPr>
      <t>Appui aux radios communautaires pour la sensibilisation sur les HIMO et les critères de sélection des bénéficiaires, les avantages communautaires des activités HIMO, le processus DDR et la coexistence pacifique</t>
    </r>
  </si>
  <si>
    <r>
      <t>Activité 1.1.4 :</t>
    </r>
    <r>
      <rPr>
        <sz val="10"/>
        <rFont val="Calibri Light"/>
        <family val="2"/>
      </rPr>
      <t xml:space="preserve"> Soutenir la sélection communautaire des bénéficiaires communautaires HIMO </t>
    </r>
  </si>
  <si>
    <r>
      <rPr>
        <b/>
        <sz val="10"/>
        <color theme="1"/>
        <rFont val="Calibri Light"/>
        <family val="2"/>
      </rPr>
      <t xml:space="preserve">Activité 2.1.1 : </t>
    </r>
    <r>
      <rPr>
        <sz val="10"/>
        <color theme="1"/>
        <rFont val="Calibri Light"/>
        <family val="2"/>
      </rPr>
      <t>Organiser des séances de conseil / d'information de groupe pour les ex-combattants sur les conditions de réintégration, économiques et capacités d'absorption par groupe (groupes sélectionnés en fonction de la région / du village / de la communauté de retour identifié(e) via le profilage)</t>
    </r>
  </si>
  <si>
    <r>
      <rPr>
        <b/>
        <sz val="10"/>
        <rFont val="Calibri Light"/>
        <family val="2"/>
      </rPr>
      <t xml:space="preserve">Activité 2.4.1 : </t>
    </r>
    <r>
      <rPr>
        <sz val="10"/>
        <rFont val="Calibri Light"/>
        <family val="2"/>
      </rPr>
      <t>Visites régulières de suivi, d'évaluation et de coaching pour les entreprises non agricoles</t>
    </r>
  </si>
  <si>
    <t>Notes:</t>
  </si>
  <si>
    <t xml:space="preserve">Inserer/Supprimer autant de lignes que necessaires pour adjuster le budget au resultats/produits/activites </t>
  </si>
  <si>
    <t xml:space="preserve">* Il y a sept categories:  1) Personnel et autres employés 2) Fournitures, produits de base, materiels 3) Equipements et mobilier 4) Services Contractuels 5) Frais de deplacement 6) Transferts et subventions 7) Frais generaux de fonctionnement et autres couts directs (Voir la note explicative sur  l’élaboration d’un budget à soumettre au Fonds) </t>
  </si>
  <si>
    <t xml:space="preserve">** Ce sont des "Services Generaux de Gestion", qui sont calculés selon la formule suivante:  </t>
  </si>
  <si>
    <t>*** Chaque projet ISSSS doit assurer que 15% des fonds sont consacree a les objetifs sensible au genre (Voir les lignes directrices sur l'integration du Genre dans les programmes de stabilisation)</t>
  </si>
  <si>
    <t>Formulas (ne pas supprimer):</t>
  </si>
  <si>
    <t xml:space="preserve">Transferts et subventions </t>
  </si>
  <si>
    <t>Chef de Projet (70 % ) Apec</t>
  </si>
  <si>
    <t>Perdiem missions de suivi mensuel chef de projet Apec</t>
  </si>
  <si>
    <t>SOUS-TOTAL COUTS DIRECTS LIES AUX ACTIVITES (au minimum 60% du budget total)</t>
  </si>
  <si>
    <t>Program Accontant Trocaire (100%)</t>
  </si>
  <si>
    <t>DAF 50% Cars</t>
  </si>
  <si>
    <t>Comptable 100% Cars</t>
  </si>
  <si>
    <t>Finance and Administrative Officer (30%) Apec</t>
  </si>
  <si>
    <t>Comptable du projet  (100%) Apec</t>
  </si>
  <si>
    <t>Pack securite (kits et autres )</t>
  </si>
  <si>
    <t>P.4.1 Mener un diagnostic participatif sur le manioc, mais et  haricot concernes par le projet</t>
  </si>
  <si>
    <t>P.4.2 Mener une étude de marché et des debouches dans la zone du projet</t>
  </si>
  <si>
    <r>
      <t xml:space="preserve">Activité préparatoire 5 : </t>
    </r>
    <r>
      <rPr>
        <sz val="10"/>
        <rFont val="Calibri Light"/>
        <family val="2"/>
      </rPr>
      <t>Analyse de conflit, stratégie de genre et approche ne pas nuire</t>
    </r>
  </si>
  <si>
    <r>
      <t xml:space="preserve">Activité préparatoire 4 : </t>
    </r>
    <r>
      <rPr>
        <sz val="10"/>
        <rFont val="Calibri Light"/>
        <family val="2"/>
      </rPr>
      <t xml:space="preserve">Etude de marche et des débouches </t>
    </r>
  </si>
  <si>
    <t>Sous-total Resultat 1</t>
  </si>
  <si>
    <t>Sous-total Resultat 2</t>
  </si>
  <si>
    <t>Visibilite (t-shirt, pancartes et autres) Troc et Part</t>
  </si>
  <si>
    <t>Consultant pour développer la stratégie genre du projet dans tous les domaines d'intervention et d'activités.</t>
  </si>
  <si>
    <t>Atelier de 2 jours pour 30 membres CLSP dans 4 zones cibles (les couts incluent location de salle, pauses café et dejeuner, materiel, DSA formateurs)</t>
  </si>
  <si>
    <t>M&amp;E Project Assistant (G4) - 100%</t>
  </si>
  <si>
    <t>Charge de Projet Stabilisation (50%) Trocaire</t>
  </si>
  <si>
    <t>Finance and Admin Assistant Bunia - 100%</t>
  </si>
  <si>
    <t>Duree / Frequence</t>
  </si>
  <si>
    <t>Duree/ Frequence</t>
  </si>
  <si>
    <t>Achat Motos</t>
  </si>
  <si>
    <t>P.5.3 sondage rapide sur les conflits communautaires</t>
  </si>
  <si>
    <t>P.5.5 Former les staffs des partenaires de mise en oeuvre sur la gestion des projets sensibles au conflit</t>
  </si>
  <si>
    <t>P.5.6 Formation des partenaires de mise en oeuvre sur l'integration du genre au sein des structures communautaires(Trocaire)</t>
  </si>
  <si>
    <t>chauffeur (30%) Trocaire</t>
  </si>
  <si>
    <t>logisiticien (20%) Trocaire</t>
  </si>
  <si>
    <t>Security Focal Point  Trociare 20%</t>
  </si>
  <si>
    <t>3 Motos (3 cars et 1 Apec) Cars</t>
  </si>
  <si>
    <t>Frais bancaires( 1.5%)</t>
  </si>
  <si>
    <t>Personnel de terrain du projet pour assurer la mobilisation de la communauté pour les projets HIMO et soutenir, suivre et rendre compte de la réintégration individuelle des ex-combattants</t>
  </si>
  <si>
    <t>Project Manager (P2) - 25%</t>
  </si>
  <si>
    <t>Transition and Recovery Programme Officer - 15%</t>
  </si>
  <si>
    <t>300 beneficiaires HIMO par communaute - 225 ex-combattants et 75 beneficiaires communautaires</t>
  </si>
  <si>
    <t>Assitant de Projet(G5) - 50%</t>
  </si>
  <si>
    <t>4 Ordinateurs portable (3 cars et 1 Apec)</t>
  </si>
  <si>
    <t>3 Chaises Bureau Cars</t>
  </si>
  <si>
    <t>3 Tables Bureau Cars</t>
  </si>
  <si>
    <t>Personnel national de projet soutenant et coordonnant toutes les activités du projet sous la supervision du gestionnaire de programme du consortium - OIM va recruter un expert des formations professionnels qui sera également le point focal pour guider les formations professionnelles mises en œuvre par CARITAS</t>
  </si>
  <si>
    <t>L'animateur de terrain effectuera des visites de suivi et de coaching pour soutenir et guider les petites entreprises et de vérifier le respect des exigences pour la deuxième tranche en espèces (les coûts incluent la location de véhicule)</t>
  </si>
  <si>
    <t>Sous-total Resultat 2.4</t>
  </si>
  <si>
    <t>Furnitures divers (Classeurs, Etagères,  Agrafeuses, cartouches, perforateurs, etc)</t>
  </si>
  <si>
    <t>Superviseur de Traveaux / Animateur de Terrain (G4) - 50%</t>
  </si>
  <si>
    <t>Security Officer 5%</t>
  </si>
  <si>
    <t>Security Assistant Bunia - 30-70%</t>
  </si>
  <si>
    <t>1.3.1.1 : Sensibiliser les communautés sur l'importance d'une MUSO afin d'intégrer ou de créer des nouvelles MUSO</t>
  </si>
  <si>
    <t>1.3.2.1 : Faciliter la redynamisation et/ou création des nouvelles MUSO au niveau de la base</t>
  </si>
  <si>
    <t>1.3.2.2 : Former les nouvelles MUSO sur le fonctionnement et la gestion des outils des MUSO</t>
  </si>
  <si>
    <t>1.3.2.3: Amendement et adoption des textes de base des MUSO</t>
  </si>
  <si>
    <t>1.3.2.4 : Former et accompagner les MUSO sur la prévention des conflits interne</t>
  </si>
  <si>
    <t>1.3.2.5 : Développer des dialogues de rapprochement au tour des activités économiques</t>
  </si>
  <si>
    <t>1.3.3.1 : Enquêtes de Classification des MUSO et groupement/Coopératives</t>
  </si>
  <si>
    <t>1.3.3.2: Appui au fonctionnement des organes des GM (Assemblées Générales, Conseil d’administration et commission des contrôle)</t>
  </si>
  <si>
    <r>
      <rPr>
        <b/>
        <sz val="10"/>
        <color theme="1"/>
        <rFont val="Calibri Light"/>
        <family val="2"/>
      </rPr>
      <t xml:space="preserve">Activité 2.2.1 : </t>
    </r>
    <r>
      <rPr>
        <sz val="10"/>
        <color theme="1"/>
        <rFont val="Calibri Light"/>
        <family val="2"/>
      </rPr>
      <t>Former les bénéficiaires sur les bonnes pratiques de gestion, connaissances de base en comptabilité financière et des avantages de l’épargne</t>
    </r>
  </si>
  <si>
    <t>2.2.1.1 : Former les groupements et coopératives des producteurs sur la réussite  d'une micro-entreprise à travers une bonne gestion</t>
  </si>
  <si>
    <t>2.2.1.2 : Former les groupements et coopératives des producteurs sur la tenue d'une petite comptabilité</t>
  </si>
  <si>
    <r>
      <rPr>
        <b/>
        <sz val="10"/>
        <rFont val="Calibri Light"/>
        <family val="2"/>
      </rPr>
      <t>Activité 2.2.3 :</t>
    </r>
    <r>
      <rPr>
        <sz val="10"/>
        <rFont val="Calibri Light"/>
        <family val="2"/>
      </rPr>
      <t xml:space="preserve"> Donner des formations sur les micro-entreprises agricoles aux bénéficiaires qui ont choisi des activités économiques agricoles.</t>
    </r>
  </si>
  <si>
    <t>2.2.3.1 : Former les membres des comités sur la gestion et maintenance des machines et équipement, etc.).</t>
  </si>
  <si>
    <t>2.2.3.2 : Appui à la maintenance des machines/.equipements ( M.O)</t>
  </si>
  <si>
    <t>2.3.3.2 : Transport des machines de transformation</t>
  </si>
  <si>
    <t>2.3.3.3 : Installer des Kits Dispositif de transformation de Maîs et cossette de manioc) aux Cooperatives Agricoles ( Epilcheur/ Decortiqueuse, Rapeuse,Presse, moulin, tamis...)</t>
  </si>
  <si>
    <t>2.3.3.4 : Acheter les Kits Dispositif de transformation de Maîs et cossette de manioc) aux Cooperatives Agricoles ( Epilcheur/ Decortiqueuse, Rapeuse,Presse, moulin, tamis...)</t>
  </si>
  <si>
    <t>2.3.3.5 : Construction en dur Abris  Dispositif de transformation</t>
  </si>
  <si>
    <t>2.3.3.6 : Achat  Equipements de conditionnement / conservation (Sacs vides, sachets decalo, palettes….)</t>
  </si>
  <si>
    <t>2.3.3.7. Achat Machine a coudre</t>
  </si>
  <si>
    <t>2.3.3.8 : Kit de maintenance Machines</t>
  </si>
  <si>
    <t>2.3.3.9 : Achat les mixeurs manuels( Patte d' Arichide, Feuilles de manioc)</t>
  </si>
  <si>
    <t>2.3.3.10 : Installer les mixeurs manuels</t>
  </si>
  <si>
    <t>2.3.3.11 : Baches sechoirs  (20 Dz pour 20 villages)</t>
  </si>
  <si>
    <t>2.3.3.12 : Construire les hangars pour abriter les machines (moulins)</t>
  </si>
  <si>
    <t>2.3.3.13 : Constuire en dur des petits dépôts d'entreposage des produits agricoles transformés et à transformer</t>
  </si>
  <si>
    <t xml:space="preserve">2.3.3.14 : Acheter kit de protection (cash nez, salopette, gants, botte…), matériels et outillage (tamis, huile moteur, carburant d'essai, balance, sac vide, couroi, graisse, etc.) </t>
  </si>
  <si>
    <t xml:space="preserve">2.3.3.15 :  Certification des produits transformes par L'O.C.C </t>
  </si>
  <si>
    <t xml:space="preserve">2.3.4.1 : Organiser les activites des Marketing </t>
  </si>
  <si>
    <t>2.3.4.2 : Organiser les producteurs  et les connecter avec les transformateurs regroupés</t>
  </si>
  <si>
    <t>2.3.4.3 : Organiser des réunions d'échange entre les producteurs, acheteurs et transporteurs.</t>
  </si>
  <si>
    <t>2.3.4.4 : Organiser des reunions trimestrielles d'echange entre differents intervenants dans la chaine de valeur  mais, haricot et manioc</t>
  </si>
  <si>
    <t>2.3.4.5 : Faciliter un accès aux vendeurs d’intrants améliorés (agricoles, pêche, élevage et AGR non agricoles)</t>
  </si>
  <si>
    <t>2.3.4.6 : Organiser des reunions avec les parties prenantes des intrants améliorés (agricoles, pêche, élevage et AGR non agricoles)</t>
  </si>
  <si>
    <t>2.3.4.7 : Former les bénéficiaires (agriculteurs, pêcheurs, AGR et Cooperatives) sur les techniques de conservation post recolte/production.</t>
  </si>
  <si>
    <t>2.3.4.8 : Former les bénéficiaires (agriculteurs, pêcheurs, AGR et Cooperatives) sur la transformation des produits agricoles.</t>
  </si>
  <si>
    <t>OBJECTIVE SPECIFIQUE 1</t>
  </si>
  <si>
    <r>
      <t>Activité 2.2.2 :</t>
    </r>
    <r>
      <rPr>
        <sz val="10"/>
        <rFont val="Calibri Light"/>
        <family val="2"/>
      </rPr>
      <t xml:space="preserve"> Donner des formations professionnelles aux bénéficiaires qui ont choisi des activités économiques non agricoles.</t>
    </r>
  </si>
  <si>
    <t>Appui à la cohésion sociale et la résilience communautaire pour la réintégration pacifique des ex-combattants FRPI</t>
  </si>
  <si>
    <t>par une entreprise contractante. Il sera construits 10 hangar comme centre de formtion</t>
  </si>
  <si>
    <t>2.2.2.2 Supervision de construction des hangars</t>
  </si>
  <si>
    <t>2 agents concernees pour 3 visites chacun (DSA 30 USD)</t>
  </si>
  <si>
    <t>2.2.2.3 Ameublement de salles et transport</t>
  </si>
  <si>
    <t>chaque hangar sera meublé pour formateur et apprenant. Ces meubles seront transportés sur le site.</t>
  </si>
  <si>
    <t>2.2.2.4 Constitution de groupes de formation</t>
  </si>
  <si>
    <t>Constitutions des beneficiaires dans les differents groupes/types de formation</t>
  </si>
  <si>
    <t>2.2.2.5 Frais de deplacement pour consitution des groupes de formation</t>
  </si>
  <si>
    <t>6 agents concernees pour 2 activites avec 6 nuits chacun (DSA 30 USD)</t>
  </si>
  <si>
    <t xml:space="preserve">30 formateurs en raison de 500 par personne par 4 mois  pour 30 groupes </t>
  </si>
  <si>
    <t>le matériel pour l'apprentisssage professsionnel à disponibiliser dès le début de la formtion</t>
  </si>
  <si>
    <t>3 agents concernees pour 7 activites avec 16 nuits chacun (DSA 30 USD)</t>
  </si>
  <si>
    <t>un brevet prévu de 5 dollars pour 900 personnes</t>
  </si>
  <si>
    <t>les frais d'organisation du jury dans les 6 groupements de chefferie</t>
  </si>
  <si>
    <t>les frais relatifs à l'organisation de la remise officielle  des brevets aux apprenants</t>
  </si>
  <si>
    <t>pour le transport des autorites locales venues encourager les apprenants brevetés à la fin de leur formation</t>
  </si>
  <si>
    <t>ce montant servira pour diverses communicaions téléphoniques ou autre  pour l'organisation du jury et la remise des brevets</t>
  </si>
  <si>
    <t>chaque apprenant ex combattant recevra l'équivalent de 2,5 USD par jour comme collation</t>
  </si>
  <si>
    <t>le péage routien</t>
  </si>
  <si>
    <t>ce perdiem concerne les agents de caritas qui accompagnent l'INPP dans l'organisation du jury et le jour de la rmise des brevets</t>
  </si>
  <si>
    <t xml:space="preserve">ce montatnt sera utilisé pour la location voiture pour les missions de terrain </t>
  </si>
  <si>
    <t>2.4.1.1 Frais de deplacement pour les superviseurs de la reintegration</t>
  </si>
  <si>
    <t>3 agents concernees pour 12 visites de suivi avec 14 nuits chacun (DSA 30 USD)</t>
  </si>
  <si>
    <t>Visibilite (t-shirt, pancartes et autres)</t>
  </si>
  <si>
    <t xml:space="preserve"> Perdiem pour suivi des activites </t>
  </si>
  <si>
    <t>per diems pour les visites de suivi de chef de projet, chargee suivi et evaluation; suivi semestriel du coordonateur</t>
  </si>
  <si>
    <t>Communication</t>
  </si>
  <si>
    <t>pour la communication lors de l'exécution du projet</t>
  </si>
  <si>
    <t>Séances d'information avec 45 bénéficiaires chacune pour partager des informations sur les conditions de retour et la réintégration économique - à organiser lors du projet HIMO de la MONUSCO DDR dans 6 zones cibles</t>
  </si>
  <si>
    <t xml:space="preserve">P.5.1 Conflict sensitive advisor (20%) </t>
  </si>
  <si>
    <t xml:space="preserve">P.5.2 Women Empowerment and Governance technical advisor(15%) </t>
  </si>
  <si>
    <r>
      <rPr>
        <b/>
        <sz val="10"/>
        <rFont val="Calibri Light"/>
        <family val="2"/>
      </rPr>
      <t xml:space="preserve">Activité 2.1.2 : </t>
    </r>
    <r>
      <rPr>
        <sz val="10"/>
        <rFont val="Calibri Light"/>
        <family val="2"/>
      </rPr>
      <t>Former les groupements et coopératives sur l'identification, le choix et le lancement des activités rentables et porteuses et assurer leur accompagnement</t>
    </r>
  </si>
  <si>
    <r>
      <rPr>
        <b/>
        <sz val="10"/>
        <rFont val="Calibri Light"/>
        <family val="2"/>
      </rPr>
      <t xml:space="preserve">Activité 2.1.3 : </t>
    </r>
    <r>
      <rPr>
        <sz val="10"/>
        <rFont val="Calibri Light"/>
        <family val="2"/>
      </rPr>
      <t>Former les groupements et coopératives  sur l'élaboration des Plans d'affaire individuels et communautaires et assurer leur accompagnement</t>
    </r>
  </si>
  <si>
    <t>2.2.2.6 Formateurs (30) pour 4 mois (500 USD par personne)</t>
  </si>
  <si>
    <t>2.2.2.7 Materiel pedagogique pour la formation (par groupe)</t>
  </si>
  <si>
    <t>2.2.2.8 Frais de deplacement pour les superviseurs de la formation</t>
  </si>
  <si>
    <t>2.2.2.9 Frais de brevet INPP</t>
  </si>
  <si>
    <t>2.2.2.10 Organisation jury par l'INPP</t>
  </si>
  <si>
    <t>2.2.2.11 Remise de brevet INPP</t>
  </si>
  <si>
    <t>2.2.2.12 Transport des autorites locales</t>
  </si>
  <si>
    <t>2.2.2.13 Communication</t>
  </si>
  <si>
    <t>2.2.2.14 Collation des apprenants (4000 FC par personne pour 80 jours)</t>
  </si>
  <si>
    <t>2.2.2.15 Frais DGRPI</t>
  </si>
  <si>
    <t>2.2.2.16 Per diem de l'equipe du bureau de Caritas</t>
  </si>
  <si>
    <t>2.1.4.1.1.Acheter les Moulin simple GF (Maîs, sorgho, cossette de manioc)</t>
  </si>
  <si>
    <t>Technical advisor Sustainable livelihoods and Natural ressources Management( 30%)</t>
  </si>
  <si>
    <t>Chef de Projet (70%) Apec</t>
  </si>
  <si>
    <t>International Support Staff Kinshasa - 5%</t>
  </si>
  <si>
    <t>National Support Staff Kinshasa - 7%</t>
  </si>
  <si>
    <t>Program Manager Trocaire (10%)</t>
  </si>
  <si>
    <t>2.2.2.7 Stockage, distributions, installation, rôdage des matériels pédagogiques de materiel pedagogique pour la formation</t>
  </si>
  <si>
    <t>Stockage, distributions, installation, rôdage des matériels pédagogiques de materiel pedagogique pour la formation</t>
  </si>
  <si>
    <t>Séances d'information avec 50 bénéficiaires chacune pour partager des informations sur les conditions des transfers monetaires (location salle, vehicule, etc)</t>
  </si>
  <si>
    <t>2.3.4.5 : Organiser des reunions avec les parties prenantes des intrants améliorés (agricoles, pêche, élevage et AGR non agricoles)</t>
  </si>
  <si>
    <t>2.3.4.6 : Former les bénéficiaires (agriculteurs, pêcheurs, AGR et Cooperatives) sur les techniques de conservation post recolte/production.</t>
  </si>
  <si>
    <t>2.3.4.7 : Former les bénéficiaires (agriculteurs, pêcheurs, AGR et Cooperatives) sur la transformation des produits agricoles.</t>
  </si>
  <si>
    <t>Accountability to affected popualations (AAP) complaints mechanisms established in 10 priority areas</t>
  </si>
  <si>
    <r>
      <rPr>
        <b/>
        <sz val="10"/>
        <rFont val="Calibri Light"/>
        <family val="2"/>
      </rPr>
      <t>Activité préparatoire 6 :</t>
    </r>
    <r>
      <rPr>
        <sz val="10"/>
        <rFont val="Calibri Light"/>
        <family val="2"/>
      </rPr>
      <t xml:space="preserve"> établir un mécanisme de plaintes dans le ZP</t>
    </r>
  </si>
  <si>
    <t>300 beneficiaires HIMO par communaute - 180 ex-combattants et 120 beneficiaires communautaires</t>
  </si>
  <si>
    <r>
      <rPr>
        <b/>
        <sz val="10"/>
        <rFont val="Calibri Light"/>
        <family val="2"/>
      </rPr>
      <t>Activité 1.1.5 :</t>
    </r>
    <r>
      <rPr>
        <sz val="10"/>
        <rFont val="Calibri Light"/>
        <family val="2"/>
      </rPr>
      <t xml:space="preserve"> Sélectionner une entreprise / organisation pour mettre en œuvre / construire le projet d'infrastructure sélectionné en utilisant la modalité HIMO</t>
    </r>
  </si>
  <si>
    <r>
      <rPr>
        <b/>
        <sz val="10"/>
        <rFont val="Calibri Light"/>
        <family val="2"/>
      </rPr>
      <t>Activité 1.1.6 :</t>
    </r>
    <r>
      <rPr>
        <sz val="10"/>
        <rFont val="Calibri Light"/>
        <family val="2"/>
      </rPr>
      <t xml:space="preserve"> Effectuer les missions conjointes et participatives de suivi des travaux HIMO avec les parties prenantes (autorités locales, société civile, le bureau genre, etc.)</t>
    </r>
  </si>
  <si>
    <r>
      <rPr>
        <b/>
        <sz val="10"/>
        <color theme="1"/>
        <rFont val="Calibri Light"/>
        <family val="2"/>
      </rPr>
      <t xml:space="preserve">Activité 1.2.1 </t>
    </r>
    <r>
      <rPr>
        <sz val="10"/>
        <color theme="1"/>
        <rFont val="Calibri Light"/>
        <family val="2"/>
      </rPr>
      <t xml:space="preserve">: Sensibilisation des ex combattants et autres victimes de la communauté à intégrer les MUSO existantes et/ou en créer des nouvelles. </t>
    </r>
  </si>
  <si>
    <r>
      <rPr>
        <b/>
        <sz val="10"/>
        <color theme="1"/>
        <rFont val="Calibri Light"/>
        <family val="2"/>
      </rPr>
      <t xml:space="preserve">Activité 1.2.2 : </t>
    </r>
    <r>
      <rPr>
        <sz val="10"/>
        <color theme="1"/>
        <rFont val="Calibri Light"/>
        <family val="2"/>
      </rPr>
      <t>Formation et/ou redynamisation des cadres des MUSO et Groupements des MuSO</t>
    </r>
  </si>
  <si>
    <r>
      <rPr>
        <b/>
        <sz val="10"/>
        <rFont val="Calibri Light"/>
        <family val="2"/>
      </rPr>
      <t>Activité 1.2.3 :</t>
    </r>
    <r>
      <rPr>
        <sz val="10"/>
        <rFont val="Calibri Light"/>
        <family val="2"/>
      </rPr>
      <t xml:space="preserve"> Suivi et accompagnement MuSO, Groupements/Coopératives (ARG et structures)</t>
    </r>
  </si>
  <si>
    <r>
      <rPr>
        <b/>
        <sz val="10"/>
        <color theme="1"/>
        <rFont val="Calibri Light"/>
        <family val="2"/>
      </rPr>
      <t>Activité 1.2.4 :</t>
    </r>
    <r>
      <rPr>
        <sz val="10"/>
        <color theme="1"/>
        <rFont val="Calibri Light"/>
        <family val="2"/>
      </rPr>
      <t xml:space="preserve"> Appui matériel et financier au MuSo/GM</t>
    </r>
  </si>
  <si>
    <r>
      <rPr>
        <b/>
        <sz val="10"/>
        <rFont val="Calibri Light"/>
        <family val="2"/>
      </rPr>
      <t xml:space="preserve">PRODUIT 1.1 </t>
    </r>
    <r>
      <rPr>
        <sz val="10"/>
        <rFont val="Calibri Light"/>
        <family val="2"/>
      </rPr>
      <t>: Des infrastructures de base pour la connexion intercommunautaire sont mises en place</t>
    </r>
  </si>
  <si>
    <r>
      <rPr>
        <b/>
        <sz val="10"/>
        <rFont val="Calibri Light"/>
        <family val="2"/>
      </rPr>
      <t xml:space="preserve">PRODUIT 1.2 : </t>
    </r>
    <r>
      <rPr>
        <sz val="10"/>
        <rFont val="Calibri Light"/>
        <family val="2"/>
      </rPr>
      <t xml:space="preserve">Des MUSOs entre membres des communautés at les ex-combattants sont mises en place et opérationnelle </t>
    </r>
  </si>
  <si>
    <r>
      <t xml:space="preserve">RESULTAT 1 : </t>
    </r>
    <r>
      <rPr>
        <sz val="10"/>
        <rFont val="Calibri Light"/>
        <family val="2"/>
      </rPr>
      <t>La cohésion sociale intercommunautaire est renforcée</t>
    </r>
  </si>
  <si>
    <r>
      <t>RESULTAT 2 :</t>
    </r>
    <r>
      <rPr>
        <sz val="10"/>
        <rFont val="Calibri Light"/>
        <family val="2"/>
      </rPr>
      <t xml:space="preserve"> Le risque que les ex-combattants et les jeunes à risque (ré)joignent les groupes armés est réduit grâce à leur (ré)intégration socio-économique durable</t>
    </r>
  </si>
  <si>
    <r>
      <rPr>
        <b/>
        <sz val="10"/>
        <rFont val="Calibri Light"/>
        <family val="2"/>
      </rPr>
      <t xml:space="preserve">PRODUIT 2.1 : </t>
    </r>
    <r>
      <rPr>
        <sz val="10"/>
        <rFont val="Calibri Light"/>
        <family val="2"/>
      </rPr>
      <t>Les bénéficiaires sont bien informées préparés par rapport au processus d’intégration socio-économique</t>
    </r>
  </si>
  <si>
    <r>
      <rPr>
        <b/>
        <sz val="10"/>
        <rFont val="Calibri Light"/>
        <family val="2"/>
      </rPr>
      <t xml:space="preserve">PRODUIT 2.2 : </t>
    </r>
    <r>
      <rPr>
        <sz val="10"/>
        <rFont val="Calibri Light"/>
        <family val="2"/>
      </rPr>
      <t xml:space="preserve">Les microentreprises, associations et coopératives sont créées et gérées de manière inclusive et durable </t>
    </r>
  </si>
  <si>
    <r>
      <rPr>
        <b/>
        <sz val="10"/>
        <rFont val="Calibri Light"/>
        <family val="2"/>
      </rPr>
      <t xml:space="preserve">Activité 2.2.5.a : </t>
    </r>
    <r>
      <rPr>
        <sz val="10"/>
        <rFont val="Calibri Light"/>
        <family val="2"/>
      </rPr>
      <t>Organiser une session d'information pour les bénéficiaires sur les transferts monétaires conditionnels pour les créations d'entreprise non-agricoles</t>
    </r>
  </si>
  <si>
    <r>
      <rPr>
        <b/>
        <sz val="10"/>
        <rFont val="Calibri Light"/>
        <family val="2"/>
      </rPr>
      <t xml:space="preserve">Activité 2.2.5.b : </t>
    </r>
    <r>
      <rPr>
        <sz val="10"/>
        <rFont val="Calibri Light"/>
        <family val="2"/>
      </rPr>
      <t>Effectuer des transferts monétaires (conditionnels) en appuyant les bénéficiaires dans la mise en œuvre et démarrage des petits métiers/micro entreprises rentable</t>
    </r>
  </si>
  <si>
    <r>
      <rPr>
        <b/>
        <sz val="10"/>
        <rFont val="Calibri Light"/>
        <family val="2"/>
      </rPr>
      <t xml:space="preserve">Activité 2.2.6 : </t>
    </r>
    <r>
      <rPr>
        <sz val="10"/>
        <rFont val="Calibri Light"/>
        <family val="2"/>
      </rPr>
      <t>Distribuer les intrants (agricoles, pêche et élevage, AGR non-agricoles) / Appuyer les groupes/coopératives avec des machines et équipements de transformation des produits agricoles</t>
    </r>
  </si>
  <si>
    <r>
      <rPr>
        <b/>
        <sz val="10"/>
        <rFont val="Calibri Light"/>
        <family val="2"/>
      </rPr>
      <t xml:space="preserve">PRODUIT 2.3 : </t>
    </r>
    <r>
      <rPr>
        <sz val="10"/>
        <rFont val="Calibri Light"/>
        <family val="2"/>
      </rPr>
      <t>Les conditions économiques et les opportunités des bénéficiaires sont durablement améliorées</t>
    </r>
  </si>
  <si>
    <r>
      <rPr>
        <b/>
        <sz val="10"/>
        <rFont val="Calibri Light"/>
        <family val="2"/>
      </rPr>
      <t xml:space="preserve">Activité 2.3.1 : </t>
    </r>
    <r>
      <rPr>
        <sz val="10"/>
        <rFont val="Calibri Light"/>
        <family val="2"/>
      </rPr>
      <t>Visites régulières de suivi, d'évaluation et de coaching pour les entreprises non agricoles</t>
    </r>
  </si>
  <si>
    <r>
      <rPr>
        <b/>
        <sz val="10"/>
        <rFont val="Calibri Light"/>
        <family val="2"/>
      </rPr>
      <t>Activite 2.3.2 :</t>
    </r>
    <r>
      <rPr>
        <sz val="10"/>
        <rFont val="Calibri Light"/>
        <family val="2"/>
      </rPr>
      <t xml:space="preserve"> Appui aux chaînes de valeur agricoles porteuses (Manioc, Haricot et Mais)</t>
    </r>
  </si>
  <si>
    <t>(e) Couts Indirects:</t>
  </si>
  <si>
    <t>Couts Indirects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</si>
</sst>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 #,##0.00_ ;_ * \-#,##0.00_ ;_ * &quot;-&quot;??_ ;_ @_ "/>
    <numFmt numFmtId="166" formatCode="_ * #,##0_ ;_ * \-#,##0_ ;_ * &quot;-&quot;??_ ;_ @_ "/>
    <numFmt numFmtId="167" formatCode="_ * #,##0.0_ ;_ * \-#,##0.0_ ;_ * &quot;-&quot;??_ ;_ @_ "/>
    <numFmt numFmtId="168" formatCode="0.0"/>
    <numFmt numFmtId="169" formatCode="_(* #,##0_);_(* \(#,##0\);_(* &quot;-&quot;??_);_(@_)"/>
    <numFmt numFmtId="170" formatCode="_(* #,##0.000_);_(* \(#,##0.000\);_(* &quot;-&quot;??_);_(@_)"/>
  </numFmts>
  <fonts count="37" x14ac:knownFonts="1">
    <font>
      <sz val="10"/>
      <name val="Arial"/>
    </font>
    <font>
      <sz val="11"/>
      <color theme="1"/>
      <name val="Calibri"/>
      <family val="2"/>
      <scheme val="minor"/>
    </font>
    <font>
      <sz val="10"/>
      <name val="Arial"/>
      <family val="2"/>
    </font>
    <font>
      <sz val="11"/>
      <color theme="1"/>
      <name val="Calibri"/>
      <family val="2"/>
      <scheme val="minor"/>
    </font>
    <font>
      <sz val="10"/>
      <name val="Calibri"/>
      <family val="2"/>
      <scheme val="minor"/>
    </font>
    <font>
      <b/>
      <sz val="10"/>
      <name val="Calibri"/>
      <family val="2"/>
      <scheme val="minor"/>
    </font>
    <font>
      <sz val="10"/>
      <color theme="1"/>
      <name val="Calibri"/>
      <family val="2"/>
      <scheme val="minor"/>
    </font>
    <font>
      <b/>
      <i/>
      <sz val="10"/>
      <name val="Calibri"/>
      <family val="2"/>
      <scheme val="minor"/>
    </font>
    <font>
      <b/>
      <sz val="10"/>
      <color theme="1"/>
      <name val="Calibri"/>
      <family val="2"/>
      <scheme val="minor"/>
    </font>
    <font>
      <sz val="10"/>
      <name val="Arial"/>
      <family val="2"/>
    </font>
    <font>
      <sz val="10"/>
      <name val="Arial Narrow"/>
      <family val="2"/>
    </font>
    <font>
      <b/>
      <sz val="10"/>
      <color rgb="FFFF0000"/>
      <name val="Arial Narrow"/>
      <family val="2"/>
    </font>
    <font>
      <b/>
      <sz val="10"/>
      <name val="Arial Narrow"/>
      <family val="2"/>
    </font>
    <font>
      <sz val="10"/>
      <color rgb="FFFF0000"/>
      <name val="Calibri"/>
      <family val="2"/>
      <scheme val="minor"/>
    </font>
    <font>
      <b/>
      <sz val="10"/>
      <color rgb="FFFF0000"/>
      <name val="Calibri"/>
      <family val="2"/>
      <scheme val="minor"/>
    </font>
    <font>
      <b/>
      <sz val="10"/>
      <name val="Arial"/>
      <family val="2"/>
    </font>
    <font>
      <sz val="11"/>
      <color rgb="FFFF0000"/>
      <name val="Calibri"/>
      <family val="2"/>
      <scheme val="minor"/>
    </font>
    <font>
      <b/>
      <sz val="11"/>
      <color theme="1"/>
      <name val="Calibri"/>
      <family val="2"/>
      <scheme val="minor"/>
    </font>
    <font>
      <sz val="10"/>
      <color rgb="FFFF0000"/>
      <name val="Arial"/>
      <family val="2"/>
    </font>
    <font>
      <sz val="10"/>
      <color rgb="FF00B050"/>
      <name val="Calibri"/>
      <family val="2"/>
      <scheme val="minor"/>
    </font>
    <font>
      <b/>
      <sz val="10"/>
      <color theme="0"/>
      <name val="Calibri Light"/>
      <family val="2"/>
    </font>
    <font>
      <b/>
      <sz val="10"/>
      <color rgb="FFFF0000"/>
      <name val="Calibri Light"/>
      <family val="2"/>
    </font>
    <font>
      <b/>
      <sz val="10"/>
      <name val="Calibri Light"/>
      <family val="2"/>
    </font>
    <font>
      <sz val="10"/>
      <name val="Calibri Light"/>
      <family val="2"/>
    </font>
    <font>
      <sz val="10"/>
      <color theme="1"/>
      <name val="Calibri Light"/>
      <family val="2"/>
    </font>
    <font>
      <i/>
      <sz val="10"/>
      <name val="Calibri Light"/>
      <family val="2"/>
    </font>
    <font>
      <b/>
      <i/>
      <sz val="10"/>
      <name val="Calibri Light"/>
      <family val="2"/>
    </font>
    <font>
      <sz val="10"/>
      <color rgb="FFFF0000"/>
      <name val="Calibri Light"/>
      <family val="2"/>
    </font>
    <font>
      <sz val="11"/>
      <name val="Calibri"/>
      <family val="2"/>
      <scheme val="minor"/>
    </font>
    <font>
      <b/>
      <sz val="11"/>
      <name val="Calibri"/>
      <family val="2"/>
      <scheme val="minor"/>
    </font>
    <font>
      <b/>
      <sz val="11"/>
      <color rgb="FFFF0000"/>
      <name val="Calibri"/>
      <family val="2"/>
      <scheme val="minor"/>
    </font>
    <font>
      <b/>
      <sz val="10"/>
      <color theme="1"/>
      <name val="Calibri Light"/>
      <family val="2"/>
    </font>
    <font>
      <sz val="10"/>
      <color theme="1"/>
      <name val="Cambria"/>
      <family val="2"/>
      <scheme val="major"/>
    </font>
    <font>
      <i/>
      <sz val="10"/>
      <color theme="1"/>
      <name val="Cambria"/>
      <family val="2"/>
      <scheme val="major"/>
    </font>
    <font>
      <sz val="10"/>
      <name val="Cambria"/>
      <family val="2"/>
      <scheme val="major"/>
    </font>
    <font>
      <b/>
      <sz val="10"/>
      <color theme="0"/>
      <name val="Calibri"/>
      <family val="2"/>
      <scheme val="minor"/>
    </font>
    <font>
      <sz val="10"/>
      <color rgb="FFFF0000"/>
      <name val="Arial Narrow"/>
      <family val="2"/>
    </font>
  </fonts>
  <fills count="18">
    <fill>
      <patternFill patternType="none"/>
    </fill>
    <fill>
      <patternFill patternType="gray125"/>
    </fill>
    <fill>
      <patternFill patternType="solid">
        <fgColor rgb="FFD8D8D8"/>
        <bgColor indexed="64"/>
      </patternFill>
    </fill>
    <fill>
      <patternFill patternType="solid">
        <fgColor theme="9"/>
        <bgColor indexed="64"/>
      </patternFill>
    </fill>
    <fill>
      <patternFill patternType="solid">
        <fgColor rgb="FFFFFF0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
      <patternFill patternType="solid">
        <fgColor theme="7" tint="0.39997558519241921"/>
        <bgColor indexed="64"/>
      </patternFill>
    </fill>
    <fill>
      <patternFill patternType="solid">
        <fgColor rgb="FFFFC000"/>
        <bgColor indexed="64"/>
      </patternFill>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165" fontId="2" fillId="0" borderId="0" applyFont="0" applyFill="0" applyBorder="0" applyAlignment="0" applyProtection="0"/>
    <xf numFmtId="0" fontId="3" fillId="0" borderId="0"/>
    <xf numFmtId="9" fontId="2" fillId="0" borderId="0" applyFont="0" applyFill="0" applyBorder="0" applyAlignment="0" applyProtection="0"/>
    <xf numFmtId="164" fontId="9" fillId="0" borderId="0" applyFont="0" applyFill="0" applyBorder="0" applyAlignment="0" applyProtection="0"/>
    <xf numFmtId="0" fontId="1" fillId="0" borderId="0"/>
    <xf numFmtId="164" fontId="2" fillId="0" borderId="0" applyFont="0" applyFill="0" applyBorder="0" applyAlignment="0" applyProtection="0"/>
  </cellStyleXfs>
  <cellXfs count="1085">
    <xf numFmtId="0" fontId="0" fillId="0" borderId="0" xfId="0"/>
    <xf numFmtId="0" fontId="4" fillId="0" borderId="0" xfId="0" applyFont="1"/>
    <xf numFmtId="0" fontId="5" fillId="0" borderId="0" xfId="0" applyFont="1"/>
    <xf numFmtId="0" fontId="6" fillId="0" borderId="1" xfId="0" applyFont="1" applyFill="1" applyBorder="1" applyAlignment="1">
      <alignment horizontal="left" vertical="top" wrapText="1"/>
    </xf>
    <xf numFmtId="0" fontId="6" fillId="0" borderId="1" xfId="0" applyFont="1" applyBorder="1" applyAlignment="1">
      <alignment vertical="top" wrapText="1"/>
    </xf>
    <xf numFmtId="0" fontId="4" fillId="0" borderId="1" xfId="0" applyFont="1" applyBorder="1" applyAlignment="1">
      <alignment wrapText="1"/>
    </xf>
    <xf numFmtId="0" fontId="5" fillId="0" borderId="0" xfId="0" applyFont="1" applyFill="1"/>
    <xf numFmtId="0" fontId="8" fillId="2" borderId="1" xfId="0" applyFont="1" applyFill="1" applyBorder="1" applyAlignment="1">
      <alignment horizontal="center" wrapText="1"/>
    </xf>
    <xf numFmtId="0" fontId="8" fillId="0" borderId="1" xfId="0" applyFont="1" applyBorder="1" applyAlignment="1">
      <alignment wrapText="1"/>
    </xf>
    <xf numFmtId="0" fontId="8" fillId="2" borderId="1" xfId="0" applyFont="1" applyFill="1" applyBorder="1" applyAlignment="1">
      <alignment wrapText="1"/>
    </xf>
    <xf numFmtId="0" fontId="8" fillId="2" borderId="1" xfId="0" applyFont="1" applyFill="1" applyBorder="1" applyAlignment="1">
      <alignment horizontal="right"/>
    </xf>
    <xf numFmtId="0" fontId="4" fillId="0" borderId="0" xfId="0" applyFont="1" applyBorder="1"/>
    <xf numFmtId="0" fontId="12" fillId="0" borderId="0" xfId="0" applyFont="1" applyBorder="1"/>
    <xf numFmtId="0" fontId="13" fillId="0" borderId="1" xfId="0" applyFont="1" applyBorder="1" applyAlignment="1">
      <alignment wrapText="1"/>
    </xf>
    <xf numFmtId="0" fontId="4" fillId="0" borderId="12" xfId="0" applyFont="1" applyBorder="1"/>
    <xf numFmtId="0" fontId="4" fillId="0" borderId="10" xfId="0" applyFont="1" applyBorder="1"/>
    <xf numFmtId="0" fontId="5" fillId="0" borderId="6" xfId="0" applyFont="1" applyBorder="1"/>
    <xf numFmtId="0" fontId="5" fillId="0" borderId="7" xfId="0" applyFont="1" applyBorder="1"/>
    <xf numFmtId="0" fontId="8" fillId="2" borderId="13" xfId="0" applyFont="1" applyFill="1" applyBorder="1" applyAlignment="1">
      <alignment horizontal="center" wrapText="1"/>
    </xf>
    <xf numFmtId="166" fontId="13" fillId="0" borderId="1" xfId="1" applyNumberFormat="1" applyFont="1" applyBorder="1"/>
    <xf numFmtId="0" fontId="4" fillId="0" borderId="7" xfId="0" applyFont="1" applyBorder="1"/>
    <xf numFmtId="0" fontId="8" fillId="8" borderId="1" xfId="0" applyFont="1" applyFill="1" applyBorder="1" applyAlignment="1">
      <alignment wrapText="1"/>
    </xf>
    <xf numFmtId="0" fontId="4" fillId="9" borderId="1" xfId="0" applyFont="1" applyFill="1" applyBorder="1"/>
    <xf numFmtId="0" fontId="15" fillId="14" borderId="1" xfId="0" applyFont="1" applyFill="1" applyBorder="1"/>
    <xf numFmtId="165" fontId="15" fillId="14" borderId="1" xfId="1" applyFont="1" applyFill="1" applyBorder="1" applyAlignment="1">
      <alignment horizontal="center"/>
    </xf>
    <xf numFmtId="0" fontId="15" fillId="15" borderId="1" xfId="0" applyFont="1" applyFill="1" applyBorder="1" applyAlignment="1">
      <alignment vertical="center"/>
    </xf>
    <xf numFmtId="166" fontId="6" fillId="15" borderId="1" xfId="1" applyNumberFormat="1" applyFont="1" applyFill="1" applyBorder="1" applyAlignment="1">
      <alignment horizontal="center" vertical="center"/>
    </xf>
    <xf numFmtId="166" fontId="8" fillId="15" borderId="1" xfId="1" applyNumberFormat="1" applyFont="1" applyFill="1" applyBorder="1" applyAlignment="1">
      <alignment horizontal="center" vertical="center"/>
    </xf>
    <xf numFmtId="0" fontId="15" fillId="12" borderId="1" xfId="0" applyFont="1" applyFill="1" applyBorder="1" applyAlignment="1">
      <alignment vertical="center"/>
    </xf>
    <xf numFmtId="166" fontId="6" fillId="12" borderId="1" xfId="1" applyNumberFormat="1" applyFont="1" applyFill="1" applyBorder="1" applyAlignment="1">
      <alignment horizontal="center" vertical="center"/>
    </xf>
    <xf numFmtId="0" fontId="15" fillId="4" borderId="1" xfId="0" applyFont="1" applyFill="1" applyBorder="1" applyAlignment="1">
      <alignment vertical="center"/>
    </xf>
    <xf numFmtId="166" fontId="6" fillId="4" borderId="1" xfId="1" applyNumberFormat="1" applyFont="1" applyFill="1" applyBorder="1" applyAlignment="1">
      <alignment horizontal="center" vertical="center"/>
    </xf>
    <xf numFmtId="166" fontId="8" fillId="4" borderId="1" xfId="1" applyNumberFormat="1" applyFont="1" applyFill="1" applyBorder="1" applyAlignment="1">
      <alignment horizontal="center" vertical="center"/>
    </xf>
    <xf numFmtId="0" fontId="4" fillId="8" borderId="1" xfId="0" applyFont="1" applyFill="1" applyBorder="1"/>
    <xf numFmtId="164" fontId="4" fillId="8" borderId="1" xfId="0" applyNumberFormat="1" applyFont="1" applyFill="1" applyBorder="1"/>
    <xf numFmtId="0" fontId="15" fillId="14" borderId="1" xfId="0" applyFont="1" applyFill="1" applyBorder="1" applyAlignment="1"/>
    <xf numFmtId="166" fontId="6" fillId="15" borderId="1" xfId="1" applyNumberFormat="1" applyFont="1" applyFill="1" applyBorder="1" applyAlignment="1">
      <alignment vertical="center"/>
    </xf>
    <xf numFmtId="166" fontId="6" fillId="12" borderId="1" xfId="1" applyNumberFormat="1" applyFont="1" applyFill="1" applyBorder="1" applyAlignment="1">
      <alignment vertical="center"/>
    </xf>
    <xf numFmtId="166" fontId="6" fillId="4" borderId="1" xfId="1" applyNumberFormat="1" applyFont="1" applyFill="1" applyBorder="1" applyAlignment="1">
      <alignment vertical="center"/>
    </xf>
    <xf numFmtId="0" fontId="17" fillId="14" borderId="1" xfId="0" applyFont="1" applyFill="1" applyBorder="1" applyAlignment="1">
      <alignment wrapText="1"/>
    </xf>
    <xf numFmtId="0" fontId="17" fillId="14" borderId="1" xfId="0" applyFont="1" applyFill="1" applyBorder="1" applyAlignment="1">
      <alignment horizontal="center" vertical="center" wrapText="1"/>
    </xf>
    <xf numFmtId="0" fontId="17" fillId="14" borderId="1" xfId="0" applyFont="1" applyFill="1" applyBorder="1" applyAlignment="1">
      <alignment horizontal="center" wrapText="1"/>
    </xf>
    <xf numFmtId="0" fontId="0" fillId="0" borderId="1" xfId="0" applyFont="1" applyBorder="1" applyAlignment="1">
      <alignment wrapText="1"/>
    </xf>
    <xf numFmtId="166" fontId="0" fillId="0" borderId="1" xfId="1" applyNumberFormat="1" applyFont="1" applyBorder="1" applyAlignment="1">
      <alignment vertical="center" wrapText="1"/>
    </xf>
    <xf numFmtId="9" fontId="0" fillId="0" borderId="1" xfId="3" applyFont="1" applyBorder="1" applyAlignment="1">
      <alignment vertical="center" wrapText="1"/>
    </xf>
    <xf numFmtId="9" fontId="18" fillId="0" borderId="1" xfId="3" applyFont="1" applyBorder="1" applyAlignment="1">
      <alignment vertical="center" wrapText="1"/>
    </xf>
    <xf numFmtId="166" fontId="0" fillId="0" borderId="1" xfId="0" applyNumberFormat="1" applyFont="1" applyBorder="1" applyAlignment="1">
      <alignment vertical="center" wrapText="1"/>
    </xf>
    <xf numFmtId="0" fontId="17" fillId="0" borderId="1" xfId="0" applyFont="1" applyBorder="1" applyAlignment="1">
      <alignment wrapText="1"/>
    </xf>
    <xf numFmtId="166" fontId="17" fillId="0" borderId="1" xfId="0" applyNumberFormat="1" applyFont="1" applyBorder="1" applyAlignment="1">
      <alignment wrapText="1"/>
    </xf>
    <xf numFmtId="9" fontId="17" fillId="0" borderId="1" xfId="3" applyFont="1" applyBorder="1" applyAlignment="1">
      <alignment wrapText="1"/>
    </xf>
    <xf numFmtId="9" fontId="17" fillId="0" borderId="1" xfId="0" applyNumberFormat="1" applyFont="1" applyBorder="1" applyAlignment="1">
      <alignment wrapText="1"/>
    </xf>
    <xf numFmtId="166" fontId="17" fillId="0" borderId="1" xfId="1" applyNumberFormat="1" applyFont="1" applyBorder="1" applyAlignment="1">
      <alignment wrapText="1"/>
    </xf>
    <xf numFmtId="9" fontId="0" fillId="0" borderId="1" xfId="3" applyFont="1" applyBorder="1" applyAlignment="1">
      <alignment wrapText="1"/>
    </xf>
    <xf numFmtId="0" fontId="5" fillId="0" borderId="0" xfId="0" applyFont="1" applyFill="1" applyBorder="1"/>
    <xf numFmtId="166" fontId="4" fillId="0" borderId="0" xfId="1" applyNumberFormat="1" applyFont="1" applyBorder="1"/>
    <xf numFmtId="166" fontId="4" fillId="0" borderId="0" xfId="1" applyNumberFormat="1" applyFont="1"/>
    <xf numFmtId="166" fontId="4" fillId="0" borderId="0" xfId="1" applyNumberFormat="1" applyFont="1" applyFill="1" applyBorder="1"/>
    <xf numFmtId="166" fontId="4" fillId="0" borderId="0" xfId="1" applyNumberFormat="1" applyFont="1" applyFill="1"/>
    <xf numFmtId="166" fontId="22" fillId="0" borderId="1" xfId="1" applyNumberFormat="1" applyFont="1" applyFill="1" applyBorder="1" applyAlignment="1">
      <alignment horizontal="right" vertical="center"/>
    </xf>
    <xf numFmtId="166" fontId="26" fillId="10" borderId="16" xfId="1" applyNumberFormat="1" applyFont="1" applyFill="1" applyBorder="1" applyAlignment="1">
      <alignment horizontal="left"/>
    </xf>
    <xf numFmtId="0" fontId="10" fillId="0" borderId="0" xfId="0" applyFont="1"/>
    <xf numFmtId="0" fontId="4" fillId="0" borderId="0" xfId="0" applyFont="1" applyAlignment="1">
      <alignment horizontal="right"/>
    </xf>
    <xf numFmtId="0" fontId="23" fillId="0" borderId="0" xfId="0" applyFont="1"/>
    <xf numFmtId="0" fontId="22" fillId="0" borderId="0" xfId="0" applyFont="1"/>
    <xf numFmtId="0" fontId="26" fillId="10" borderId="1" xfId="0" applyFont="1" applyFill="1" applyBorder="1" applyAlignment="1">
      <alignment horizontal="left" vertical="top" wrapText="1"/>
    </xf>
    <xf numFmtId="39" fontId="26" fillId="10" borderId="1" xfId="1" applyNumberFormat="1" applyFont="1" applyFill="1" applyBorder="1" applyAlignment="1">
      <alignment horizontal="left"/>
    </xf>
    <xf numFmtId="0" fontId="22" fillId="13" borderId="0" xfId="0" applyFont="1" applyFill="1"/>
    <xf numFmtId="0" fontId="22" fillId="13" borderId="0" xfId="0" applyFont="1" applyFill="1" applyAlignment="1">
      <alignment horizontal="left"/>
    </xf>
    <xf numFmtId="0" fontId="22" fillId="5" borderId="1" xfId="0" applyFont="1" applyFill="1" applyBorder="1" applyAlignment="1">
      <alignment horizontal="left" vertical="center"/>
    </xf>
    <xf numFmtId="0" fontId="22" fillId="5" borderId="1" xfId="0" applyFont="1" applyFill="1" applyBorder="1" applyAlignment="1">
      <alignment horizontal="center" vertical="center" wrapText="1"/>
    </xf>
    <xf numFmtId="0" fontId="23" fillId="6" borderId="1" xfId="0" applyFont="1" applyFill="1" applyBorder="1" applyAlignment="1">
      <alignment vertical="top" wrapText="1"/>
    </xf>
    <xf numFmtId="39" fontId="22" fillId="6" borderId="1" xfId="0" applyNumberFormat="1" applyFont="1" applyFill="1" applyBorder="1"/>
    <xf numFmtId="0" fontId="22" fillId="6" borderId="1" xfId="0" applyFont="1" applyFill="1" applyBorder="1" applyAlignment="1">
      <alignment horizontal="left" vertical="center"/>
    </xf>
    <xf numFmtId="9" fontId="23" fillId="0" borderId="0" xfId="3" applyFont="1"/>
    <xf numFmtId="166" fontId="26" fillId="10" borderId="1" xfId="1" applyNumberFormat="1" applyFont="1" applyFill="1" applyBorder="1" applyAlignment="1">
      <alignment horizontal="left"/>
    </xf>
    <xf numFmtId="166" fontId="26" fillId="10" borderId="1" xfId="1" applyNumberFormat="1" applyFont="1" applyFill="1" applyBorder="1" applyAlignment="1">
      <alignment horizontal="right"/>
    </xf>
    <xf numFmtId="166" fontId="22" fillId="6" borderId="1" xfId="1" applyNumberFormat="1" applyFont="1" applyFill="1" applyBorder="1"/>
    <xf numFmtId="167" fontId="23" fillId="0" borderId="1" xfId="1" applyNumberFormat="1" applyFont="1" applyBorder="1" applyAlignment="1">
      <alignment horizontal="center" wrapText="1"/>
    </xf>
    <xf numFmtId="166" fontId="23" fillId="0" borderId="1" xfId="1" applyNumberFormat="1" applyFont="1" applyBorder="1" applyAlignment="1">
      <alignment horizontal="center" wrapText="1"/>
    </xf>
    <xf numFmtId="166" fontId="23" fillId="0" borderId="1" xfId="1" applyNumberFormat="1" applyFont="1" applyBorder="1" applyAlignment="1">
      <alignment horizontal="right" vertical="center"/>
    </xf>
    <xf numFmtId="0" fontId="23" fillId="0" borderId="1" xfId="0" applyFont="1" applyBorder="1" applyAlignment="1">
      <alignment horizontal="right" vertical="center"/>
    </xf>
    <xf numFmtId="0" fontId="22" fillId="0" borderId="1" xfId="0" applyFont="1" applyFill="1" applyBorder="1" applyAlignment="1">
      <alignment horizontal="right" vertical="center"/>
    </xf>
    <xf numFmtId="0" fontId="22" fillId="10" borderId="1" xfId="0" applyFont="1" applyFill="1" applyBorder="1" applyAlignment="1">
      <alignment horizontal="left" vertical="center"/>
    </xf>
    <xf numFmtId="0" fontId="27" fillId="0" borderId="0" xfId="0" applyFont="1" applyFill="1" applyBorder="1" applyAlignment="1">
      <alignment horizontal="center"/>
    </xf>
    <xf numFmtId="0" fontId="10" fillId="0" borderId="0" xfId="0" applyFont="1" applyAlignment="1">
      <alignment horizontal="right"/>
    </xf>
    <xf numFmtId="166" fontId="11" fillId="0" borderId="0" xfId="0" applyNumberFormat="1" applyFont="1" applyAlignment="1">
      <alignment horizontal="right"/>
    </xf>
    <xf numFmtId="0" fontId="22" fillId="5" borderId="1" xfId="0" applyFont="1" applyFill="1" applyBorder="1" applyAlignment="1">
      <alignment horizontal="right" vertical="center"/>
    </xf>
    <xf numFmtId="166" fontId="22" fillId="5" borderId="1" xfId="1" applyNumberFormat="1" applyFont="1" applyFill="1" applyBorder="1" applyAlignment="1">
      <alignment horizontal="right" vertical="center" wrapText="1"/>
    </xf>
    <xf numFmtId="166" fontId="22" fillId="0" borderId="1" xfId="1" applyNumberFormat="1" applyFont="1" applyFill="1" applyBorder="1" applyAlignment="1">
      <alignment horizontal="right"/>
    </xf>
    <xf numFmtId="166" fontId="11" fillId="0" borderId="0" xfId="1" applyNumberFormat="1" applyFont="1" applyBorder="1" applyAlignment="1">
      <alignment horizontal="center"/>
    </xf>
    <xf numFmtId="0" fontId="4" fillId="0" borderId="0" xfId="0" applyFont="1" applyFill="1" applyBorder="1" applyAlignment="1">
      <alignment vertical="top"/>
    </xf>
    <xf numFmtId="0" fontId="12" fillId="0" borderId="0" xfId="0" applyFont="1" applyBorder="1" applyAlignment="1">
      <alignment vertical="top"/>
    </xf>
    <xf numFmtId="166" fontId="22" fillId="10" borderId="15" xfId="1" applyNumberFormat="1" applyFont="1" applyFill="1" applyBorder="1" applyAlignment="1">
      <alignment horizontal="left" vertical="top"/>
    </xf>
    <xf numFmtId="0" fontId="4" fillId="0" borderId="0" xfId="0" applyFont="1" applyFill="1" applyAlignment="1">
      <alignment vertical="top"/>
    </xf>
    <xf numFmtId="0" fontId="23" fillId="0" borderId="0" xfId="0" applyNumberFormat="1" applyFont="1" applyAlignment="1">
      <alignment vertical="top"/>
    </xf>
    <xf numFmtId="0" fontId="22" fillId="0" borderId="1" xfId="0" applyNumberFormat="1" applyFont="1" applyFill="1" applyBorder="1" applyAlignment="1">
      <alignment horizontal="right" vertical="top"/>
    </xf>
    <xf numFmtId="166" fontId="4" fillId="13" borderId="1" xfId="1" applyNumberFormat="1" applyFont="1" applyFill="1" applyBorder="1" applyAlignment="1">
      <alignment horizontal="right" vertical="top"/>
    </xf>
    <xf numFmtId="0" fontId="4" fillId="0" borderId="0" xfId="0" applyFont="1" applyFill="1" applyBorder="1" applyAlignment="1">
      <alignment horizontal="right" vertical="top"/>
    </xf>
    <xf numFmtId="0" fontId="4" fillId="0" borderId="0" xfId="0" applyFont="1" applyAlignment="1">
      <alignment horizontal="right" vertical="top"/>
    </xf>
    <xf numFmtId="166" fontId="23" fillId="0" borderId="13" xfId="1" applyNumberFormat="1" applyFont="1" applyFill="1" applyBorder="1" applyAlignment="1">
      <alignment horizontal="right" vertical="top"/>
    </xf>
    <xf numFmtId="166" fontId="10" fillId="0" borderId="0" xfId="0" applyNumberFormat="1" applyFont="1" applyFill="1" applyAlignment="1">
      <alignment vertical="top"/>
    </xf>
    <xf numFmtId="166" fontId="11" fillId="0" borderId="0" xfId="0" applyNumberFormat="1" applyFont="1" applyBorder="1" applyAlignment="1">
      <alignment vertical="top"/>
    </xf>
    <xf numFmtId="0" fontId="4" fillId="0" borderId="0" xfId="0" applyFont="1" applyAlignment="1">
      <alignment horizontal="left" vertical="top"/>
    </xf>
    <xf numFmtId="0" fontId="23" fillId="0" borderId="1" xfId="0" applyFont="1" applyBorder="1" applyAlignment="1">
      <alignment horizontal="left" vertical="top"/>
    </xf>
    <xf numFmtId="0" fontId="22" fillId="13" borderId="0" xfId="0" applyFont="1" applyFill="1" applyAlignment="1">
      <alignment horizontal="left" vertical="top"/>
    </xf>
    <xf numFmtId="0" fontId="23" fillId="6" borderId="1" xfId="0" applyFont="1" applyFill="1" applyBorder="1" applyAlignment="1">
      <alignment horizontal="left" vertical="top" wrapText="1"/>
    </xf>
    <xf numFmtId="0" fontId="22" fillId="6" borderId="1" xfId="0" applyFont="1" applyFill="1" applyBorder="1" applyAlignment="1">
      <alignment horizontal="left" vertical="top"/>
    </xf>
    <xf numFmtId="0" fontId="23" fillId="0" borderId="0" xfId="0" applyFont="1" applyAlignment="1">
      <alignment horizontal="left" vertical="top"/>
    </xf>
    <xf numFmtId="0" fontId="22" fillId="5" borderId="1" xfId="0" applyNumberFormat="1" applyFont="1" applyFill="1" applyBorder="1" applyAlignment="1">
      <alignment horizontal="center" vertical="center" wrapText="1"/>
    </xf>
    <xf numFmtId="0" fontId="23" fillId="0" borderId="1" xfId="0" applyNumberFormat="1" applyFont="1" applyBorder="1" applyAlignment="1">
      <alignment horizontal="right" vertical="center" wrapText="1"/>
    </xf>
    <xf numFmtId="0" fontId="26" fillId="10" borderId="17" xfId="1" applyNumberFormat="1" applyFont="1" applyFill="1" applyBorder="1" applyAlignment="1">
      <alignment horizontal="left" wrapText="1"/>
    </xf>
    <xf numFmtId="0" fontId="22" fillId="13" borderId="0" xfId="0" applyNumberFormat="1" applyFont="1" applyFill="1" applyAlignment="1">
      <alignment wrapText="1"/>
    </xf>
    <xf numFmtId="0" fontId="26" fillId="10" borderId="1" xfId="1" applyNumberFormat="1" applyFont="1" applyFill="1" applyBorder="1" applyAlignment="1">
      <alignment horizontal="left" wrapText="1"/>
    </xf>
    <xf numFmtId="0" fontId="23" fillId="0" borderId="0" xfId="0" applyNumberFormat="1" applyFont="1" applyAlignment="1">
      <alignment wrapText="1"/>
    </xf>
    <xf numFmtId="0" fontId="23"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0" xfId="0" applyFont="1" applyAlignment="1">
      <alignment horizontal="left" vertical="top" wrapText="1"/>
    </xf>
    <xf numFmtId="166" fontId="22" fillId="10" borderId="15" xfId="1" applyNumberFormat="1" applyFont="1" applyFill="1" applyBorder="1" applyAlignment="1">
      <alignment horizontal="left" vertical="top" wrapText="1"/>
    </xf>
    <xf numFmtId="0" fontId="22" fillId="13" borderId="0" xfId="0" applyFont="1" applyFill="1" applyAlignment="1">
      <alignment horizontal="left" vertical="top" wrapText="1"/>
    </xf>
    <xf numFmtId="0" fontId="22" fillId="10" borderId="1" xfId="0" applyFont="1" applyFill="1" applyBorder="1" applyAlignment="1">
      <alignment horizontal="left" vertical="top" wrapText="1"/>
    </xf>
    <xf numFmtId="166" fontId="26" fillId="10" borderId="2" xfId="1" applyNumberFormat="1" applyFont="1" applyFill="1" applyBorder="1" applyAlignment="1">
      <alignment horizontal="left"/>
    </xf>
    <xf numFmtId="166" fontId="22" fillId="5" borderId="2" xfId="1" applyNumberFormat="1" applyFont="1" applyFill="1" applyBorder="1" applyAlignment="1">
      <alignment horizontal="center" vertical="center" wrapText="1"/>
    </xf>
    <xf numFmtId="166" fontId="4" fillId="0" borderId="0" xfId="1" applyNumberFormat="1" applyFont="1" applyFill="1" applyBorder="1" applyAlignment="1">
      <alignment horizontal="right" vertical="top"/>
    </xf>
    <xf numFmtId="166" fontId="4" fillId="0" borderId="0" xfId="1" applyNumberFormat="1" applyFont="1" applyFill="1" applyAlignment="1">
      <alignment horizontal="right" vertical="top"/>
    </xf>
    <xf numFmtId="0" fontId="23" fillId="0" borderId="7" xfId="0" applyFont="1" applyBorder="1" applyAlignment="1">
      <alignment horizontal="right" vertical="center"/>
    </xf>
    <xf numFmtId="0" fontId="22" fillId="0" borderId="7" xfId="0" applyFont="1" applyBorder="1" applyAlignment="1">
      <alignment horizontal="right" vertical="center"/>
    </xf>
    <xf numFmtId="0" fontId="23" fillId="0" borderId="1" xfId="0" applyFont="1" applyBorder="1" applyAlignment="1">
      <alignment vertical="top"/>
    </xf>
    <xf numFmtId="0" fontId="23" fillId="0" borderId="7" xfId="0" applyFont="1" applyBorder="1" applyAlignment="1">
      <alignment horizontal="left" vertical="center"/>
    </xf>
    <xf numFmtId="166" fontId="22" fillId="0" borderId="0" xfId="1" applyNumberFormat="1" applyFont="1" applyFill="1" applyAlignment="1">
      <alignment vertical="top"/>
    </xf>
    <xf numFmtId="0" fontId="22" fillId="13" borderId="0" xfId="0" applyFont="1" applyFill="1" applyAlignment="1">
      <alignment vertical="top"/>
    </xf>
    <xf numFmtId="0" fontId="22" fillId="0" borderId="1" xfId="0" applyFont="1" applyFill="1" applyBorder="1" applyAlignment="1">
      <alignment horizontal="right" vertical="top"/>
    </xf>
    <xf numFmtId="0" fontId="22" fillId="0" borderId="1" xfId="0" applyFont="1" applyFill="1" applyBorder="1" applyAlignment="1">
      <alignment vertical="top"/>
    </xf>
    <xf numFmtId="0" fontId="22" fillId="0" borderId="0" xfId="0" applyFont="1" applyFill="1" applyBorder="1" applyAlignment="1">
      <alignment horizontal="right" vertical="center"/>
    </xf>
    <xf numFmtId="0" fontId="23" fillId="0" borderId="0" xfId="0" applyFont="1" applyFill="1" applyAlignment="1">
      <alignment vertical="top"/>
    </xf>
    <xf numFmtId="0" fontId="23" fillId="0" borderId="0" xfId="0" applyFont="1" applyBorder="1" applyAlignment="1">
      <alignment vertical="top"/>
    </xf>
    <xf numFmtId="9" fontId="0" fillId="0" borderId="1" xfId="3" applyNumberFormat="1" applyFont="1" applyBorder="1" applyAlignment="1">
      <alignment vertical="center" wrapText="1"/>
    </xf>
    <xf numFmtId="0" fontId="4" fillId="0" borderId="1" xfId="0" applyFont="1" applyFill="1" applyBorder="1" applyAlignment="1">
      <alignment horizontal="left" vertical="top"/>
    </xf>
    <xf numFmtId="166" fontId="23" fillId="0" borderId="1" xfId="1" applyNumberFormat="1" applyFont="1" applyBorder="1" applyAlignment="1">
      <alignment horizontal="center" vertical="top" wrapText="1"/>
    </xf>
    <xf numFmtId="166" fontId="23" fillId="0" borderId="1" xfId="1" applyNumberFormat="1" applyFont="1" applyBorder="1" applyAlignment="1">
      <alignment horizontal="left" vertical="top" wrapText="1" indent="1"/>
    </xf>
    <xf numFmtId="0" fontId="5" fillId="0" borderId="5" xfId="0" applyFont="1" applyBorder="1"/>
    <xf numFmtId="0" fontId="4" fillId="0" borderId="28" xfId="0" applyFont="1" applyBorder="1"/>
    <xf numFmtId="0" fontId="4" fillId="0" borderId="6" xfId="0" applyFont="1" applyBorder="1"/>
    <xf numFmtId="0" fontId="4" fillId="0" borderId="9" xfId="0" applyFont="1" applyBorder="1"/>
    <xf numFmtId="0" fontId="23" fillId="9" borderId="1" xfId="0" applyFont="1" applyFill="1" applyBorder="1"/>
    <xf numFmtId="9" fontId="23" fillId="9" borderId="1" xfId="3" applyFont="1" applyFill="1" applyBorder="1"/>
    <xf numFmtId="0" fontId="4" fillId="0" borderId="1" xfId="0" applyFont="1" applyFill="1" applyBorder="1"/>
    <xf numFmtId="0" fontId="10" fillId="0" borderId="0" xfId="0" applyFont="1" applyFill="1" applyAlignment="1">
      <alignment horizontal="right" vertical="top"/>
    </xf>
    <xf numFmtId="0" fontId="23" fillId="0" borderId="0" xfId="0" applyFont="1" applyBorder="1" applyAlignment="1">
      <alignment horizontal="left" vertical="top"/>
    </xf>
    <xf numFmtId="0" fontId="22" fillId="10" borderId="1" xfId="0" applyFont="1" applyFill="1" applyBorder="1" applyAlignment="1">
      <alignment horizontal="left" vertical="top"/>
    </xf>
    <xf numFmtId="0" fontId="22" fillId="10" borderId="1" xfId="0" applyFont="1" applyFill="1" applyBorder="1" applyAlignment="1">
      <alignment vertical="top"/>
    </xf>
    <xf numFmtId="39" fontId="26" fillId="10" borderId="3" xfId="1" applyNumberFormat="1" applyFont="1" applyFill="1" applyBorder="1" applyAlignment="1">
      <alignment horizontal="right" vertical="top"/>
    </xf>
    <xf numFmtId="0" fontId="4" fillId="0" borderId="0" xfId="0" applyFont="1"/>
    <xf numFmtId="0" fontId="5" fillId="0" borderId="0" xfId="0" applyFont="1"/>
    <xf numFmtId="0" fontId="4" fillId="0" borderId="0" xfId="0" applyFont="1" applyFill="1"/>
    <xf numFmtId="0" fontId="6" fillId="0" borderId="1" xfId="0" applyFont="1" applyFill="1" applyBorder="1" applyAlignment="1">
      <alignment horizontal="left" vertical="top" wrapText="1"/>
    </xf>
    <xf numFmtId="0" fontId="4" fillId="0" borderId="1" xfId="0" applyFont="1" applyBorder="1" applyAlignment="1">
      <alignment wrapText="1"/>
    </xf>
    <xf numFmtId="0" fontId="4" fillId="0" borderId="0" xfId="0" applyFont="1" applyBorder="1"/>
    <xf numFmtId="0" fontId="4" fillId="0" borderId="0" xfId="0" applyFont="1" applyFill="1" applyBorder="1"/>
    <xf numFmtId="0" fontId="4" fillId="0" borderId="12" xfId="0" applyFont="1" applyBorder="1"/>
    <xf numFmtId="0" fontId="4" fillId="0" borderId="10" xfId="0" applyFont="1" applyBorder="1"/>
    <xf numFmtId="0" fontId="4" fillId="0" borderId="7" xfId="0" applyFont="1" applyBorder="1"/>
    <xf numFmtId="166" fontId="4" fillId="0" borderId="1" xfId="1" applyNumberFormat="1" applyFont="1" applyBorder="1" applyAlignment="1">
      <alignment vertical="top" wrapText="1"/>
    </xf>
    <xf numFmtId="166" fontId="4" fillId="0" borderId="0" xfId="1" applyNumberFormat="1" applyFont="1" applyBorder="1"/>
    <xf numFmtId="166" fontId="4" fillId="0" borderId="0" xfId="1" applyNumberFormat="1" applyFont="1"/>
    <xf numFmtId="166" fontId="4" fillId="0" borderId="0" xfId="1" applyNumberFormat="1" applyFont="1" applyFill="1" applyBorder="1"/>
    <xf numFmtId="166" fontId="4" fillId="0" borderId="0" xfId="1" applyNumberFormat="1" applyFont="1" applyFill="1"/>
    <xf numFmtId="0" fontId="14" fillId="0" borderId="0" xfId="0" applyFont="1" applyFill="1" applyBorder="1" applyAlignment="1">
      <alignment horizontal="center"/>
    </xf>
    <xf numFmtId="0" fontId="21" fillId="0" borderId="0" xfId="0" applyFont="1" applyFill="1" applyBorder="1" applyAlignment="1">
      <alignment horizontal="center"/>
    </xf>
    <xf numFmtId="166" fontId="24" fillId="0" borderId="1" xfId="1" applyNumberFormat="1" applyFont="1" applyBorder="1" applyAlignment="1">
      <alignment vertical="top" wrapText="1"/>
    </xf>
    <xf numFmtId="166" fontId="23" fillId="0" borderId="1" xfId="1" applyNumberFormat="1" applyFont="1" applyBorder="1" applyAlignment="1">
      <alignment vertical="top" wrapText="1"/>
    </xf>
    <xf numFmtId="166" fontId="24" fillId="0" borderId="1" xfId="1" applyNumberFormat="1" applyFont="1" applyFill="1" applyBorder="1" applyAlignment="1">
      <alignment vertical="top" wrapText="1"/>
    </xf>
    <xf numFmtId="166" fontId="23" fillId="0" borderId="1" xfId="1" applyNumberFormat="1" applyFont="1" applyFill="1" applyBorder="1" applyAlignment="1">
      <alignment vertical="top" wrapText="1"/>
    </xf>
    <xf numFmtId="0" fontId="23" fillId="0" borderId="0" xfId="0" applyFont="1"/>
    <xf numFmtId="0" fontId="23" fillId="0" borderId="1" xfId="0" applyFont="1" applyBorder="1" applyAlignment="1">
      <alignment vertical="top" wrapText="1"/>
    </xf>
    <xf numFmtId="0" fontId="23" fillId="0" borderId="1" xfId="0" applyFont="1" applyBorder="1" applyAlignment="1">
      <alignment wrapText="1"/>
    </xf>
    <xf numFmtId="0" fontId="22" fillId="0" borderId="0" xfId="0" applyFont="1"/>
    <xf numFmtId="0" fontId="26" fillId="10" borderId="1" xfId="0" applyFont="1" applyFill="1" applyBorder="1" applyAlignment="1">
      <alignment horizontal="left" vertical="top" wrapText="1"/>
    </xf>
    <xf numFmtId="0" fontId="22" fillId="13" borderId="0" xfId="0" applyFont="1" applyFill="1"/>
    <xf numFmtId="0" fontId="22" fillId="13" borderId="0" xfId="0" applyFont="1" applyFill="1" applyAlignment="1">
      <alignment horizontal="left"/>
    </xf>
    <xf numFmtId="0" fontId="22" fillId="5" borderId="1" xfId="0" applyFont="1" applyFill="1" applyBorder="1" applyAlignment="1">
      <alignment vertical="center" wrapText="1"/>
    </xf>
    <xf numFmtId="0" fontId="22" fillId="5" borderId="1" xfId="0" applyFont="1" applyFill="1" applyBorder="1" applyAlignment="1">
      <alignment horizontal="center" vertical="center" wrapText="1"/>
    </xf>
    <xf numFmtId="0" fontId="23" fillId="6" borderId="1" xfId="0" applyFont="1" applyFill="1" applyBorder="1" applyAlignment="1">
      <alignment vertical="top" wrapText="1"/>
    </xf>
    <xf numFmtId="0" fontId="23" fillId="0" borderId="1" xfId="0" applyFont="1" applyFill="1" applyBorder="1" applyAlignment="1">
      <alignment vertical="top" wrapText="1"/>
    </xf>
    <xf numFmtId="0" fontId="22" fillId="0" borderId="0" xfId="0" applyFont="1" applyFill="1"/>
    <xf numFmtId="167" fontId="23" fillId="0" borderId="1" xfId="1" applyNumberFormat="1" applyFont="1" applyBorder="1" applyAlignment="1">
      <alignment horizontal="center" wrapText="1"/>
    </xf>
    <xf numFmtId="166" fontId="23" fillId="0" borderId="1" xfId="1" applyNumberFormat="1" applyFont="1" applyBorder="1" applyAlignment="1">
      <alignment horizontal="center" wrapText="1"/>
    </xf>
    <xf numFmtId="0" fontId="26" fillId="10" borderId="1" xfId="0" applyFont="1" applyFill="1" applyBorder="1" applyAlignment="1">
      <alignment horizontal="right" vertical="top" wrapText="1"/>
    </xf>
    <xf numFmtId="0" fontId="23" fillId="6" borderId="1" xfId="0" applyFont="1" applyFill="1" applyBorder="1" applyAlignment="1">
      <alignment horizontal="right" vertical="top" wrapText="1"/>
    </xf>
    <xf numFmtId="0" fontId="23" fillId="0" borderId="0" xfId="0" applyFont="1" applyFill="1" applyBorder="1"/>
    <xf numFmtId="0" fontId="22" fillId="0" borderId="0" xfId="0" applyFont="1" applyFill="1" applyBorder="1"/>
    <xf numFmtId="0" fontId="23" fillId="0" borderId="1" xfId="0" applyFont="1" applyBorder="1" applyAlignment="1">
      <alignment horizontal="left" vertical="center" wrapText="1"/>
    </xf>
    <xf numFmtId="166" fontId="23" fillId="0" borderId="1" xfId="1" applyNumberFormat="1" applyFont="1" applyBorder="1" applyAlignment="1">
      <alignment horizontal="right" vertical="center"/>
    </xf>
    <xf numFmtId="0" fontId="23" fillId="0" borderId="1" xfId="0" applyFont="1" applyBorder="1" applyAlignment="1">
      <alignment horizontal="right" vertical="center"/>
    </xf>
    <xf numFmtId="0" fontId="23" fillId="0" borderId="0" xfId="0" applyFont="1" applyFill="1" applyBorder="1" applyAlignment="1">
      <alignment horizontal="right" vertical="center"/>
    </xf>
    <xf numFmtId="39" fontId="22" fillId="0" borderId="0" xfId="0" applyNumberFormat="1" applyFont="1" applyFill="1" applyBorder="1"/>
    <xf numFmtId="166" fontId="23" fillId="13" borderId="1" xfId="1" applyNumberFormat="1" applyFont="1" applyFill="1" applyBorder="1" applyAlignment="1">
      <alignment vertical="top"/>
    </xf>
    <xf numFmtId="166" fontId="23" fillId="0" borderId="1" xfId="1" applyNumberFormat="1" applyFont="1" applyFill="1" applyBorder="1" applyAlignment="1">
      <alignment horizontal="right"/>
    </xf>
    <xf numFmtId="166" fontId="23" fillId="0" borderId="0" xfId="1" applyNumberFormat="1" applyFont="1" applyFill="1" applyBorder="1" applyAlignment="1">
      <alignment vertical="top"/>
    </xf>
    <xf numFmtId="166" fontId="23" fillId="0" borderId="1" xfId="1" applyNumberFormat="1" applyFont="1" applyFill="1" applyBorder="1" applyAlignment="1">
      <alignment vertical="top"/>
    </xf>
    <xf numFmtId="166" fontId="22" fillId="0" borderId="1" xfId="1" applyNumberFormat="1" applyFont="1" applyFill="1" applyBorder="1" applyAlignment="1">
      <alignment vertical="top"/>
    </xf>
    <xf numFmtId="166" fontId="22" fillId="0" borderId="0" xfId="1" applyNumberFormat="1" applyFont="1" applyFill="1" applyBorder="1" applyAlignment="1">
      <alignment vertical="top"/>
    </xf>
    <xf numFmtId="0" fontId="23" fillId="0" borderId="13" xfId="1" applyNumberFormat="1" applyFont="1" applyBorder="1" applyAlignment="1">
      <alignment vertical="top"/>
    </xf>
    <xf numFmtId="0" fontId="23" fillId="0" borderId="1" xfId="1" applyNumberFormat="1" applyFont="1" applyBorder="1" applyAlignment="1">
      <alignment vertical="top" wrapText="1"/>
    </xf>
    <xf numFmtId="0" fontId="4" fillId="0" borderId="0" xfId="0" applyFont="1" applyFill="1" applyBorder="1" applyAlignment="1">
      <alignment vertical="top"/>
    </xf>
    <xf numFmtId="0" fontId="4" fillId="0" borderId="0" xfId="0" applyFont="1" applyFill="1" applyAlignment="1">
      <alignment vertical="top"/>
    </xf>
    <xf numFmtId="0" fontId="4" fillId="0" borderId="0" xfId="0" applyFont="1" applyBorder="1" applyAlignment="1">
      <alignment vertical="top"/>
    </xf>
    <xf numFmtId="0" fontId="23" fillId="0" borderId="0" xfId="0" applyNumberFormat="1" applyFont="1" applyAlignment="1">
      <alignment vertical="top"/>
    </xf>
    <xf numFmtId="0" fontId="22" fillId="0" borderId="0" xfId="1" applyNumberFormat="1" applyFont="1" applyFill="1" applyAlignment="1">
      <alignment vertical="top"/>
    </xf>
    <xf numFmtId="0" fontId="22" fillId="13" borderId="0" xfId="0" applyNumberFormat="1" applyFont="1" applyFill="1" applyAlignment="1">
      <alignment vertical="top"/>
    </xf>
    <xf numFmtId="0" fontId="22" fillId="0" borderId="1" xfId="0" applyNumberFormat="1" applyFont="1" applyBorder="1" applyAlignment="1">
      <alignment vertical="top"/>
    </xf>
    <xf numFmtId="0" fontId="23" fillId="0" borderId="1" xfId="1" applyNumberFormat="1" applyFont="1" applyFill="1" applyBorder="1" applyAlignment="1">
      <alignment horizontal="left" vertical="top" wrapText="1"/>
    </xf>
    <xf numFmtId="9" fontId="23" fillId="0" borderId="1" xfId="3" applyFont="1" applyFill="1" applyBorder="1" applyAlignment="1">
      <alignment horizontal="right" vertical="top"/>
    </xf>
    <xf numFmtId="166" fontId="23" fillId="0" borderId="1" xfId="1" applyNumberFormat="1" applyFont="1" applyBorder="1" applyAlignment="1">
      <alignment horizontal="right" vertical="top"/>
    </xf>
    <xf numFmtId="0" fontId="4" fillId="0" borderId="0" xfId="0" applyFont="1" applyFill="1" applyBorder="1" applyAlignment="1">
      <alignment horizontal="right" vertical="top"/>
    </xf>
    <xf numFmtId="0" fontId="4" fillId="0" borderId="0" xfId="0" applyFont="1" applyAlignment="1">
      <alignment horizontal="right" vertical="top"/>
    </xf>
    <xf numFmtId="166" fontId="23" fillId="0" borderId="13" xfId="1" applyNumberFormat="1" applyFont="1" applyBorder="1" applyAlignment="1">
      <alignment horizontal="right" vertical="top"/>
    </xf>
    <xf numFmtId="166" fontId="26" fillId="10" borderId="16" xfId="1" applyNumberFormat="1" applyFont="1" applyFill="1" applyBorder="1" applyAlignment="1">
      <alignment horizontal="right" vertical="top"/>
    </xf>
    <xf numFmtId="0" fontId="23" fillId="0" borderId="1" xfId="0" applyFont="1" applyBorder="1" applyAlignment="1">
      <alignment horizontal="left" vertical="top"/>
    </xf>
    <xf numFmtId="0" fontId="23" fillId="0" borderId="1" xfId="0" applyNumberFormat="1" applyFont="1" applyBorder="1" applyAlignment="1">
      <alignment horizontal="right" vertical="center" wrapText="1"/>
    </xf>
    <xf numFmtId="0" fontId="23" fillId="0" borderId="1" xfId="0" applyFont="1" applyBorder="1" applyAlignment="1">
      <alignment horizontal="left" vertical="top" wrapText="1"/>
    </xf>
    <xf numFmtId="0" fontId="23" fillId="0" borderId="1" xfId="0" applyFont="1" applyFill="1" applyBorder="1" applyAlignment="1">
      <alignment horizontal="left" vertical="top" wrapText="1"/>
    </xf>
    <xf numFmtId="166" fontId="22" fillId="0" borderId="1" xfId="1" applyNumberFormat="1" applyFont="1" applyFill="1" applyBorder="1" applyAlignment="1">
      <alignment horizontal="right" vertical="top"/>
    </xf>
    <xf numFmtId="166" fontId="4" fillId="0" borderId="0" xfId="1" applyNumberFormat="1" applyFont="1" applyFill="1" applyBorder="1" applyAlignment="1">
      <alignment horizontal="right" vertical="top"/>
    </xf>
    <xf numFmtId="166" fontId="4" fillId="0" borderId="0" xfId="1" applyNumberFormat="1" applyFont="1" applyFill="1" applyAlignment="1">
      <alignment horizontal="right" vertical="top"/>
    </xf>
    <xf numFmtId="0" fontId="24" fillId="0" borderId="1" xfId="0" applyFont="1" applyBorder="1" applyAlignment="1">
      <alignment horizontal="right" vertical="top" wrapText="1"/>
    </xf>
    <xf numFmtId="0" fontId="24" fillId="0" borderId="1" xfId="0" applyFont="1" applyBorder="1" applyAlignment="1">
      <alignment vertical="top" wrapText="1"/>
    </xf>
    <xf numFmtId="0" fontId="26" fillId="10" borderId="1" xfId="0" applyFont="1" applyFill="1" applyBorder="1" applyAlignment="1">
      <alignment vertical="top" wrapText="1"/>
    </xf>
    <xf numFmtId="0" fontId="23" fillId="0" borderId="1" xfId="0" applyFont="1" applyBorder="1" applyAlignment="1">
      <alignment vertical="center" wrapText="1"/>
    </xf>
    <xf numFmtId="0" fontId="22" fillId="0" borderId="1" xfId="0" applyFont="1" applyBorder="1" applyAlignment="1">
      <alignment horizontal="left" vertical="center" wrapText="1"/>
    </xf>
    <xf numFmtId="166" fontId="23" fillId="0" borderId="1" xfId="1" applyNumberFormat="1" applyFont="1" applyFill="1" applyBorder="1" applyAlignment="1">
      <alignment horizontal="right" vertical="top"/>
    </xf>
    <xf numFmtId="0" fontId="23" fillId="13" borderId="0" xfId="0" applyFont="1" applyFill="1" applyAlignment="1">
      <alignment vertical="center"/>
    </xf>
    <xf numFmtId="166" fontId="22" fillId="0" borderId="0" xfId="1" applyNumberFormat="1" applyFont="1" applyFill="1" applyAlignment="1">
      <alignment horizontal="right" vertical="top"/>
    </xf>
    <xf numFmtId="166" fontId="22" fillId="0" borderId="0" xfId="1" applyNumberFormat="1" applyFont="1" applyFill="1" applyBorder="1" applyAlignment="1">
      <alignment vertical="center" wrapText="1"/>
    </xf>
    <xf numFmtId="166" fontId="22" fillId="13" borderId="0" xfId="1" applyNumberFormat="1" applyFont="1" applyFill="1" applyAlignment="1">
      <alignment horizontal="right" vertical="top"/>
    </xf>
    <xf numFmtId="0" fontId="22" fillId="13" borderId="0" xfId="0" applyFont="1" applyFill="1" applyAlignment="1">
      <alignment horizontal="right" vertical="top"/>
    </xf>
    <xf numFmtId="39" fontId="26" fillId="0" borderId="1" xfId="1" applyNumberFormat="1" applyFont="1" applyFill="1" applyBorder="1" applyAlignment="1">
      <alignment horizontal="right" vertical="top"/>
    </xf>
    <xf numFmtId="37" fontId="26" fillId="0" borderId="1" xfId="1" applyNumberFormat="1" applyFont="1" applyFill="1" applyBorder="1" applyAlignment="1">
      <alignment horizontal="right" vertical="top"/>
    </xf>
    <xf numFmtId="0" fontId="23" fillId="0" borderId="1" xfId="0" applyFont="1" applyFill="1" applyBorder="1" applyAlignment="1">
      <alignment horizontal="left" vertical="top"/>
    </xf>
    <xf numFmtId="0" fontId="22" fillId="0" borderId="0" xfId="0" applyFont="1" applyBorder="1" applyAlignment="1">
      <alignment horizontal="right" vertical="center"/>
    </xf>
    <xf numFmtId="0" fontId="22" fillId="5" borderId="9" xfId="0" applyFont="1" applyFill="1" applyBorder="1" applyAlignment="1">
      <alignment horizontal="left" vertical="center"/>
    </xf>
    <xf numFmtId="166" fontId="22" fillId="5" borderId="9" xfId="1" applyNumberFormat="1" applyFont="1" applyFill="1" applyBorder="1" applyAlignment="1">
      <alignment horizontal="left" vertical="center"/>
    </xf>
    <xf numFmtId="166" fontId="22" fillId="6" borderId="4" xfId="1" applyNumberFormat="1" applyFont="1" applyFill="1" applyBorder="1"/>
    <xf numFmtId="166" fontId="22" fillId="6" borderId="2" xfId="1" applyNumberFormat="1" applyFont="1" applyFill="1" applyBorder="1"/>
    <xf numFmtId="166" fontId="23" fillId="0" borderId="0" xfId="1" applyNumberFormat="1" applyFont="1" applyFill="1" applyAlignment="1">
      <alignment horizontal="right" vertical="top"/>
    </xf>
    <xf numFmtId="0" fontId="23" fillId="0" borderId="0" xfId="0" applyFont="1" applyAlignment="1">
      <alignment horizontal="right" vertical="top"/>
    </xf>
    <xf numFmtId="9" fontId="23" fillId="0" borderId="0" xfId="3" applyNumberFormat="1" applyFont="1" applyAlignment="1">
      <alignment horizontal="right" vertical="top"/>
    </xf>
    <xf numFmtId="0" fontId="23" fillId="0" borderId="1" xfId="0" applyFont="1" applyFill="1" applyBorder="1" applyAlignment="1">
      <alignment vertical="center" wrapText="1"/>
    </xf>
    <xf numFmtId="0" fontId="23" fillId="0" borderId="1" xfId="0" applyFont="1" applyFill="1" applyBorder="1" applyAlignment="1">
      <alignment horizontal="left" vertical="center" wrapText="1"/>
    </xf>
    <xf numFmtId="166" fontId="24" fillId="13" borderId="13" xfId="1" applyNumberFormat="1" applyFont="1" applyFill="1" applyBorder="1" applyAlignment="1">
      <alignment vertical="top"/>
    </xf>
    <xf numFmtId="166" fontId="24" fillId="0" borderId="13" xfId="1" applyNumberFormat="1" applyFont="1" applyFill="1" applyBorder="1" applyAlignment="1">
      <alignment vertical="top"/>
    </xf>
    <xf numFmtId="166" fontId="23" fillId="0" borderId="13" xfId="1" applyNumberFormat="1" applyFont="1" applyFill="1" applyBorder="1" applyAlignment="1">
      <alignment vertical="top"/>
    </xf>
    <xf numFmtId="166" fontId="23" fillId="0" borderId="0" xfId="1" applyNumberFormat="1" applyFont="1" applyFill="1" applyBorder="1" applyAlignment="1">
      <alignment horizontal="right"/>
    </xf>
    <xf numFmtId="166" fontId="22" fillId="0" borderId="0" xfId="1" applyNumberFormat="1" applyFont="1" applyFill="1" applyBorder="1" applyAlignment="1">
      <alignment horizontal="right"/>
    </xf>
    <xf numFmtId="166" fontId="23" fillId="16" borderId="3" xfId="1" applyNumberFormat="1" applyFont="1" applyFill="1" applyBorder="1" applyAlignment="1">
      <alignment vertical="top"/>
    </xf>
    <xf numFmtId="166" fontId="24" fillId="16" borderId="3" xfId="1" applyNumberFormat="1" applyFont="1" applyFill="1" applyBorder="1" applyAlignment="1">
      <alignment vertical="top" wrapText="1"/>
    </xf>
    <xf numFmtId="166" fontId="23" fillId="16" borderId="3" xfId="1" applyNumberFormat="1" applyFont="1" applyFill="1" applyBorder="1" applyAlignment="1">
      <alignment horizontal="right"/>
    </xf>
    <xf numFmtId="166" fontId="23" fillId="16" borderId="2" xfId="1" applyNumberFormat="1" applyFont="1" applyFill="1" applyBorder="1" applyAlignment="1">
      <alignment horizontal="right"/>
    </xf>
    <xf numFmtId="9" fontId="23" fillId="16" borderId="3" xfId="3" applyFont="1" applyFill="1" applyBorder="1" applyAlignment="1">
      <alignment horizontal="right" vertical="top"/>
    </xf>
    <xf numFmtId="0" fontId="23" fillId="16" borderId="2" xfId="1" applyNumberFormat="1" applyFont="1" applyFill="1" applyBorder="1" applyAlignment="1">
      <alignment vertical="top"/>
    </xf>
    <xf numFmtId="0" fontId="23" fillId="0" borderId="1" xfId="1" applyNumberFormat="1" applyFont="1" applyFill="1" applyBorder="1" applyAlignment="1">
      <alignment vertical="top" wrapText="1"/>
    </xf>
    <xf numFmtId="0" fontId="23" fillId="16" borderId="4" xfId="1" applyNumberFormat="1" applyFont="1" applyFill="1" applyBorder="1" applyAlignment="1">
      <alignment vertical="top"/>
    </xf>
    <xf numFmtId="166" fontId="22" fillId="9" borderId="13" xfId="1" applyNumberFormat="1" applyFont="1" applyFill="1" applyBorder="1" applyAlignment="1">
      <alignment horizontal="left" vertical="top" wrapText="1"/>
    </xf>
    <xf numFmtId="0" fontId="23" fillId="0" borderId="2" xfId="1" applyNumberFormat="1" applyFont="1" applyFill="1" applyBorder="1" applyAlignment="1">
      <alignment vertical="top"/>
    </xf>
    <xf numFmtId="166" fontId="22" fillId="9" borderId="13" xfId="1" applyNumberFormat="1" applyFont="1" applyFill="1" applyBorder="1" applyAlignment="1">
      <alignment vertical="top" wrapText="1"/>
    </xf>
    <xf numFmtId="0" fontId="23" fillId="0" borderId="11" xfId="0" applyFont="1" applyBorder="1" applyAlignment="1">
      <alignment horizontal="left" vertical="top" wrapText="1"/>
    </xf>
    <xf numFmtId="167" fontId="23" fillId="0" borderId="11" xfId="1" applyNumberFormat="1" applyFont="1" applyBorder="1" applyAlignment="1">
      <alignment horizontal="center" wrapText="1"/>
    </xf>
    <xf numFmtId="166" fontId="23" fillId="0" borderId="11" xfId="1" applyNumberFormat="1" applyFont="1" applyBorder="1" applyAlignment="1">
      <alignment horizontal="center" wrapText="1"/>
    </xf>
    <xf numFmtId="166" fontId="23" fillId="0" borderId="11" xfId="1" applyNumberFormat="1" applyFont="1" applyBorder="1" applyAlignment="1">
      <alignment horizontal="right" vertical="center"/>
    </xf>
    <xf numFmtId="0" fontId="23" fillId="0" borderId="11" xfId="0" applyFont="1" applyBorder="1" applyAlignment="1">
      <alignment horizontal="right" vertical="center"/>
    </xf>
    <xf numFmtId="0" fontId="23" fillId="0" borderId="11" xfId="0" applyNumberFormat="1" applyFont="1" applyBorder="1" applyAlignment="1">
      <alignment horizontal="right" vertical="center" wrapText="1"/>
    </xf>
    <xf numFmtId="0" fontId="4" fillId="0" borderId="6" xfId="0" applyFont="1" applyBorder="1"/>
    <xf numFmtId="0" fontId="4" fillId="0" borderId="9" xfId="0" applyFont="1" applyBorder="1"/>
    <xf numFmtId="0" fontId="23" fillId="0" borderId="1" xfId="0" applyFont="1" applyFill="1" applyBorder="1"/>
    <xf numFmtId="0" fontId="22" fillId="0" borderId="1" xfId="0" applyFont="1" applyBorder="1" applyAlignment="1">
      <alignment horizontal="right" vertical="center" wrapText="1"/>
    </xf>
    <xf numFmtId="166" fontId="22" fillId="9" borderId="1" xfId="1" applyNumberFormat="1" applyFont="1" applyFill="1" applyBorder="1" applyAlignment="1">
      <alignment vertical="top" wrapText="1"/>
    </xf>
    <xf numFmtId="9" fontId="22" fillId="0" borderId="1" xfId="3" applyFont="1" applyBorder="1" applyAlignment="1">
      <alignment horizontal="left" vertical="center" wrapText="1"/>
    </xf>
    <xf numFmtId="0" fontId="22" fillId="10" borderId="4" xfId="0" applyFont="1" applyFill="1" applyBorder="1" applyAlignment="1">
      <alignment horizontal="center" vertical="center" wrapText="1"/>
    </xf>
    <xf numFmtId="9" fontId="22" fillId="5" borderId="1" xfId="3" applyFont="1" applyFill="1" applyBorder="1" applyAlignment="1">
      <alignment horizontal="center" vertical="center" wrapText="1"/>
    </xf>
    <xf numFmtId="0" fontId="23" fillId="0" borderId="0" xfId="0" applyFont="1" applyFill="1"/>
    <xf numFmtId="0" fontId="22" fillId="5" borderId="2" xfId="0" applyFont="1" applyFill="1" applyBorder="1" applyAlignment="1">
      <alignment horizontal="center" vertical="center" wrapText="1"/>
    </xf>
    <xf numFmtId="37" fontId="22" fillId="0" borderId="4" xfId="0" applyNumberFormat="1" applyFont="1" applyBorder="1" applyAlignment="1">
      <alignment horizontal="left" vertical="center" wrapText="1"/>
    </xf>
    <xf numFmtId="37" fontId="22" fillId="5" borderId="1" xfId="0" applyNumberFormat="1" applyFont="1" applyFill="1" applyBorder="1" applyAlignment="1">
      <alignment vertical="center" wrapText="1"/>
    </xf>
    <xf numFmtId="0" fontId="4" fillId="0" borderId="1" xfId="0" applyFont="1" applyFill="1" applyBorder="1"/>
    <xf numFmtId="0" fontId="4" fillId="0" borderId="1" xfId="0" applyFont="1" applyFill="1" applyBorder="1" applyAlignment="1">
      <alignment wrapText="1"/>
    </xf>
    <xf numFmtId="9" fontId="26" fillId="10" borderId="17" xfId="3" applyFont="1" applyFill="1" applyBorder="1" applyAlignment="1">
      <alignment horizontal="left" vertical="top"/>
    </xf>
    <xf numFmtId="166" fontId="23" fillId="0" borderId="0" xfId="1" applyNumberFormat="1" applyFont="1" applyFill="1" applyBorder="1" applyAlignment="1">
      <alignment horizontal="right" vertical="top"/>
    </xf>
    <xf numFmtId="39" fontId="26" fillId="0" borderId="0" xfId="1" applyNumberFormat="1" applyFont="1" applyFill="1" applyBorder="1" applyAlignment="1">
      <alignment horizontal="right" vertical="top"/>
    </xf>
    <xf numFmtId="37" fontId="26" fillId="0" borderId="0" xfId="1" applyNumberFormat="1" applyFont="1" applyFill="1" applyBorder="1" applyAlignment="1">
      <alignment horizontal="right" vertical="top"/>
    </xf>
    <xf numFmtId="0" fontId="22" fillId="0" borderId="0" xfId="0" applyNumberFormat="1" applyFont="1" applyBorder="1" applyAlignment="1">
      <alignment vertical="top"/>
    </xf>
    <xf numFmtId="166" fontId="23" fillId="6" borderId="1" xfId="1" applyNumberFormat="1" applyFont="1" applyFill="1" applyBorder="1" applyAlignment="1">
      <alignment vertical="top" wrapText="1"/>
    </xf>
    <xf numFmtId="166" fontId="26" fillId="10" borderId="6" xfId="1" applyNumberFormat="1" applyFont="1" applyFill="1" applyBorder="1" applyAlignment="1">
      <alignment horizontal="left"/>
    </xf>
    <xf numFmtId="166" fontId="26" fillId="10" borderId="5" xfId="1" applyNumberFormat="1" applyFont="1" applyFill="1" applyBorder="1" applyAlignment="1">
      <alignment horizontal="right" vertical="top"/>
    </xf>
    <xf numFmtId="39" fontId="26" fillId="10" borderId="4" xfId="1" applyNumberFormat="1" applyFont="1" applyFill="1" applyBorder="1" applyAlignment="1">
      <alignment horizontal="right" vertical="top"/>
    </xf>
    <xf numFmtId="0" fontId="26" fillId="10" borderId="2" xfId="1" applyNumberFormat="1" applyFont="1" applyFill="1" applyBorder="1" applyAlignment="1">
      <alignment horizontal="left" vertical="top"/>
    </xf>
    <xf numFmtId="0" fontId="22" fillId="6" borderId="4" xfId="0" applyFont="1" applyFill="1" applyBorder="1" applyAlignment="1">
      <alignment horizontal="left" vertical="center"/>
    </xf>
    <xf numFmtId="166" fontId="22" fillId="6" borderId="3" xfId="1" applyNumberFormat="1" applyFont="1" applyFill="1" applyBorder="1" applyAlignment="1">
      <alignment horizontal="left" vertical="center"/>
    </xf>
    <xf numFmtId="0" fontId="22" fillId="6" borderId="3" xfId="0" applyFont="1" applyFill="1" applyBorder="1" applyAlignment="1">
      <alignment horizontal="left" vertical="center"/>
    </xf>
    <xf numFmtId="0" fontId="22" fillId="5" borderId="4" xfId="0" applyFont="1" applyFill="1" applyBorder="1" applyAlignment="1">
      <alignment horizontal="left" vertical="center"/>
    </xf>
    <xf numFmtId="166" fontId="22" fillId="5" borderId="3" xfId="1" applyNumberFormat="1" applyFont="1" applyFill="1" applyBorder="1" applyAlignment="1">
      <alignment horizontal="left" vertical="center"/>
    </xf>
    <xf numFmtId="0" fontId="22" fillId="5" borderId="3" xfId="0" applyFont="1" applyFill="1" applyBorder="1" applyAlignment="1">
      <alignment horizontal="left" vertical="center"/>
    </xf>
    <xf numFmtId="0" fontId="22" fillId="5" borderId="8" xfId="0" applyFont="1" applyFill="1" applyBorder="1" applyAlignment="1">
      <alignment horizontal="left" vertical="center"/>
    </xf>
    <xf numFmtId="166" fontId="22" fillId="5" borderId="2" xfId="1" applyNumberFormat="1" applyFont="1" applyFill="1" applyBorder="1" applyAlignment="1">
      <alignment horizontal="right" vertical="center" wrapText="1"/>
    </xf>
    <xf numFmtId="39" fontId="22" fillId="6" borderId="4" xfId="0" applyNumberFormat="1" applyFont="1" applyFill="1" applyBorder="1" applyAlignment="1">
      <alignment horizontal="right" vertical="top"/>
    </xf>
    <xf numFmtId="39" fontId="22" fillId="6" borderId="2" xfId="0" applyNumberFormat="1" applyFont="1" applyFill="1" applyBorder="1" applyAlignment="1">
      <alignment horizontal="right" vertical="top"/>
    </xf>
    <xf numFmtId="39" fontId="22" fillId="6" borderId="8" xfId="0" applyNumberFormat="1" applyFont="1" applyFill="1" applyBorder="1" applyAlignment="1">
      <alignment horizontal="right" vertical="top"/>
    </xf>
    <xf numFmtId="39" fontId="22" fillId="6" borderId="10" xfId="0" applyNumberFormat="1" applyFont="1" applyFill="1" applyBorder="1" applyAlignment="1">
      <alignment horizontal="right" vertical="top"/>
    </xf>
    <xf numFmtId="166" fontId="23" fillId="0" borderId="1" xfId="1" applyNumberFormat="1" applyFont="1" applyBorder="1" applyAlignment="1">
      <alignment horizontal="left" vertical="center" wrapText="1"/>
    </xf>
    <xf numFmtId="166" fontId="25" fillId="10" borderId="1" xfId="1" applyNumberFormat="1" applyFont="1" applyFill="1" applyBorder="1" applyAlignment="1">
      <alignment vertical="top" wrapText="1"/>
    </xf>
    <xf numFmtId="166" fontId="25" fillId="10" borderId="1" xfId="1" applyNumberFormat="1" applyFont="1" applyFill="1" applyBorder="1" applyAlignment="1">
      <alignment horizontal="left" vertical="top" wrapText="1"/>
    </xf>
    <xf numFmtId="166" fontId="22" fillId="17" borderId="16" xfId="1" applyNumberFormat="1" applyFont="1" applyFill="1" applyBorder="1" applyAlignment="1">
      <alignment horizontal="left" vertical="top" wrapText="1"/>
    </xf>
    <xf numFmtId="0" fontId="23" fillId="0" borderId="9" xfId="0" applyFont="1" applyBorder="1" applyAlignment="1">
      <alignment horizontal="left" wrapText="1"/>
    </xf>
    <xf numFmtId="0" fontId="23" fillId="0" borderId="10" xfId="0" applyFont="1" applyBorder="1" applyAlignment="1">
      <alignment horizontal="left" wrapText="1"/>
    </xf>
    <xf numFmtId="0" fontId="23" fillId="0" borderId="0" xfId="0" applyFont="1" applyAlignment="1">
      <alignment horizontal="left" wrapText="1"/>
    </xf>
    <xf numFmtId="0" fontId="23" fillId="0" borderId="12" xfId="0" applyFont="1" applyBorder="1" applyAlignment="1">
      <alignment horizontal="left" wrapText="1"/>
    </xf>
    <xf numFmtId="167" fontId="23" fillId="0" borderId="1" xfId="1" applyNumberFormat="1" applyFont="1" applyFill="1" applyBorder="1" applyAlignment="1">
      <alignment horizontal="right"/>
    </xf>
    <xf numFmtId="0" fontId="28" fillId="0" borderId="0" xfId="0" applyFont="1" applyAlignment="1">
      <alignment wrapText="1"/>
    </xf>
    <xf numFmtId="166" fontId="28" fillId="0" borderId="0" xfId="1" applyNumberFormat="1" applyFont="1" applyAlignment="1">
      <alignment wrapText="1"/>
    </xf>
    <xf numFmtId="37" fontId="28" fillId="0" borderId="0" xfId="0" applyNumberFormat="1" applyFont="1" applyAlignment="1">
      <alignment wrapText="1"/>
    </xf>
    <xf numFmtId="37" fontId="29" fillId="0" borderId="0" xfId="0" applyNumberFormat="1" applyFont="1" applyAlignment="1">
      <alignment wrapText="1"/>
    </xf>
    <xf numFmtId="9" fontId="28" fillId="0" borderId="0" xfId="3" applyFont="1" applyAlignment="1">
      <alignment wrapText="1"/>
    </xf>
    <xf numFmtId="0" fontId="28" fillId="0" borderId="0" xfId="0" applyFont="1" applyAlignment="1">
      <alignment horizontal="right" wrapText="1"/>
    </xf>
    <xf numFmtId="37" fontId="23" fillId="0" borderId="4" xfId="1" applyNumberFormat="1" applyFont="1" applyFill="1" applyBorder="1" applyAlignment="1">
      <alignment wrapText="1"/>
    </xf>
    <xf numFmtId="39" fontId="23" fillId="0" borderId="1" xfId="1" applyNumberFormat="1" applyFont="1" applyFill="1" applyBorder="1" applyAlignment="1">
      <alignment wrapText="1"/>
    </xf>
    <xf numFmtId="9" fontId="23" fillId="0" borderId="1" xfId="3" applyFont="1" applyFill="1" applyBorder="1" applyAlignment="1">
      <alignment wrapText="1"/>
    </xf>
    <xf numFmtId="0" fontId="23" fillId="0" borderId="0" xfId="0" applyFont="1" applyAlignment="1">
      <alignment wrapText="1"/>
    </xf>
    <xf numFmtId="0" fontId="23" fillId="0" borderId="7" xfId="0" applyFont="1" applyBorder="1" applyAlignment="1">
      <alignment wrapText="1"/>
    </xf>
    <xf numFmtId="0" fontId="27" fillId="0" borderId="0" xfId="0" applyFont="1" applyAlignment="1">
      <alignment wrapText="1"/>
    </xf>
    <xf numFmtId="166" fontId="23" fillId="16" borderId="3" xfId="1" applyNumberFormat="1" applyFont="1" applyFill="1" applyBorder="1" applyAlignment="1">
      <alignment vertical="top" wrapText="1"/>
    </xf>
    <xf numFmtId="166" fontId="23" fillId="16" borderId="3" xfId="1" applyNumberFormat="1" applyFont="1" applyFill="1" applyBorder="1" applyAlignment="1">
      <alignment horizontal="right" wrapText="1"/>
    </xf>
    <xf numFmtId="166" fontId="23" fillId="0" borderId="0" xfId="1" applyNumberFormat="1" applyFont="1" applyFill="1" applyBorder="1" applyAlignment="1">
      <alignment horizontal="right" wrapText="1"/>
    </xf>
    <xf numFmtId="166" fontId="22" fillId="0" borderId="0" xfId="1" applyNumberFormat="1" applyFont="1" applyFill="1" applyBorder="1" applyAlignment="1">
      <alignment horizontal="right" wrapText="1"/>
    </xf>
    <xf numFmtId="37" fontId="22" fillId="16" borderId="3" xfId="1" applyNumberFormat="1" applyFont="1" applyFill="1" applyBorder="1" applyAlignment="1">
      <alignment horizontal="right" vertical="top" wrapText="1"/>
    </xf>
    <xf numFmtId="9" fontId="23" fillId="16" borderId="3" xfId="3" applyFont="1" applyFill="1" applyBorder="1" applyAlignment="1">
      <alignment horizontal="right" vertical="top" wrapText="1"/>
    </xf>
    <xf numFmtId="0" fontId="23" fillId="16" borderId="2" xfId="1" applyNumberFormat="1" applyFont="1" applyFill="1" applyBorder="1" applyAlignment="1">
      <alignment vertical="top" wrapText="1"/>
    </xf>
    <xf numFmtId="0" fontId="22" fillId="0" borderId="0" xfId="0" applyFont="1" applyAlignment="1">
      <alignment wrapText="1"/>
    </xf>
    <xf numFmtId="0" fontId="23" fillId="16" borderId="1" xfId="1" applyNumberFormat="1" applyFont="1" applyFill="1" applyBorder="1" applyAlignment="1">
      <alignment vertical="top" wrapText="1"/>
    </xf>
    <xf numFmtId="166" fontId="23" fillId="16" borderId="1" xfId="1" applyNumberFormat="1" applyFont="1" applyFill="1" applyBorder="1" applyAlignment="1">
      <alignment horizontal="right" wrapText="1"/>
    </xf>
    <xf numFmtId="9" fontId="23" fillId="16" borderId="1" xfId="3" applyFont="1" applyFill="1" applyBorder="1" applyAlignment="1">
      <alignment horizontal="right" vertical="top" wrapText="1"/>
    </xf>
    <xf numFmtId="37" fontId="23" fillId="0" borderId="1" xfId="1" applyNumberFormat="1" applyFont="1" applyFill="1" applyBorder="1" applyAlignment="1">
      <alignment wrapText="1"/>
    </xf>
    <xf numFmtId="37" fontId="22" fillId="0" borderId="1" xfId="1" applyNumberFormat="1" applyFont="1" applyFill="1" applyBorder="1" applyAlignment="1">
      <alignment wrapText="1"/>
    </xf>
    <xf numFmtId="0" fontId="23" fillId="0" borderId="1" xfId="0" applyFont="1" applyBorder="1" applyAlignment="1">
      <alignment horizontal="right" vertical="center" wrapText="1"/>
    </xf>
    <xf numFmtId="166" fontId="23" fillId="0" borderId="1" xfId="1" applyNumberFormat="1" applyFont="1" applyBorder="1" applyAlignment="1">
      <alignment horizontal="right" vertical="center" wrapText="1"/>
    </xf>
    <xf numFmtId="166" fontId="23" fillId="0" borderId="1" xfId="1" applyNumberFormat="1" applyFont="1" applyFill="1" applyBorder="1" applyAlignment="1">
      <alignment horizontal="right" vertical="top" wrapText="1"/>
    </xf>
    <xf numFmtId="166" fontId="23" fillId="0" borderId="1" xfId="1" applyNumberFormat="1" applyFont="1" applyBorder="1" applyAlignment="1">
      <alignment horizontal="right" vertical="top" wrapText="1"/>
    </xf>
    <xf numFmtId="0" fontId="22" fillId="13" borderId="0" xfId="0" applyFont="1" applyFill="1" applyAlignment="1">
      <alignment wrapText="1"/>
    </xf>
    <xf numFmtId="0" fontId="22" fillId="10" borderId="2" xfId="0" applyFont="1" applyFill="1" applyBorder="1" applyAlignment="1">
      <alignment horizontal="center" vertical="center" wrapText="1"/>
    </xf>
    <xf numFmtId="37" fontId="22" fillId="10" borderId="4" xfId="1" applyNumberFormat="1" applyFont="1" applyFill="1" applyBorder="1" applyAlignment="1">
      <alignment wrapText="1"/>
    </xf>
    <xf numFmtId="39" fontId="22" fillId="10" borderId="2" xfId="1" applyNumberFormat="1" applyFont="1" applyFill="1" applyBorder="1" applyAlignment="1">
      <alignment wrapText="1"/>
    </xf>
    <xf numFmtId="39" fontId="22" fillId="10" borderId="1" xfId="1" applyNumberFormat="1" applyFont="1" applyFill="1" applyBorder="1" applyAlignment="1">
      <alignment wrapText="1"/>
    </xf>
    <xf numFmtId="37" fontId="22" fillId="10" borderId="2" xfId="1" applyNumberFormat="1" applyFont="1" applyFill="1" applyBorder="1" applyAlignment="1">
      <alignment wrapText="1"/>
    </xf>
    <xf numFmtId="9" fontId="26" fillId="10" borderId="1" xfId="3" applyFont="1" applyFill="1" applyBorder="1" applyAlignment="1">
      <alignment wrapText="1"/>
    </xf>
    <xf numFmtId="39" fontId="26" fillId="10" borderId="1" xfId="1" applyNumberFormat="1" applyFont="1" applyFill="1" applyBorder="1" applyAlignment="1">
      <alignment wrapText="1"/>
    </xf>
    <xf numFmtId="0" fontId="22" fillId="13" borderId="0" xfId="0" applyFont="1" applyFill="1" applyAlignment="1">
      <alignment horizontal="right" wrapText="1"/>
    </xf>
    <xf numFmtId="166" fontId="23" fillId="13" borderId="0" xfId="1" applyNumberFormat="1" applyFont="1" applyFill="1" applyAlignment="1">
      <alignment wrapText="1"/>
    </xf>
    <xf numFmtId="37" fontId="22" fillId="13" borderId="0" xfId="0" applyNumberFormat="1" applyFont="1" applyFill="1" applyAlignment="1">
      <alignment wrapText="1"/>
    </xf>
    <xf numFmtId="9" fontId="22" fillId="13" borderId="0" xfId="3" applyFont="1" applyFill="1" applyAlignment="1">
      <alignment wrapText="1"/>
    </xf>
    <xf numFmtId="0" fontId="21" fillId="13" borderId="0" xfId="0" applyFont="1" applyFill="1" applyAlignment="1">
      <alignment wrapText="1"/>
    </xf>
    <xf numFmtId="0" fontId="21" fillId="0" borderId="0" xfId="0" applyFont="1" applyAlignment="1">
      <alignment wrapText="1"/>
    </xf>
    <xf numFmtId="37" fontId="23" fillId="0" borderId="1" xfId="0" applyNumberFormat="1" applyFont="1" applyBorder="1" applyAlignment="1">
      <alignment horizontal="right" vertical="center" wrapText="1"/>
    </xf>
    <xf numFmtId="9" fontId="23" fillId="0" borderId="1" xfId="3" applyFont="1" applyBorder="1" applyAlignment="1">
      <alignment horizontal="right" vertical="center" wrapText="1"/>
    </xf>
    <xf numFmtId="9" fontId="22" fillId="0" borderId="1" xfId="3" applyFont="1" applyBorder="1" applyAlignment="1">
      <alignment horizontal="right" vertical="center" wrapText="1"/>
    </xf>
    <xf numFmtId="0" fontId="22" fillId="10" borderId="1" xfId="0" applyFont="1" applyFill="1" applyBorder="1" applyAlignment="1">
      <alignment horizontal="left" vertical="center" wrapText="1"/>
    </xf>
    <xf numFmtId="39" fontId="26" fillId="10" borderId="1" xfId="1" applyNumberFormat="1" applyFont="1" applyFill="1" applyBorder="1" applyAlignment="1">
      <alignment horizontal="left" wrapText="1"/>
    </xf>
    <xf numFmtId="9" fontId="26" fillId="10" borderId="1" xfId="3" applyFont="1" applyFill="1" applyBorder="1" applyAlignment="1">
      <alignment horizontal="left" wrapText="1"/>
    </xf>
    <xf numFmtId="39" fontId="26" fillId="10" borderId="2" xfId="1" applyNumberFormat="1" applyFont="1" applyFill="1" applyBorder="1" applyAlignment="1">
      <alignment horizontal="left" wrapText="1"/>
    </xf>
    <xf numFmtId="0" fontId="22" fillId="13" borderId="0" xfId="0" applyFont="1" applyFill="1" applyAlignment="1">
      <alignment horizontal="left" wrapText="1"/>
    </xf>
    <xf numFmtId="0" fontId="22" fillId="5" borderId="1" xfId="0" applyFont="1" applyFill="1" applyBorder="1" applyAlignment="1">
      <alignment horizontal="left" vertical="center" wrapText="1"/>
    </xf>
    <xf numFmtId="166" fontId="23" fillId="5" borderId="1" xfId="1" applyNumberFormat="1" applyFont="1" applyFill="1" applyBorder="1" applyAlignment="1">
      <alignment horizontal="left" vertical="center" wrapText="1"/>
    </xf>
    <xf numFmtId="37" fontId="22" fillId="6" borderId="1" xfId="0" applyNumberFormat="1" applyFont="1" applyFill="1" applyBorder="1" applyAlignment="1">
      <alignment wrapText="1"/>
    </xf>
    <xf numFmtId="39" fontId="22" fillId="6" borderId="1" xfId="0" applyNumberFormat="1" applyFont="1" applyFill="1" applyBorder="1" applyAlignment="1">
      <alignment wrapText="1"/>
    </xf>
    <xf numFmtId="9" fontId="22" fillId="6" borderId="1" xfId="3" applyFont="1" applyFill="1" applyBorder="1" applyAlignment="1">
      <alignment wrapText="1"/>
    </xf>
    <xf numFmtId="0" fontId="22" fillId="6" borderId="1" xfId="0" applyFont="1" applyFill="1" applyBorder="1" applyAlignment="1">
      <alignment horizontal="right" vertical="center" wrapText="1"/>
    </xf>
    <xf numFmtId="0" fontId="22" fillId="6" borderId="1" xfId="0" applyFont="1" applyFill="1" applyBorder="1" applyAlignment="1">
      <alignment horizontal="left" vertical="center" wrapText="1"/>
    </xf>
    <xf numFmtId="166" fontId="23" fillId="6" borderId="1" xfId="1" applyNumberFormat="1" applyFont="1" applyFill="1" applyBorder="1" applyAlignment="1">
      <alignment horizontal="left" vertical="center" wrapText="1"/>
    </xf>
    <xf numFmtId="0" fontId="23" fillId="0" borderId="0" xfId="0" applyFont="1" applyAlignment="1">
      <alignment horizontal="right" wrapText="1"/>
    </xf>
    <xf numFmtId="166" fontId="23" fillId="0" borderId="0" xfId="1" applyNumberFormat="1" applyFont="1" applyAlignment="1">
      <alignment wrapText="1"/>
    </xf>
    <xf numFmtId="37" fontId="23" fillId="0" borderId="0" xfId="0" applyNumberFormat="1" applyFont="1" applyAlignment="1">
      <alignment wrapText="1"/>
    </xf>
    <xf numFmtId="37" fontId="22" fillId="0" borderId="0" xfId="0" applyNumberFormat="1" applyFont="1" applyAlignment="1">
      <alignment wrapText="1"/>
    </xf>
    <xf numFmtId="9" fontId="23" fillId="0" borderId="0" xfId="3" applyFont="1" applyAlignment="1">
      <alignment wrapText="1"/>
    </xf>
    <xf numFmtId="0" fontId="22" fillId="0" borderId="6" xfId="0" applyFont="1" applyBorder="1" applyAlignment="1">
      <alignment wrapText="1"/>
    </xf>
    <xf numFmtId="0" fontId="22" fillId="0" borderId="6" xfId="0" applyFont="1" applyBorder="1" applyAlignment="1">
      <alignment horizontal="right" wrapText="1"/>
    </xf>
    <xf numFmtId="0" fontId="22" fillId="0" borderId="7" xfId="0" applyFont="1" applyBorder="1" applyAlignment="1">
      <alignment wrapText="1"/>
    </xf>
    <xf numFmtId="0" fontId="23" fillId="0" borderId="12" xfId="0" applyFont="1" applyBorder="1" applyAlignment="1">
      <alignment wrapText="1"/>
    </xf>
    <xf numFmtId="0" fontId="22" fillId="0" borderId="0" xfId="0" applyFont="1" applyAlignment="1">
      <alignment horizontal="right" wrapText="1"/>
    </xf>
    <xf numFmtId="0" fontId="23" fillId="0" borderId="6" xfId="0" applyFont="1" applyBorder="1" applyAlignment="1">
      <alignment wrapText="1"/>
    </xf>
    <xf numFmtId="0" fontId="23" fillId="0" borderId="6" xfId="0" applyFont="1" applyBorder="1" applyAlignment="1">
      <alignment horizontal="right" wrapText="1"/>
    </xf>
    <xf numFmtId="0" fontId="23" fillId="0" borderId="9" xfId="0" applyFont="1" applyBorder="1" applyAlignment="1">
      <alignment wrapText="1"/>
    </xf>
    <xf numFmtId="0" fontId="23" fillId="0" borderId="9" xfId="0" applyFont="1" applyBorder="1" applyAlignment="1">
      <alignment horizontal="right" wrapText="1"/>
    </xf>
    <xf numFmtId="0" fontId="23" fillId="0" borderId="10" xfId="0" applyFont="1" applyBorder="1" applyAlignment="1">
      <alignment wrapText="1"/>
    </xf>
    <xf numFmtId="166" fontId="23" fillId="9" borderId="13" xfId="1" applyNumberFormat="1" applyFont="1" applyFill="1" applyBorder="1"/>
    <xf numFmtId="0" fontId="23" fillId="9" borderId="13" xfId="1" applyNumberFormat="1" applyFont="1" applyFill="1" applyBorder="1" applyAlignment="1">
      <alignment wrapText="1"/>
    </xf>
    <xf numFmtId="0" fontId="22" fillId="0" borderId="1" xfId="0" applyFont="1" applyFill="1" applyBorder="1" applyAlignment="1">
      <alignment vertical="top" wrapText="1"/>
    </xf>
    <xf numFmtId="0" fontId="23" fillId="0" borderId="1" xfId="0" applyFont="1" applyFill="1" applyBorder="1" applyAlignment="1">
      <alignment wrapText="1"/>
    </xf>
    <xf numFmtId="0" fontId="23" fillId="0" borderId="0" xfId="0" applyFont="1" applyFill="1" applyAlignment="1">
      <alignment wrapText="1"/>
    </xf>
    <xf numFmtId="0" fontId="23" fillId="0" borderId="1" xfId="0" applyFont="1" applyFill="1" applyBorder="1" applyAlignment="1">
      <alignment horizontal="right" vertical="top" wrapText="1"/>
    </xf>
    <xf numFmtId="0" fontId="22" fillId="0" borderId="0" xfId="0" applyFont="1" applyFill="1" applyAlignment="1">
      <alignment horizontal="center" wrapText="1"/>
    </xf>
    <xf numFmtId="0" fontId="23" fillId="0" borderId="1" xfId="0" applyFont="1" applyFill="1" applyBorder="1" applyAlignment="1">
      <alignment horizontal="right" vertical="center" wrapText="1"/>
    </xf>
    <xf numFmtId="166" fontId="23" fillId="0" borderId="1" xfId="1" applyNumberFormat="1" applyFont="1" applyFill="1" applyBorder="1" applyAlignment="1">
      <alignment horizontal="right" vertical="center" wrapText="1"/>
    </xf>
    <xf numFmtId="0" fontId="23" fillId="0" borderId="1" xfId="0" applyFont="1" applyBorder="1" applyAlignment="1">
      <alignment horizontal="right" vertical="top" wrapText="1"/>
    </xf>
    <xf numFmtId="0" fontId="22" fillId="0" borderId="1" xfId="0" applyFont="1" applyFill="1" applyBorder="1" applyAlignment="1">
      <alignment horizontal="right" wrapText="1"/>
    </xf>
    <xf numFmtId="0" fontId="22" fillId="0" borderId="1" xfId="0" applyFont="1" applyFill="1" applyBorder="1" applyAlignment="1">
      <alignment wrapText="1"/>
    </xf>
    <xf numFmtId="166" fontId="23" fillId="0" borderId="1" xfId="1" applyNumberFormat="1" applyFont="1" applyFill="1" applyBorder="1" applyAlignment="1">
      <alignment wrapText="1"/>
    </xf>
    <xf numFmtId="9" fontId="22" fillId="0" borderId="1" xfId="3" applyFont="1" applyFill="1" applyBorder="1" applyAlignment="1">
      <alignment wrapText="1"/>
    </xf>
    <xf numFmtId="0" fontId="23" fillId="0" borderId="1" xfId="0" applyFont="1" applyFill="1" applyBorder="1" applyAlignment="1">
      <alignment horizontal="right" wrapText="1"/>
    </xf>
    <xf numFmtId="0" fontId="24" fillId="0" borderId="1" xfId="0" applyFont="1" applyBorder="1" applyAlignment="1">
      <alignment horizontal="left" vertical="center"/>
    </xf>
    <xf numFmtId="0" fontId="24" fillId="0" borderId="1" xfId="0" applyFont="1" applyBorder="1" applyAlignment="1">
      <alignment vertical="center" wrapText="1"/>
    </xf>
    <xf numFmtId="166" fontId="23" fillId="16" borderId="13" xfId="1" applyNumberFormat="1" applyFont="1" applyFill="1" applyBorder="1" applyAlignment="1">
      <alignment vertical="top" wrapText="1"/>
    </xf>
    <xf numFmtId="166" fontId="24" fillId="16" borderId="13" xfId="1" applyNumberFormat="1" applyFont="1" applyFill="1" applyBorder="1" applyAlignment="1">
      <alignment vertical="top" wrapText="1"/>
    </xf>
    <xf numFmtId="166" fontId="23" fillId="16" borderId="13" xfId="1" applyNumberFormat="1" applyFont="1" applyFill="1" applyBorder="1" applyAlignment="1">
      <alignment horizontal="right" wrapText="1"/>
    </xf>
    <xf numFmtId="37" fontId="23" fillId="16" borderId="5" xfId="1" applyNumberFormat="1" applyFont="1" applyFill="1" applyBorder="1" applyAlignment="1">
      <alignment horizontal="right" wrapText="1"/>
    </xf>
    <xf numFmtId="166" fontId="23" fillId="16" borderId="11" xfId="1" applyNumberFormat="1" applyFont="1" applyFill="1" applyBorder="1" applyAlignment="1">
      <alignment vertical="top" wrapText="1"/>
    </xf>
    <xf numFmtId="166" fontId="24" fillId="16" borderId="11" xfId="1" applyNumberFormat="1" applyFont="1" applyFill="1" applyBorder="1" applyAlignment="1">
      <alignment vertical="top" wrapText="1"/>
    </xf>
    <xf numFmtId="166" fontId="23" fillId="16" borderId="11" xfId="1" applyNumberFormat="1" applyFont="1" applyFill="1" applyBorder="1" applyAlignment="1">
      <alignment horizontal="right" wrapText="1"/>
    </xf>
    <xf numFmtId="37" fontId="23" fillId="16" borderId="8" xfId="1" applyNumberFormat="1" applyFont="1" applyFill="1" applyBorder="1" applyAlignment="1">
      <alignment horizontal="right" wrapText="1"/>
    </xf>
    <xf numFmtId="0" fontId="32" fillId="0" borderId="0" xfId="0" applyFont="1" applyBorder="1" applyAlignment="1">
      <alignment vertical="center" wrapText="1"/>
    </xf>
    <xf numFmtId="0" fontId="23" fillId="0" borderId="0" xfId="0" applyFont="1" applyBorder="1" applyAlignment="1">
      <alignment vertical="center" wrapText="1"/>
    </xf>
    <xf numFmtId="0" fontId="23" fillId="0" borderId="0" xfId="0" applyFont="1" applyFill="1" applyBorder="1" applyAlignment="1">
      <alignment wrapText="1"/>
    </xf>
    <xf numFmtId="0" fontId="23" fillId="0" borderId="0" xfId="0" applyFont="1" applyFill="1" applyBorder="1" applyAlignment="1">
      <alignment vertical="center" wrapText="1"/>
    </xf>
    <xf numFmtId="0" fontId="34" fillId="0" borderId="0" xfId="0" applyFont="1" applyFill="1" applyBorder="1" applyAlignment="1">
      <alignment vertical="center" wrapText="1"/>
    </xf>
    <xf numFmtId="166" fontId="23" fillId="0" borderId="1" xfId="1" applyNumberFormat="1" applyFont="1" applyFill="1" applyBorder="1" applyAlignment="1">
      <alignment horizontal="right" wrapText="1"/>
    </xf>
    <xf numFmtId="37" fontId="23" fillId="0" borderId="4" xfId="1" applyNumberFormat="1" applyFont="1" applyFill="1" applyBorder="1" applyAlignment="1">
      <alignment horizontal="right" wrapText="1"/>
    </xf>
    <xf numFmtId="9" fontId="23" fillId="0" borderId="1" xfId="3" applyFont="1" applyFill="1" applyBorder="1" applyAlignment="1">
      <alignment horizontal="right" vertical="top" wrapText="1"/>
    </xf>
    <xf numFmtId="166" fontId="23" fillId="0" borderId="11" xfId="1" applyNumberFormat="1" applyFont="1" applyFill="1" applyBorder="1" applyAlignment="1">
      <alignment vertical="top" wrapText="1"/>
    </xf>
    <xf numFmtId="0" fontId="22" fillId="0" borderId="1" xfId="0" applyFont="1" applyFill="1" applyBorder="1" applyAlignment="1">
      <alignment horizontal="right" vertical="center" wrapText="1"/>
    </xf>
    <xf numFmtId="0" fontId="23" fillId="0" borderId="0" xfId="0" applyFont="1" applyFill="1" applyAlignment="1">
      <alignment horizontal="center" wrapText="1"/>
    </xf>
    <xf numFmtId="37" fontId="23" fillId="0" borderId="1" xfId="1" applyNumberFormat="1" applyFont="1" applyFill="1" applyBorder="1" applyAlignment="1">
      <alignment horizontal="right" wrapText="1"/>
    </xf>
    <xf numFmtId="37" fontId="23" fillId="16" borderId="1" xfId="1" applyNumberFormat="1" applyFont="1" applyFill="1" applyBorder="1" applyAlignment="1">
      <alignment horizontal="right" wrapText="1"/>
    </xf>
    <xf numFmtId="37" fontId="22" fillId="0" borderId="1" xfId="0" applyNumberFormat="1" applyFont="1" applyBorder="1" applyAlignment="1">
      <alignment horizontal="left" vertical="center" wrapText="1"/>
    </xf>
    <xf numFmtId="9" fontId="23" fillId="0" borderId="1" xfId="3" applyFont="1" applyBorder="1" applyAlignment="1">
      <alignment horizontal="left" vertical="center" wrapText="1"/>
    </xf>
    <xf numFmtId="0" fontId="23" fillId="0" borderId="11" xfId="0" applyFont="1" applyFill="1" applyBorder="1" applyAlignment="1">
      <alignment vertical="top" wrapText="1"/>
    </xf>
    <xf numFmtId="0" fontId="4" fillId="0" borderId="11" xfId="0" applyFont="1" applyBorder="1" applyAlignment="1">
      <alignment wrapText="1"/>
    </xf>
    <xf numFmtId="0" fontId="24" fillId="0" borderId="11" xfId="0" applyFont="1" applyBorder="1" applyAlignment="1">
      <alignment horizontal="right" vertical="top" wrapText="1"/>
    </xf>
    <xf numFmtId="0" fontId="24" fillId="0" borderId="11" xfId="0" applyFont="1" applyBorder="1" applyAlignment="1">
      <alignment vertical="top" wrapText="1"/>
    </xf>
    <xf numFmtId="37" fontId="23" fillId="0" borderId="8" xfId="1" applyNumberFormat="1" applyFont="1" applyFill="1" applyBorder="1" applyAlignment="1">
      <alignment wrapText="1"/>
    </xf>
    <xf numFmtId="39" fontId="23" fillId="0" borderId="11" xfId="1" applyNumberFormat="1" applyFont="1" applyFill="1" applyBorder="1" applyAlignment="1">
      <alignment wrapText="1"/>
    </xf>
    <xf numFmtId="37" fontId="23" fillId="0" borderId="11" xfId="1" applyNumberFormat="1" applyFont="1" applyFill="1" applyBorder="1" applyAlignment="1">
      <alignment wrapText="1"/>
    </xf>
    <xf numFmtId="9" fontId="23" fillId="0" borderId="11" xfId="3" applyFont="1" applyBorder="1" applyAlignment="1">
      <alignment horizontal="left" vertical="center" wrapText="1"/>
    </xf>
    <xf numFmtId="0" fontId="23" fillId="0" borderId="11" xfId="0" applyFont="1" applyBorder="1" applyAlignment="1">
      <alignment horizontal="left" vertical="center" wrapText="1"/>
    </xf>
    <xf numFmtId="0" fontId="32" fillId="0" borderId="0" xfId="0" applyFont="1" applyBorder="1" applyAlignment="1">
      <alignment horizontal="left" vertical="center"/>
    </xf>
    <xf numFmtId="0" fontId="33" fillId="0" borderId="0" xfId="0" applyFont="1" applyBorder="1" applyAlignment="1">
      <alignment horizontal="left" vertical="center"/>
    </xf>
    <xf numFmtId="37" fontId="22" fillId="0" borderId="1" xfId="0" applyNumberFormat="1" applyFont="1" applyFill="1" applyBorder="1" applyAlignment="1">
      <alignment wrapText="1"/>
    </xf>
    <xf numFmtId="37" fontId="23" fillId="0" borderId="1" xfId="0" applyNumberFormat="1" applyFont="1" applyFill="1" applyBorder="1" applyAlignment="1">
      <alignment horizontal="right" vertical="center" wrapText="1"/>
    </xf>
    <xf numFmtId="37" fontId="22" fillId="0" borderId="1" xfId="0" applyNumberFormat="1" applyFont="1" applyFill="1" applyBorder="1" applyAlignment="1">
      <alignment horizontal="right" vertical="center" wrapText="1"/>
    </xf>
    <xf numFmtId="9" fontId="23" fillId="0" borderId="1" xfId="3" applyFont="1" applyFill="1" applyBorder="1" applyAlignment="1">
      <alignment horizontal="right" vertical="center" wrapText="1"/>
    </xf>
    <xf numFmtId="9" fontId="23" fillId="0" borderId="1" xfId="3" applyFont="1" applyFill="1" applyBorder="1" applyAlignment="1">
      <alignment horizontal="left" vertical="center" wrapText="1"/>
    </xf>
    <xf numFmtId="0" fontId="4" fillId="0" borderId="1" xfId="0" applyFont="1" applyBorder="1" applyAlignment="1">
      <alignment vertical="top" wrapText="1"/>
    </xf>
    <xf numFmtId="167" fontId="23" fillId="0" borderId="1" xfId="1" applyNumberFormat="1" applyFont="1" applyBorder="1" applyAlignment="1">
      <alignment horizontal="right" vertical="center" wrapText="1"/>
    </xf>
    <xf numFmtId="0" fontId="22" fillId="0" borderId="0" xfId="0" applyFont="1" applyFill="1" applyBorder="1" applyAlignment="1">
      <alignment wrapText="1"/>
    </xf>
    <xf numFmtId="0" fontId="22" fillId="0" borderId="1" xfId="0" applyFont="1" applyFill="1" applyBorder="1" applyAlignment="1">
      <alignment vertical="center" wrapText="1"/>
    </xf>
    <xf numFmtId="166" fontId="23" fillId="0" borderId="1" xfId="1" applyNumberFormat="1" applyFont="1" applyFill="1" applyBorder="1" applyAlignment="1">
      <alignment horizontal="center" vertical="top" wrapText="1"/>
    </xf>
    <xf numFmtId="0" fontId="10" fillId="0" borderId="0" xfId="0" applyFont="1" applyFill="1" applyBorder="1" applyAlignment="1">
      <alignment horizontal="right" vertical="top"/>
    </xf>
    <xf numFmtId="166" fontId="24" fillId="16" borderId="3" xfId="1" applyNumberFormat="1" applyFont="1" applyFill="1" applyBorder="1" applyAlignment="1">
      <alignment horizontal="right" vertical="top" wrapText="1"/>
    </xf>
    <xf numFmtId="166" fontId="23" fillId="13" borderId="1" xfId="1" applyNumberFormat="1" applyFont="1" applyFill="1" applyBorder="1" applyAlignment="1">
      <alignment horizontal="right" vertical="top" wrapText="1"/>
    </xf>
    <xf numFmtId="0" fontId="23" fillId="0" borderId="1" xfId="0" applyFont="1" applyBorder="1" applyAlignment="1">
      <alignment horizontal="right" vertical="top"/>
    </xf>
    <xf numFmtId="0" fontId="24" fillId="0" borderId="11" xfId="0" applyFont="1" applyFill="1" applyBorder="1" applyAlignment="1">
      <alignment horizontal="right" vertical="top" wrapText="1"/>
    </xf>
    <xf numFmtId="166" fontId="22" fillId="9" borderId="21" xfId="1" applyNumberFormat="1" applyFont="1" applyFill="1" applyBorder="1" applyAlignment="1"/>
    <xf numFmtId="166" fontId="22" fillId="9" borderId="22" xfId="1" applyNumberFormat="1" applyFont="1" applyFill="1" applyBorder="1" applyAlignment="1"/>
    <xf numFmtId="166" fontId="26" fillId="10" borderId="29" xfId="1" applyNumberFormat="1" applyFont="1" applyFill="1" applyBorder="1" applyAlignment="1"/>
    <xf numFmtId="166" fontId="26" fillId="10" borderId="27" xfId="1" applyNumberFormat="1" applyFont="1" applyFill="1" applyBorder="1" applyAlignment="1"/>
    <xf numFmtId="0" fontId="4" fillId="0" borderId="28" xfId="0" applyFont="1" applyBorder="1" applyAlignment="1">
      <alignment wrapText="1"/>
    </xf>
    <xf numFmtId="0" fontId="4" fillId="0" borderId="0" xfId="0" applyFont="1" applyAlignment="1">
      <alignment wrapText="1"/>
    </xf>
    <xf numFmtId="166" fontId="23" fillId="9" borderId="1" xfId="1" applyNumberFormat="1" applyFont="1" applyFill="1" applyBorder="1" applyAlignment="1">
      <alignment wrapText="1"/>
    </xf>
    <xf numFmtId="166" fontId="8" fillId="0" borderId="1" xfId="1" applyNumberFormat="1" applyFont="1" applyBorder="1" applyAlignment="1">
      <alignment horizontal="right"/>
    </xf>
    <xf numFmtId="166" fontId="4" fillId="0" borderId="1" xfId="1" applyNumberFormat="1" applyFont="1" applyBorder="1" applyAlignment="1">
      <alignment horizontal="right"/>
    </xf>
    <xf numFmtId="9" fontId="4" fillId="0" borderId="1" xfId="3" applyFont="1" applyBorder="1"/>
    <xf numFmtId="166" fontId="22" fillId="9" borderId="21" xfId="1" applyNumberFormat="1" applyFont="1" applyFill="1" applyBorder="1" applyAlignment="1">
      <alignment horizontal="center" wrapText="1"/>
    </xf>
    <xf numFmtId="166" fontId="22" fillId="9" borderId="22" xfId="1" applyNumberFormat="1" applyFont="1" applyFill="1" applyBorder="1" applyAlignment="1">
      <alignment horizontal="center" wrapText="1"/>
    </xf>
    <xf numFmtId="166" fontId="22" fillId="17" borderId="24" xfId="1" applyNumberFormat="1" applyFont="1" applyFill="1" applyBorder="1" applyAlignment="1">
      <alignment horizontal="left" vertical="top" wrapText="1"/>
    </xf>
    <xf numFmtId="166" fontId="22" fillId="17" borderId="31" xfId="1" applyNumberFormat="1" applyFont="1" applyFill="1" applyBorder="1" applyAlignment="1">
      <alignment horizontal="left" vertical="top" wrapText="1"/>
    </xf>
    <xf numFmtId="166" fontId="22" fillId="17" borderId="32" xfId="1" applyNumberFormat="1" applyFont="1" applyFill="1" applyBorder="1" applyAlignment="1">
      <alignment horizontal="left" vertical="top" wrapText="1"/>
    </xf>
    <xf numFmtId="166" fontId="22" fillId="9" borderId="1" xfId="1" applyNumberFormat="1" applyFont="1" applyFill="1" applyBorder="1" applyAlignment="1">
      <alignment horizontal="center" wrapText="1"/>
    </xf>
    <xf numFmtId="0" fontId="22" fillId="5" borderId="1" xfId="0" applyFont="1" applyFill="1" applyBorder="1" applyAlignment="1">
      <alignment horizontal="right" vertical="center" wrapText="1"/>
    </xf>
    <xf numFmtId="0" fontId="22" fillId="6" borderId="1" xfId="0" applyFont="1" applyFill="1" applyBorder="1" applyAlignment="1">
      <alignment horizontal="right" wrapText="1"/>
    </xf>
    <xf numFmtId="166" fontId="15" fillId="14" borderId="1" xfId="1" applyNumberFormat="1" applyFont="1" applyFill="1" applyBorder="1" applyAlignment="1">
      <alignment horizontal="center"/>
    </xf>
    <xf numFmtId="166" fontId="4" fillId="8" borderId="1" xfId="1" applyNumberFormat="1" applyFont="1" applyFill="1" applyBorder="1"/>
    <xf numFmtId="166" fontId="5" fillId="8" borderId="1" xfId="1" applyNumberFormat="1" applyFont="1" applyFill="1" applyBorder="1"/>
    <xf numFmtId="166" fontId="22" fillId="0" borderId="0" xfId="1" applyNumberFormat="1" applyFont="1" applyFill="1" applyBorder="1" applyAlignment="1">
      <alignment horizontal="right" vertical="top"/>
    </xf>
    <xf numFmtId="37" fontId="22" fillId="9" borderId="22" xfId="1" applyNumberFormat="1" applyFont="1" applyFill="1" applyBorder="1" applyAlignment="1">
      <alignment horizontal="center" wrapText="1"/>
    </xf>
    <xf numFmtId="37" fontId="22" fillId="17" borderId="24" xfId="1" applyNumberFormat="1" applyFont="1" applyFill="1" applyBorder="1" applyAlignment="1">
      <alignment horizontal="left" vertical="top" wrapText="1"/>
    </xf>
    <xf numFmtId="37" fontId="23" fillId="16" borderId="3" xfId="1" applyNumberFormat="1" applyFont="1" applyFill="1" applyBorder="1" applyAlignment="1">
      <alignment horizontal="right" wrapText="1"/>
    </xf>
    <xf numFmtId="37" fontId="22" fillId="17" borderId="16" xfId="1" applyNumberFormat="1" applyFont="1" applyFill="1" applyBorder="1" applyAlignment="1">
      <alignment horizontal="left" vertical="top" wrapText="1"/>
    </xf>
    <xf numFmtId="37" fontId="23" fillId="0" borderId="1" xfId="0" applyNumberFormat="1" applyFont="1" applyFill="1" applyBorder="1" applyAlignment="1">
      <alignment vertical="top" wrapText="1"/>
    </xf>
    <xf numFmtId="37" fontId="23" fillId="16" borderId="3" xfId="1" applyNumberFormat="1" applyFont="1" applyFill="1" applyBorder="1" applyAlignment="1">
      <alignment horizontal="right"/>
    </xf>
    <xf numFmtId="37" fontId="22" fillId="9" borderId="1" xfId="1" applyNumberFormat="1" applyFont="1" applyFill="1" applyBorder="1" applyAlignment="1">
      <alignment horizontal="center" wrapText="1"/>
    </xf>
    <xf numFmtId="37" fontId="22" fillId="10" borderId="1" xfId="1" applyNumberFormat="1" applyFont="1" applyFill="1" applyBorder="1" applyAlignment="1">
      <alignment wrapText="1"/>
    </xf>
    <xf numFmtId="37" fontId="26" fillId="10" borderId="1" xfId="1" applyNumberFormat="1" applyFont="1" applyFill="1" applyBorder="1" applyAlignment="1">
      <alignment horizontal="left" wrapText="1"/>
    </xf>
    <xf numFmtId="0" fontId="23" fillId="9" borderId="0" xfId="0" applyFont="1" applyFill="1" applyAlignment="1">
      <alignment wrapText="1"/>
    </xf>
    <xf numFmtId="0" fontId="4" fillId="0" borderId="0" xfId="0" applyFont="1" applyBorder="1" applyAlignment="1">
      <alignment horizontal="right" vertical="top"/>
    </xf>
    <xf numFmtId="166" fontId="22" fillId="9" borderId="22" xfId="1" applyNumberFormat="1" applyFont="1" applyFill="1" applyBorder="1" applyAlignment="1">
      <alignment horizontal="right"/>
    </xf>
    <xf numFmtId="166" fontId="26" fillId="10" borderId="27" xfId="1" applyNumberFormat="1" applyFont="1" applyFill="1" applyBorder="1" applyAlignment="1">
      <alignment horizontal="right"/>
    </xf>
    <xf numFmtId="0" fontId="22" fillId="6" borderId="4" xfId="0" applyFont="1" applyFill="1" applyBorder="1" applyAlignment="1">
      <alignment horizontal="right" vertical="top"/>
    </xf>
    <xf numFmtId="0" fontId="5" fillId="0" borderId="6" xfId="0" applyFont="1" applyBorder="1" applyAlignment="1">
      <alignment horizontal="right" vertical="top"/>
    </xf>
    <xf numFmtId="0" fontId="4" fillId="0" borderId="6" xfId="0" applyFont="1" applyBorder="1" applyAlignment="1">
      <alignment horizontal="right" vertical="top"/>
    </xf>
    <xf numFmtId="0" fontId="4" fillId="0" borderId="9" xfId="0" applyFont="1" applyBorder="1" applyAlignment="1">
      <alignment horizontal="right" vertical="top"/>
    </xf>
    <xf numFmtId="166" fontId="4" fillId="16" borderId="3" xfId="1" applyNumberFormat="1" applyFont="1" applyFill="1" applyBorder="1" applyAlignment="1">
      <alignment vertical="top"/>
    </xf>
    <xf numFmtId="166" fontId="5" fillId="0" borderId="0" xfId="1" applyNumberFormat="1" applyFont="1" applyFill="1" applyAlignment="1">
      <alignment vertical="top"/>
    </xf>
    <xf numFmtId="0" fontId="5" fillId="13" borderId="0" xfId="0" applyFont="1" applyFill="1" applyAlignment="1">
      <alignment vertical="top"/>
    </xf>
    <xf numFmtId="0" fontId="5" fillId="10" borderId="1" xfId="0" applyFont="1" applyFill="1" applyBorder="1" applyAlignment="1">
      <alignment vertical="top"/>
    </xf>
    <xf numFmtId="0" fontId="5" fillId="5" borderId="1" xfId="0" applyFont="1" applyFill="1" applyBorder="1" applyAlignment="1">
      <alignment vertical="center"/>
    </xf>
    <xf numFmtId="0" fontId="5" fillId="6" borderId="1" xfId="0" applyFont="1" applyFill="1" applyBorder="1" applyAlignment="1">
      <alignment horizontal="center"/>
    </xf>
    <xf numFmtId="0" fontId="5" fillId="6" borderId="1" xfId="0" applyFont="1" applyFill="1" applyBorder="1" applyAlignment="1">
      <alignment vertical="center"/>
    </xf>
    <xf numFmtId="0" fontId="4" fillId="0" borderId="0" xfId="0" applyFont="1" applyFill="1" applyBorder="1" applyAlignment="1">
      <alignment vertical="top" wrapText="1"/>
    </xf>
    <xf numFmtId="0" fontId="12" fillId="0" borderId="0" xfId="0" applyFont="1" applyBorder="1" applyAlignment="1">
      <alignment vertical="top" wrapText="1"/>
    </xf>
    <xf numFmtId="0" fontId="5" fillId="0" borderId="6" xfId="0" applyFont="1" applyBorder="1" applyAlignment="1">
      <alignment wrapText="1"/>
    </xf>
    <xf numFmtId="0" fontId="4" fillId="0" borderId="9" xfId="0" applyFont="1" applyBorder="1" applyAlignment="1">
      <alignment wrapText="1"/>
    </xf>
    <xf numFmtId="0" fontId="4" fillId="0" borderId="0" xfId="0" applyFont="1" applyFill="1" applyAlignment="1">
      <alignment vertical="top" wrapText="1"/>
    </xf>
    <xf numFmtId="0" fontId="22" fillId="0" borderId="1" xfId="0" applyNumberFormat="1" applyFont="1" applyFill="1" applyBorder="1" applyAlignment="1">
      <alignment vertical="top"/>
    </xf>
    <xf numFmtId="0" fontId="23" fillId="0" borderId="0" xfId="0" applyFont="1" applyFill="1" applyAlignment="1">
      <alignment vertical="center"/>
    </xf>
    <xf numFmtId="0" fontId="27" fillId="0" borderId="0" xfId="0" applyFont="1" applyFill="1" applyAlignment="1">
      <alignment horizontal="right" vertical="center" wrapText="1"/>
    </xf>
    <xf numFmtId="0" fontId="23" fillId="0" borderId="0" xfId="0" applyFont="1" applyFill="1" applyAlignment="1">
      <alignment horizontal="right" vertical="center" wrapText="1"/>
    </xf>
    <xf numFmtId="0" fontId="23" fillId="0" borderId="1" xfId="0" applyFont="1" applyFill="1" applyBorder="1" applyAlignment="1">
      <alignment horizontal="right" vertical="top"/>
    </xf>
    <xf numFmtId="166" fontId="23" fillId="0" borderId="1" xfId="1" applyNumberFormat="1" applyFont="1" applyFill="1" applyBorder="1" applyAlignment="1">
      <alignment horizontal="right" vertical="center"/>
    </xf>
    <xf numFmtId="0" fontId="23" fillId="0" borderId="1" xfId="0" applyFont="1" applyFill="1" applyBorder="1" applyAlignment="1">
      <alignment horizontal="right" vertical="center"/>
    </xf>
    <xf numFmtId="0" fontId="6" fillId="0" borderId="1" xfId="0" applyFont="1" applyFill="1" applyBorder="1" applyAlignment="1">
      <alignment vertical="top" wrapText="1"/>
    </xf>
    <xf numFmtId="166" fontId="4" fillId="0" borderId="1" xfId="1" applyNumberFormat="1" applyFont="1" applyFill="1" applyBorder="1" applyAlignment="1">
      <alignment horizontal="right" vertical="top"/>
    </xf>
    <xf numFmtId="0" fontId="27" fillId="0" borderId="0" xfId="0" applyFont="1" applyFill="1" applyAlignment="1">
      <alignment wrapText="1"/>
    </xf>
    <xf numFmtId="0" fontId="21" fillId="0" borderId="0" xfId="0" applyFont="1" applyFill="1" applyAlignment="1">
      <alignment horizontal="center" wrapText="1"/>
    </xf>
    <xf numFmtId="0" fontId="22" fillId="0" borderId="0" xfId="0" applyFont="1" applyFill="1" applyAlignment="1">
      <alignment horizontal="center" vertical="center" wrapText="1"/>
    </xf>
    <xf numFmtId="37" fontId="23" fillId="0" borderId="4" xfId="1" applyNumberFormat="1" applyFont="1" applyFill="1" applyBorder="1"/>
    <xf numFmtId="0" fontId="23" fillId="0" borderId="2" xfId="0" applyFont="1" applyFill="1" applyBorder="1" applyAlignment="1">
      <alignment horizontal="right" vertical="center"/>
    </xf>
    <xf numFmtId="1" fontId="23" fillId="0" borderId="1" xfId="0" applyNumberFormat="1" applyFont="1" applyFill="1" applyBorder="1" applyAlignment="1">
      <alignment horizontal="right" vertical="center"/>
    </xf>
    <xf numFmtId="37" fontId="22" fillId="0" borderId="2" xfId="1" applyNumberFormat="1" applyFont="1" applyFill="1" applyBorder="1"/>
    <xf numFmtId="9" fontId="23" fillId="0" borderId="1" xfId="3" applyFont="1" applyFill="1" applyBorder="1"/>
    <xf numFmtId="37" fontId="23" fillId="0" borderId="1" xfId="1" applyNumberFormat="1" applyFont="1" applyFill="1" applyBorder="1" applyAlignment="1">
      <alignment vertical="top" wrapText="1"/>
    </xf>
    <xf numFmtId="39" fontId="23" fillId="0" borderId="2" xfId="1" applyNumberFormat="1" applyFont="1" applyFill="1" applyBorder="1"/>
    <xf numFmtId="39" fontId="23" fillId="0" borderId="1" xfId="1" applyNumberFormat="1" applyFont="1" applyFill="1" applyBorder="1"/>
    <xf numFmtId="166" fontId="24" fillId="0" borderId="13" xfId="1" applyNumberFormat="1" applyFont="1" applyFill="1" applyBorder="1" applyAlignment="1">
      <alignment horizontal="right" vertical="top"/>
    </xf>
    <xf numFmtId="167" fontId="24" fillId="0" borderId="13" xfId="1" applyNumberFormat="1" applyFont="1" applyFill="1" applyBorder="1" applyAlignment="1">
      <alignment vertical="top"/>
    </xf>
    <xf numFmtId="0" fontId="33" fillId="0" borderId="0" xfId="0" applyFont="1" applyFill="1" applyBorder="1" applyAlignment="1">
      <alignment vertical="center" wrapText="1"/>
    </xf>
    <xf numFmtId="166" fontId="24" fillId="0" borderId="1" xfId="1" applyNumberFormat="1" applyFont="1" applyFill="1" applyBorder="1" applyAlignment="1">
      <alignment horizontal="right" vertical="top"/>
    </xf>
    <xf numFmtId="166" fontId="24" fillId="0" borderId="1" xfId="1" applyNumberFormat="1" applyFont="1" applyFill="1" applyBorder="1" applyAlignment="1">
      <alignment horizontal="right"/>
    </xf>
    <xf numFmtId="0" fontId="23" fillId="0" borderId="1" xfId="1" applyNumberFormat="1" applyFont="1" applyFill="1" applyBorder="1" applyAlignment="1">
      <alignment vertical="top"/>
    </xf>
    <xf numFmtId="166" fontId="23" fillId="13" borderId="1" xfId="0" applyNumberFormat="1" applyFont="1" applyFill="1" applyBorder="1" applyAlignment="1">
      <alignment vertical="center"/>
    </xf>
    <xf numFmtId="0" fontId="23" fillId="13" borderId="1" xfId="0" applyFont="1" applyFill="1" applyBorder="1" applyAlignment="1">
      <alignment vertical="center"/>
    </xf>
    <xf numFmtId="166" fontId="23" fillId="0" borderId="1" xfId="0" applyNumberFormat="1" applyFont="1" applyFill="1" applyBorder="1" applyAlignment="1">
      <alignment vertical="center"/>
    </xf>
    <xf numFmtId="0" fontId="23" fillId="0" borderId="1" xfId="0" applyFont="1" applyFill="1" applyBorder="1" applyAlignment="1">
      <alignment vertical="center"/>
    </xf>
    <xf numFmtId="0" fontId="22" fillId="0" borderId="1" xfId="0" applyFont="1" applyBorder="1"/>
    <xf numFmtId="0" fontId="4" fillId="0" borderId="1" xfId="0" applyFont="1" applyBorder="1"/>
    <xf numFmtId="166" fontId="22" fillId="9" borderId="22" xfId="1" applyNumberFormat="1" applyFont="1" applyFill="1" applyBorder="1" applyAlignment="1">
      <alignment horizontal="center"/>
    </xf>
    <xf numFmtId="166" fontId="22" fillId="9" borderId="23" xfId="1" applyNumberFormat="1" applyFont="1" applyFill="1" applyBorder="1" applyAlignment="1">
      <alignment horizontal="center"/>
    </xf>
    <xf numFmtId="166" fontId="26" fillId="10" borderId="27" xfId="1" applyNumberFormat="1" applyFont="1" applyFill="1" applyBorder="1" applyAlignment="1">
      <alignment horizontal="center"/>
    </xf>
    <xf numFmtId="166" fontId="23" fillId="0" borderId="4" xfId="1" applyNumberFormat="1" applyFont="1" applyFill="1" applyBorder="1" applyAlignment="1">
      <alignment horizontal="right" vertical="top"/>
    </xf>
    <xf numFmtId="0" fontId="23" fillId="16" borderId="1" xfId="1" applyNumberFormat="1" applyFont="1" applyFill="1" applyBorder="1" applyAlignment="1">
      <alignment vertical="top"/>
    </xf>
    <xf numFmtId="0" fontId="23" fillId="0" borderId="0" xfId="0" applyFont="1" applyFill="1" applyAlignment="1"/>
    <xf numFmtId="0" fontId="23" fillId="0" borderId="1" xfId="0" applyFont="1" applyFill="1" applyBorder="1" applyAlignment="1">
      <alignment vertical="top"/>
    </xf>
    <xf numFmtId="166" fontId="24" fillId="0" borderId="1" xfId="1" applyNumberFormat="1" applyFont="1" applyFill="1" applyBorder="1" applyAlignment="1">
      <alignment vertical="top"/>
    </xf>
    <xf numFmtId="0" fontId="23" fillId="0" borderId="1" xfId="0" applyFont="1" applyFill="1" applyBorder="1" applyAlignment="1">
      <alignment horizontal="left" vertical="center"/>
    </xf>
    <xf numFmtId="0" fontId="34" fillId="0" borderId="0" xfId="0" applyFont="1" applyFill="1" applyBorder="1" applyAlignment="1">
      <alignment vertical="center"/>
    </xf>
    <xf numFmtId="166" fontId="22" fillId="16" borderId="36" xfId="1" applyNumberFormat="1" applyFont="1" applyFill="1" applyBorder="1" applyAlignment="1">
      <alignment horizontal="left" vertical="top" wrapText="1"/>
    </xf>
    <xf numFmtId="166" fontId="22" fillId="16" borderId="14" xfId="1" applyNumberFormat="1" applyFont="1" applyFill="1" applyBorder="1" applyAlignment="1">
      <alignment horizontal="left" vertical="top" wrapText="1"/>
    </xf>
    <xf numFmtId="37" fontId="22" fillId="16" borderId="14" xfId="1" applyNumberFormat="1" applyFont="1" applyFill="1" applyBorder="1" applyAlignment="1">
      <alignment horizontal="left" vertical="top" wrapText="1"/>
    </xf>
    <xf numFmtId="166" fontId="22" fillId="16" borderId="37" xfId="1" applyNumberFormat="1" applyFont="1" applyFill="1" applyBorder="1" applyAlignment="1">
      <alignment horizontal="left" vertical="top" wrapText="1"/>
    </xf>
    <xf numFmtId="166" fontId="22" fillId="16" borderId="28" xfId="1" applyNumberFormat="1" applyFont="1" applyFill="1" applyBorder="1" applyAlignment="1">
      <alignment horizontal="left" vertical="top" wrapText="1"/>
    </xf>
    <xf numFmtId="166" fontId="22" fillId="17" borderId="39" xfId="1" applyNumberFormat="1" applyFont="1" applyFill="1" applyBorder="1" applyAlignment="1">
      <alignment horizontal="left" vertical="top" wrapText="1"/>
    </xf>
    <xf numFmtId="37" fontId="22" fillId="0" borderId="4" xfId="0" applyNumberFormat="1" applyFont="1" applyFill="1" applyBorder="1" applyAlignment="1">
      <alignment wrapText="1"/>
    </xf>
    <xf numFmtId="166" fontId="22" fillId="17" borderId="29" xfId="1" applyNumberFormat="1" applyFont="1" applyFill="1" applyBorder="1" applyAlignment="1">
      <alignment horizontal="left" vertical="top" wrapText="1"/>
    </xf>
    <xf numFmtId="37" fontId="23" fillId="16" borderId="4" xfId="1" applyNumberFormat="1" applyFont="1" applyFill="1" applyBorder="1" applyAlignment="1">
      <alignment horizontal="right" wrapText="1"/>
    </xf>
    <xf numFmtId="166" fontId="22" fillId="9" borderId="4" xfId="1" applyNumberFormat="1" applyFont="1" applyFill="1" applyBorder="1" applyAlignment="1">
      <alignment horizontal="center" wrapText="1"/>
    </xf>
    <xf numFmtId="37" fontId="23" fillId="0" borderId="4" xfId="0" applyNumberFormat="1" applyFont="1" applyFill="1" applyBorder="1" applyAlignment="1">
      <alignment horizontal="right" vertical="center" wrapText="1"/>
    </xf>
    <xf numFmtId="37" fontId="23" fillId="0" borderId="4" xfId="0" applyNumberFormat="1" applyFont="1" applyBorder="1" applyAlignment="1">
      <alignment horizontal="right" vertical="center" wrapText="1"/>
    </xf>
    <xf numFmtId="37" fontId="26" fillId="10" borderId="4" xfId="1" applyNumberFormat="1" applyFont="1" applyFill="1" applyBorder="1" applyAlignment="1">
      <alignment horizontal="right" wrapText="1"/>
    </xf>
    <xf numFmtId="37" fontId="22" fillId="5" borderId="4" xfId="0" applyNumberFormat="1" applyFont="1" applyFill="1" applyBorder="1" applyAlignment="1">
      <alignment horizontal="center" vertical="center" wrapText="1"/>
    </xf>
    <xf numFmtId="37" fontId="22" fillId="6" borderId="4" xfId="0" applyNumberFormat="1" applyFont="1" applyFill="1" applyBorder="1" applyAlignment="1">
      <alignment wrapText="1"/>
    </xf>
    <xf numFmtId="166" fontId="22" fillId="16" borderId="12" xfId="1" applyNumberFormat="1" applyFont="1" applyFill="1" applyBorder="1" applyAlignment="1">
      <alignment horizontal="left" vertical="top" wrapText="1"/>
    </xf>
    <xf numFmtId="37" fontId="22" fillId="0" borderId="2" xfId="1" applyNumberFormat="1" applyFont="1" applyFill="1" applyBorder="1" applyAlignment="1">
      <alignment wrapText="1"/>
    </xf>
    <xf numFmtId="37" fontId="22" fillId="9" borderId="2" xfId="1" applyNumberFormat="1" applyFont="1" applyFill="1" applyBorder="1" applyAlignment="1">
      <alignment horizontal="right" vertical="top" wrapText="1"/>
    </xf>
    <xf numFmtId="166" fontId="22" fillId="17" borderId="40" xfId="1" applyNumberFormat="1" applyFont="1" applyFill="1" applyBorder="1" applyAlignment="1">
      <alignment horizontal="left" vertical="top" wrapText="1"/>
    </xf>
    <xf numFmtId="37" fontId="22" fillId="0" borderId="2" xfId="0" applyNumberFormat="1" applyFont="1" applyFill="1" applyBorder="1" applyAlignment="1">
      <alignment wrapText="1"/>
    </xf>
    <xf numFmtId="37" fontId="22" fillId="0" borderId="10" xfId="1" applyNumberFormat="1" applyFont="1" applyFill="1" applyBorder="1" applyAlignment="1">
      <alignment wrapText="1"/>
    </xf>
    <xf numFmtId="37" fontId="22" fillId="16" borderId="2" xfId="1" applyNumberFormat="1" applyFont="1" applyFill="1" applyBorder="1" applyAlignment="1">
      <alignment horizontal="right" vertical="top" wrapText="1"/>
    </xf>
    <xf numFmtId="37" fontId="22" fillId="0" borderId="2" xfId="0" applyNumberFormat="1" applyFont="1" applyBorder="1" applyAlignment="1">
      <alignment horizontal="left" vertical="center" wrapText="1"/>
    </xf>
    <xf numFmtId="37" fontId="22" fillId="0" borderId="2" xfId="1" applyNumberFormat="1" applyFont="1" applyFill="1" applyBorder="1" applyAlignment="1">
      <alignment horizontal="right" vertical="top" wrapText="1"/>
    </xf>
    <xf numFmtId="166" fontId="22" fillId="16" borderId="3" xfId="1" applyNumberFormat="1" applyFont="1" applyFill="1" applyBorder="1" applyAlignment="1">
      <alignment horizontal="right" vertical="top"/>
    </xf>
    <xf numFmtId="37" fontId="22" fillId="0" borderId="2" xfId="0" applyNumberFormat="1" applyFont="1" applyFill="1" applyBorder="1" applyAlignment="1">
      <alignment horizontal="right" vertical="center" wrapText="1"/>
    </xf>
    <xf numFmtId="37" fontId="22" fillId="0" borderId="2" xfId="0" applyNumberFormat="1" applyFont="1" applyBorder="1" applyAlignment="1">
      <alignment horizontal="right" vertical="center" wrapText="1"/>
    </xf>
    <xf numFmtId="37" fontId="26" fillId="10" borderId="2" xfId="1" applyNumberFormat="1" applyFont="1" applyFill="1" applyBorder="1" applyAlignment="1">
      <alignment horizontal="right" wrapText="1"/>
    </xf>
    <xf numFmtId="37" fontId="22" fillId="5" borderId="2" xfId="0" applyNumberFormat="1" applyFont="1" applyFill="1" applyBorder="1" applyAlignment="1">
      <alignment horizontal="center" vertical="center" wrapText="1"/>
    </xf>
    <xf numFmtId="37" fontId="22" fillId="6" borderId="2" xfId="0" applyNumberFormat="1" applyFont="1" applyFill="1" applyBorder="1" applyAlignment="1">
      <alignment wrapText="1"/>
    </xf>
    <xf numFmtId="39" fontId="22" fillId="6" borderId="2" xfId="0" applyNumberFormat="1" applyFont="1" applyFill="1" applyBorder="1" applyAlignment="1">
      <alignment wrapText="1"/>
    </xf>
    <xf numFmtId="0" fontId="30" fillId="0" borderId="0" xfId="0" applyFont="1" applyFill="1" applyBorder="1" applyAlignment="1">
      <alignment horizontal="center" wrapText="1"/>
    </xf>
    <xf numFmtId="0" fontId="22" fillId="0" borderId="0" xfId="0" applyFont="1" applyFill="1" applyBorder="1" applyAlignment="1">
      <alignment horizontal="left" vertical="center" wrapText="1"/>
    </xf>
    <xf numFmtId="166" fontId="22" fillId="0" borderId="0" xfId="1" applyNumberFormat="1" applyFont="1" applyFill="1" applyBorder="1" applyAlignment="1">
      <alignment horizontal="left" vertical="top" wrapText="1"/>
    </xf>
    <xf numFmtId="0" fontId="22" fillId="0" borderId="0" xfId="0" applyFont="1" applyFill="1" applyBorder="1" applyAlignment="1">
      <alignment horizontal="center" wrapText="1"/>
    </xf>
    <xf numFmtId="0" fontId="22" fillId="0" borderId="0" xfId="0" applyFont="1" applyFill="1" applyBorder="1" applyAlignment="1">
      <alignment horizontal="center"/>
    </xf>
    <xf numFmtId="0" fontId="21" fillId="0" borderId="0" xfId="0" applyFont="1" applyFill="1" applyBorder="1" applyAlignment="1">
      <alignment horizontal="center" wrapText="1"/>
    </xf>
    <xf numFmtId="0" fontId="23" fillId="0" borderId="0" xfId="0" applyFont="1" applyFill="1" applyBorder="1" applyAlignment="1">
      <alignment horizontal="left" vertical="center" wrapText="1"/>
    </xf>
    <xf numFmtId="0" fontId="27" fillId="0" borderId="0" xfId="0" applyFont="1" applyFill="1" applyBorder="1" applyAlignment="1">
      <alignment horizontal="center" wrapText="1"/>
    </xf>
    <xf numFmtId="0" fontId="27" fillId="0" borderId="0" xfId="0" applyFont="1" applyFill="1" applyBorder="1" applyAlignment="1">
      <alignment horizontal="right" vertical="center" wrapText="1"/>
    </xf>
    <xf numFmtId="0" fontId="23" fillId="0" borderId="0" xfId="0" applyFont="1" applyFill="1" applyBorder="1" applyAlignment="1">
      <alignment horizontal="right" vertical="center" wrapText="1"/>
    </xf>
    <xf numFmtId="0" fontId="21" fillId="0" borderId="0" xfId="0" applyFont="1" applyFill="1" applyBorder="1" applyAlignment="1">
      <alignment horizontal="right" vertical="center" wrapText="1"/>
    </xf>
    <xf numFmtId="0" fontId="22" fillId="0" borderId="0" xfId="0" applyFont="1" applyFill="1" applyBorder="1" applyAlignment="1">
      <alignment horizontal="right" vertical="center" wrapText="1"/>
    </xf>
    <xf numFmtId="39" fontId="22" fillId="0" borderId="0" xfId="0" applyNumberFormat="1" applyFont="1" applyFill="1" applyBorder="1" applyAlignment="1">
      <alignment wrapText="1"/>
    </xf>
    <xf numFmtId="0" fontId="28" fillId="0" borderId="0" xfId="0" applyFont="1" applyFill="1" applyBorder="1" applyAlignment="1">
      <alignment wrapText="1"/>
    </xf>
    <xf numFmtId="37" fontId="22" fillId="5" borderId="4" xfId="0" applyNumberFormat="1" applyFont="1" applyFill="1" applyBorder="1" applyAlignment="1">
      <alignment vertical="center" wrapText="1"/>
    </xf>
    <xf numFmtId="39" fontId="23" fillId="0" borderId="2" xfId="1" applyNumberFormat="1" applyFont="1" applyFill="1" applyBorder="1" applyAlignment="1">
      <alignment wrapText="1"/>
    </xf>
    <xf numFmtId="166" fontId="22" fillId="17" borderId="41" xfId="1" applyNumberFormat="1" applyFont="1" applyFill="1" applyBorder="1" applyAlignment="1">
      <alignment horizontal="left" vertical="top" wrapText="1"/>
    </xf>
    <xf numFmtId="0" fontId="22" fillId="0" borderId="2" xfId="0" applyFont="1" applyFill="1" applyBorder="1" applyAlignment="1">
      <alignment wrapText="1"/>
    </xf>
    <xf numFmtId="166" fontId="22" fillId="17" borderId="30" xfId="1" applyNumberFormat="1" applyFont="1" applyFill="1" applyBorder="1" applyAlignment="1">
      <alignment horizontal="left" vertical="top" wrapText="1"/>
    </xf>
    <xf numFmtId="39" fontId="23" fillId="0" borderId="10" xfId="1" applyNumberFormat="1" applyFont="1" applyFill="1" applyBorder="1" applyAlignment="1">
      <alignment wrapText="1"/>
    </xf>
    <xf numFmtId="166" fontId="23" fillId="16" borderId="2" xfId="1" applyNumberFormat="1" applyFont="1" applyFill="1" applyBorder="1" applyAlignment="1">
      <alignment horizontal="right" wrapText="1"/>
    </xf>
    <xf numFmtId="0" fontId="22" fillId="0" borderId="2" xfId="0" applyFont="1" applyBorder="1" applyAlignment="1">
      <alignment horizontal="left" vertical="center" wrapText="1"/>
    </xf>
    <xf numFmtId="166" fontId="23" fillId="0" borderId="2" xfId="1" applyNumberFormat="1" applyFont="1" applyFill="1" applyBorder="1" applyAlignment="1">
      <alignment horizontal="right" wrapText="1"/>
    </xf>
    <xf numFmtId="0" fontId="23" fillId="0" borderId="2" xfId="0" applyFont="1" applyFill="1" applyBorder="1" applyAlignment="1">
      <alignment vertical="top" wrapText="1"/>
    </xf>
    <xf numFmtId="0" fontId="23" fillId="0" borderId="2" xfId="0" applyFont="1" applyBorder="1" applyAlignment="1">
      <alignment horizontal="right" vertical="center" wrapText="1"/>
    </xf>
    <xf numFmtId="0" fontId="23" fillId="0" borderId="2" xfId="0" applyFont="1" applyFill="1" applyBorder="1" applyAlignment="1">
      <alignment horizontal="right" vertical="center" wrapText="1"/>
    </xf>
    <xf numFmtId="0" fontId="22" fillId="5" borderId="2" xfId="0" applyFont="1" applyFill="1" applyBorder="1" applyAlignment="1">
      <alignment vertical="center" wrapText="1"/>
    </xf>
    <xf numFmtId="0" fontId="23" fillId="0" borderId="0" xfId="0" applyFont="1" applyFill="1" applyBorder="1" applyAlignment="1">
      <alignment horizontal="center" wrapText="1"/>
    </xf>
    <xf numFmtId="0" fontId="21" fillId="0" borderId="0" xfId="0" applyFont="1" applyFill="1" applyBorder="1" applyAlignment="1">
      <alignment horizontal="right"/>
    </xf>
    <xf numFmtId="166" fontId="23" fillId="0" borderId="8" xfId="1" applyNumberFormat="1" applyFont="1" applyBorder="1" applyAlignment="1">
      <alignment horizontal="right" vertical="center"/>
    </xf>
    <xf numFmtId="166" fontId="23" fillId="0" borderId="4" xfId="1" applyNumberFormat="1" applyFont="1" applyBorder="1" applyAlignment="1">
      <alignment horizontal="right" vertical="center"/>
    </xf>
    <xf numFmtId="166" fontId="23" fillId="0" borderId="4" xfId="1" applyNumberFormat="1" applyFont="1" applyFill="1" applyBorder="1" applyAlignment="1">
      <alignment vertical="top"/>
    </xf>
    <xf numFmtId="166" fontId="23" fillId="0" borderId="4" xfId="1" applyNumberFormat="1" applyFont="1" applyFill="1" applyBorder="1" applyAlignment="1">
      <alignment horizontal="right" vertical="center"/>
    </xf>
    <xf numFmtId="168" fontId="23" fillId="0" borderId="6" xfId="0" applyNumberFormat="1" applyFont="1" applyBorder="1" applyAlignment="1">
      <alignment horizontal="right" vertical="center"/>
    </xf>
    <xf numFmtId="166" fontId="26" fillId="10" borderId="4" xfId="1" applyNumberFormat="1" applyFont="1" applyFill="1" applyBorder="1" applyAlignment="1">
      <alignment horizontal="right"/>
    </xf>
    <xf numFmtId="166" fontId="22" fillId="5" borderId="4" xfId="1" applyNumberFormat="1" applyFont="1" applyFill="1" applyBorder="1" applyAlignment="1">
      <alignment horizontal="right" vertical="center" wrapText="1"/>
    </xf>
    <xf numFmtId="167" fontId="23" fillId="0" borderId="10" xfId="1" applyNumberFormat="1" applyFont="1" applyBorder="1" applyAlignment="1">
      <alignment horizontal="center" wrapText="1"/>
    </xf>
    <xf numFmtId="167" fontId="23" fillId="0" borderId="2" xfId="1" applyNumberFormat="1" applyFont="1" applyBorder="1" applyAlignment="1">
      <alignment horizontal="center" wrapText="1"/>
    </xf>
    <xf numFmtId="166" fontId="23" fillId="0" borderId="7" xfId="1" applyNumberFormat="1" applyFont="1" applyFill="1" applyBorder="1" applyAlignment="1">
      <alignment vertical="top"/>
    </xf>
    <xf numFmtId="166" fontId="24" fillId="0" borderId="7" xfId="1" applyNumberFormat="1" applyFont="1" applyFill="1" applyBorder="1" applyAlignment="1">
      <alignment vertical="top"/>
    </xf>
    <xf numFmtId="166" fontId="23" fillId="0" borderId="2" xfId="1" applyNumberFormat="1" applyFont="1" applyBorder="1" applyAlignment="1">
      <alignment horizontal="right" vertical="center"/>
    </xf>
    <xf numFmtId="166" fontId="23" fillId="0" borderId="2" xfId="1" applyNumberFormat="1" applyFont="1" applyFill="1" applyBorder="1" applyAlignment="1">
      <alignment horizontal="right" vertical="center"/>
    </xf>
    <xf numFmtId="166" fontId="23" fillId="0" borderId="2" xfId="1" applyNumberFormat="1" applyFont="1" applyBorder="1" applyAlignment="1">
      <alignment horizontal="center" vertical="top" wrapText="1"/>
    </xf>
    <xf numFmtId="166" fontId="23" fillId="0" borderId="2" xfId="1" applyNumberFormat="1" applyFont="1" applyFill="1" applyBorder="1" applyAlignment="1">
      <alignment horizontal="center" vertical="top" wrapText="1"/>
    </xf>
    <xf numFmtId="166" fontId="23" fillId="0" borderId="0" xfId="1" applyNumberFormat="1" applyFont="1" applyFill="1" applyBorder="1" applyAlignment="1">
      <alignment vertical="center"/>
    </xf>
    <xf numFmtId="166" fontId="26" fillId="0" borderId="0" xfId="1" applyNumberFormat="1" applyFont="1" applyFill="1" applyBorder="1" applyAlignment="1">
      <alignment horizontal="center"/>
    </xf>
    <xf numFmtId="166" fontId="22" fillId="0" borderId="0" xfId="1" applyNumberFormat="1" applyFont="1" applyFill="1" applyBorder="1" applyAlignment="1">
      <alignment vertical="top" wrapText="1"/>
    </xf>
    <xf numFmtId="0" fontId="23" fillId="0" borderId="6" xfId="0" applyFont="1" applyBorder="1" applyAlignment="1">
      <alignment horizontal="right" vertical="center"/>
    </xf>
    <xf numFmtId="166" fontId="22" fillId="0" borderId="2" xfId="1" applyNumberFormat="1" applyFont="1" applyFill="1" applyBorder="1" applyAlignment="1">
      <alignment vertical="top"/>
    </xf>
    <xf numFmtId="166" fontId="22" fillId="0" borderId="2" xfId="1" applyNumberFormat="1" applyFont="1" applyFill="1" applyBorder="1" applyAlignment="1">
      <alignment horizontal="right" vertical="top"/>
    </xf>
    <xf numFmtId="166" fontId="22" fillId="9" borderId="7" xfId="1" applyNumberFormat="1" applyFont="1" applyFill="1" applyBorder="1" applyAlignment="1">
      <alignment horizontal="right" vertical="center"/>
    </xf>
    <xf numFmtId="166" fontId="26" fillId="10" borderId="30" xfId="1" applyNumberFormat="1" applyFont="1" applyFill="1" applyBorder="1" applyAlignment="1">
      <alignment horizontal="left"/>
    </xf>
    <xf numFmtId="0" fontId="23" fillId="0" borderId="2" xfId="0" applyFont="1" applyBorder="1" applyAlignment="1">
      <alignment horizontal="right" vertical="center"/>
    </xf>
    <xf numFmtId="166" fontId="22" fillId="0" borderId="0" xfId="1" applyNumberFormat="1" applyFont="1" applyFill="1" applyBorder="1" applyAlignment="1">
      <alignment vertical="center"/>
    </xf>
    <xf numFmtId="166" fontId="23" fillId="0" borderId="4" xfId="1" applyNumberFormat="1" applyFont="1" applyFill="1" applyBorder="1" applyAlignment="1">
      <alignment horizontal="right"/>
    </xf>
    <xf numFmtId="166" fontId="26" fillId="10" borderId="6" xfId="1" applyNumberFormat="1" applyFont="1" applyFill="1" applyBorder="1" applyAlignment="1">
      <alignment horizontal="right"/>
    </xf>
    <xf numFmtId="166" fontId="21" fillId="0" borderId="0" xfId="1" applyNumberFormat="1" applyFont="1" applyFill="1" applyBorder="1" applyAlignment="1">
      <alignment horizontal="center"/>
    </xf>
    <xf numFmtId="166" fontId="22" fillId="9" borderId="7" xfId="1" applyNumberFormat="1" applyFont="1" applyFill="1" applyBorder="1" applyAlignment="1">
      <alignment horizontal="right" vertical="top"/>
    </xf>
    <xf numFmtId="166" fontId="26" fillId="10" borderId="30" xfId="1" applyNumberFormat="1" applyFont="1" applyFill="1" applyBorder="1" applyAlignment="1">
      <alignment horizontal="right" vertical="top"/>
    </xf>
    <xf numFmtId="166" fontId="26" fillId="10" borderId="6" xfId="1" applyNumberFormat="1" applyFont="1" applyFill="1" applyBorder="1" applyAlignment="1">
      <alignment horizontal="right" vertical="top"/>
    </xf>
    <xf numFmtId="166" fontId="26" fillId="10" borderId="3" xfId="1" applyNumberFormat="1" applyFont="1" applyFill="1" applyBorder="1" applyAlignment="1">
      <alignment horizontal="right" vertical="top"/>
    </xf>
    <xf numFmtId="166" fontId="22" fillId="9" borderId="5" xfId="1" applyNumberFormat="1" applyFont="1" applyFill="1" applyBorder="1" applyAlignment="1"/>
    <xf numFmtId="166" fontId="22" fillId="9" borderId="6" xfId="1" applyNumberFormat="1" applyFont="1" applyFill="1" applyBorder="1" applyAlignment="1"/>
    <xf numFmtId="166" fontId="26" fillId="10" borderId="16" xfId="1" applyNumberFormat="1" applyFont="1" applyFill="1" applyBorder="1" applyAlignment="1"/>
    <xf numFmtId="166" fontId="26" fillId="10" borderId="30" xfId="1" applyNumberFormat="1" applyFont="1" applyFill="1" applyBorder="1" applyAlignment="1"/>
    <xf numFmtId="166" fontId="22" fillId="17" borderId="18" xfId="1" applyNumberFormat="1" applyFont="1" applyFill="1" applyBorder="1" applyAlignment="1">
      <alignment vertical="top" wrapText="1"/>
    </xf>
    <xf numFmtId="166" fontId="22" fillId="17" borderId="27" xfId="1" applyNumberFormat="1" applyFont="1" applyFill="1" applyBorder="1" applyAlignment="1">
      <alignment vertical="top" wrapText="1"/>
    </xf>
    <xf numFmtId="166" fontId="22" fillId="17" borderId="19" xfId="1" applyNumberFormat="1" applyFont="1" applyFill="1" applyBorder="1" applyAlignment="1">
      <alignment vertical="top" wrapText="1"/>
    </xf>
    <xf numFmtId="166" fontId="23" fillId="0" borderId="6" xfId="1" applyNumberFormat="1" applyFont="1" applyFill="1" applyBorder="1" applyAlignment="1">
      <alignment horizontal="right" vertical="top"/>
    </xf>
    <xf numFmtId="0" fontId="23" fillId="0" borderId="7" xfId="1" applyNumberFormat="1" applyFont="1" applyFill="1" applyBorder="1" applyAlignment="1">
      <alignment vertical="top"/>
    </xf>
    <xf numFmtId="166" fontId="4" fillId="0" borderId="11" xfId="1" applyNumberFormat="1" applyFont="1" applyFill="1" applyBorder="1" applyAlignment="1">
      <alignment horizontal="right" vertical="top"/>
    </xf>
    <xf numFmtId="0" fontId="22" fillId="0" borderId="0" xfId="0" applyFont="1" applyFill="1" applyBorder="1" applyAlignment="1">
      <alignment vertical="center"/>
    </xf>
    <xf numFmtId="0" fontId="22" fillId="0" borderId="1" xfId="0" applyFont="1" applyFill="1" applyBorder="1" applyAlignment="1">
      <alignment vertical="center"/>
    </xf>
    <xf numFmtId="0" fontId="23" fillId="0" borderId="0" xfId="0" applyFont="1" applyAlignment="1"/>
    <xf numFmtId="0" fontId="23" fillId="0" borderId="1" xfId="0" applyFont="1" applyBorder="1" applyAlignment="1"/>
    <xf numFmtId="0" fontId="23" fillId="0" borderId="0" xfId="0" applyFont="1" applyBorder="1" applyAlignment="1"/>
    <xf numFmtId="0" fontId="22" fillId="0" borderId="0" xfId="0" applyFont="1" applyFill="1" applyBorder="1" applyAlignment="1">
      <alignment horizontal="center" vertical="center"/>
    </xf>
    <xf numFmtId="0" fontId="6" fillId="0" borderId="1" xfId="0" applyFont="1" applyBorder="1" applyAlignment="1">
      <alignment vertical="top"/>
    </xf>
    <xf numFmtId="0" fontId="23" fillId="13" borderId="1" xfId="1" applyNumberFormat="1" applyFont="1" applyFill="1" applyBorder="1" applyAlignment="1">
      <alignment vertical="top"/>
    </xf>
    <xf numFmtId="0" fontId="4" fillId="0" borderId="1" xfId="0" applyFont="1" applyFill="1" applyBorder="1" applyAlignment="1">
      <alignment vertical="top"/>
    </xf>
    <xf numFmtId="37" fontId="23" fillId="0" borderId="1" xfId="1" applyNumberFormat="1" applyFont="1" applyFill="1" applyBorder="1" applyAlignment="1"/>
    <xf numFmtId="39" fontId="23" fillId="0" borderId="1" xfId="1" applyNumberFormat="1" applyFont="1" applyFill="1" applyBorder="1" applyAlignment="1"/>
    <xf numFmtId="37" fontId="22" fillId="0" borderId="1" xfId="1" applyNumberFormat="1" applyFont="1" applyFill="1" applyBorder="1" applyAlignment="1"/>
    <xf numFmtId="9" fontId="23" fillId="0" borderId="1" xfId="3" applyFont="1" applyFill="1" applyBorder="1" applyAlignment="1"/>
    <xf numFmtId="0" fontId="23" fillId="0" borderId="1" xfId="0" applyFont="1" applyFill="1" applyBorder="1" applyAlignment="1"/>
    <xf numFmtId="0" fontId="6" fillId="0" borderId="1" xfId="0" applyFont="1" applyFill="1" applyBorder="1" applyAlignment="1">
      <alignment horizontal="left" vertical="top"/>
    </xf>
    <xf numFmtId="37" fontId="23" fillId="0" borderId="4" xfId="1" applyNumberFormat="1" applyFont="1" applyFill="1" applyBorder="1" applyAlignment="1"/>
    <xf numFmtId="0" fontId="6" fillId="0" borderId="1" xfId="0" applyFont="1" applyFill="1" applyBorder="1" applyAlignment="1">
      <alignment vertical="top"/>
    </xf>
    <xf numFmtId="166" fontId="23" fillId="0" borderId="1" xfId="1" applyNumberFormat="1" applyFont="1" applyFill="1" applyBorder="1" applyAlignment="1">
      <alignment horizontal="left" vertical="top"/>
    </xf>
    <xf numFmtId="166" fontId="22" fillId="9" borderId="13" xfId="1" applyNumberFormat="1" applyFont="1" applyFill="1" applyBorder="1" applyAlignment="1">
      <alignment horizontal="left" vertical="top"/>
    </xf>
    <xf numFmtId="0" fontId="4" fillId="9" borderId="0" xfId="0" applyFont="1" applyFill="1" applyAlignment="1"/>
    <xf numFmtId="166" fontId="5" fillId="17" borderId="16" xfId="1" applyNumberFormat="1" applyFont="1" applyFill="1" applyBorder="1" applyAlignment="1">
      <alignment vertical="top"/>
    </xf>
    <xf numFmtId="166" fontId="22" fillId="17" borderId="16" xfId="1" applyNumberFormat="1" applyFont="1" applyFill="1" applyBorder="1" applyAlignment="1">
      <alignment horizontal="right" vertical="top"/>
    </xf>
    <xf numFmtId="166" fontId="22" fillId="17" borderId="16" xfId="1" applyNumberFormat="1" applyFont="1" applyFill="1" applyBorder="1" applyAlignment="1">
      <alignment vertical="top"/>
    </xf>
    <xf numFmtId="0" fontId="5" fillId="0" borderId="0" xfId="0" applyFont="1" applyFill="1" applyBorder="1" applyAlignment="1"/>
    <xf numFmtId="166" fontId="4" fillId="0" borderId="1" xfId="1" applyNumberFormat="1" applyFont="1" applyFill="1" applyBorder="1" applyAlignment="1">
      <alignment vertical="top"/>
    </xf>
    <xf numFmtId="166" fontId="6" fillId="0" borderId="1" xfId="1" applyNumberFormat="1" applyFont="1" applyFill="1" applyBorder="1" applyAlignment="1">
      <alignment horizontal="right" vertical="top"/>
    </xf>
    <xf numFmtId="165" fontId="4" fillId="0" borderId="1" xfId="1" applyNumberFormat="1" applyFont="1" applyFill="1" applyBorder="1" applyAlignment="1">
      <alignment horizontal="right" vertical="center"/>
    </xf>
    <xf numFmtId="166" fontId="4" fillId="0" borderId="1" xfId="1" applyNumberFormat="1" applyFont="1" applyFill="1" applyBorder="1" applyAlignment="1">
      <alignment horizontal="right" vertical="center"/>
    </xf>
    <xf numFmtId="166" fontId="4" fillId="0" borderId="1" xfId="1" applyNumberFormat="1" applyFont="1" applyFill="1" applyBorder="1" applyAlignment="1"/>
    <xf numFmtId="166" fontId="4" fillId="0" borderId="0" xfId="1" applyNumberFormat="1" applyFont="1" applyFill="1" applyBorder="1" applyAlignment="1">
      <alignment vertical="center"/>
    </xf>
    <xf numFmtId="166" fontId="5" fillId="0" borderId="0" xfId="1" applyNumberFormat="1" applyFont="1" applyFill="1" applyBorder="1" applyAlignment="1">
      <alignment vertical="center"/>
    </xf>
    <xf numFmtId="166" fontId="5" fillId="0" borderId="1" xfId="1" applyNumberFormat="1" applyFont="1" applyFill="1" applyBorder="1" applyAlignment="1">
      <alignment horizontal="right" vertical="top"/>
    </xf>
    <xf numFmtId="0" fontId="22" fillId="0" borderId="1" xfId="1" applyNumberFormat="1" applyFont="1" applyFill="1" applyBorder="1" applyAlignment="1">
      <alignment horizontal="right" vertical="top"/>
    </xf>
    <xf numFmtId="0" fontId="5" fillId="0" borderId="0" xfId="0" applyFont="1" applyFill="1" applyAlignment="1"/>
    <xf numFmtId="0" fontId="22" fillId="13" borderId="0" xfId="0" applyFont="1" applyFill="1" applyAlignment="1"/>
    <xf numFmtId="0" fontId="23" fillId="0" borderId="1" xfId="1" applyNumberFormat="1" applyFont="1" applyFill="1" applyBorder="1" applyAlignment="1">
      <alignment horizontal="left" vertical="top"/>
    </xf>
    <xf numFmtId="0" fontId="22" fillId="0" borderId="0" xfId="0" applyFont="1" applyFill="1" applyAlignment="1"/>
    <xf numFmtId="0" fontId="22" fillId="0" borderId="1" xfId="0" applyFont="1" applyFill="1" applyBorder="1" applyAlignment="1"/>
    <xf numFmtId="166" fontId="24" fillId="16" borderId="3" xfId="1" applyNumberFormat="1" applyFont="1" applyFill="1" applyBorder="1" applyAlignment="1">
      <alignment horizontal="right" vertical="top"/>
    </xf>
    <xf numFmtId="0" fontId="23" fillId="0" borderId="11" xfId="0" applyFont="1" applyFill="1" applyBorder="1" applyAlignment="1">
      <alignment vertical="top"/>
    </xf>
    <xf numFmtId="166" fontId="24" fillId="0" borderId="11" xfId="1" applyNumberFormat="1" applyFont="1" applyFill="1" applyBorder="1" applyAlignment="1">
      <alignment horizontal="right" vertical="top"/>
    </xf>
    <xf numFmtId="0" fontId="4" fillId="0" borderId="1" xfId="0" applyFont="1" applyFill="1" applyBorder="1" applyAlignment="1"/>
    <xf numFmtId="0" fontId="23" fillId="0" borderId="0" xfId="0" applyFont="1" applyFill="1" applyBorder="1" applyAlignment="1"/>
    <xf numFmtId="37" fontId="22" fillId="16" borderId="3" xfId="1" applyNumberFormat="1" applyFont="1" applyFill="1" applyBorder="1" applyAlignment="1">
      <alignment horizontal="right" vertical="top"/>
    </xf>
    <xf numFmtId="0" fontId="22" fillId="0" borderId="1" xfId="0" applyFont="1" applyFill="1" applyBorder="1" applyAlignment="1">
      <alignment horizontal="right"/>
    </xf>
    <xf numFmtId="166" fontId="23" fillId="0" borderId="1" xfId="1" applyNumberFormat="1" applyFont="1" applyFill="1" applyBorder="1" applyAlignment="1"/>
    <xf numFmtId="37" fontId="22" fillId="0" borderId="1" xfId="0" applyNumberFormat="1" applyFont="1" applyFill="1" applyBorder="1" applyAlignment="1"/>
    <xf numFmtId="0" fontId="22" fillId="0" borderId="0" xfId="0" applyFont="1" applyBorder="1" applyAlignment="1"/>
    <xf numFmtId="0" fontId="4" fillId="0" borderId="1" xfId="0" applyFont="1" applyBorder="1" applyAlignment="1"/>
    <xf numFmtId="0" fontId="27" fillId="0" borderId="0" xfId="0" applyFont="1" applyBorder="1" applyAlignment="1"/>
    <xf numFmtId="0" fontId="27" fillId="0" borderId="0" xfId="0" applyFont="1" applyAlignment="1"/>
    <xf numFmtId="0" fontId="23" fillId="0" borderId="1" xfId="0" applyFont="1" applyFill="1" applyBorder="1" applyAlignment="1">
      <alignment horizontal="right"/>
    </xf>
    <xf numFmtId="0" fontId="24" fillId="0" borderId="1" xfId="0" applyFont="1" applyBorder="1" applyAlignment="1">
      <alignment horizontal="right" vertical="top"/>
    </xf>
    <xf numFmtId="0" fontId="24" fillId="0" borderId="1" xfId="0" applyFont="1" applyBorder="1" applyAlignment="1">
      <alignment vertical="top"/>
    </xf>
    <xf numFmtId="166" fontId="23" fillId="0" borderId="1" xfId="1" applyNumberFormat="1" applyFont="1" applyBorder="1" applyAlignment="1">
      <alignment vertical="top"/>
    </xf>
    <xf numFmtId="166" fontId="22" fillId="9" borderId="13" xfId="1" applyNumberFormat="1" applyFont="1" applyFill="1" applyBorder="1" applyAlignment="1">
      <alignment vertical="top"/>
    </xf>
    <xf numFmtId="0" fontId="24" fillId="0" borderId="11" xfId="0" applyFont="1" applyBorder="1" applyAlignment="1">
      <alignment horizontal="right" vertical="top"/>
    </xf>
    <xf numFmtId="0" fontId="24" fillId="0" borderId="11" xfId="0" applyFont="1" applyBorder="1" applyAlignment="1">
      <alignment vertical="top"/>
    </xf>
    <xf numFmtId="166" fontId="23" fillId="0" borderId="11" xfId="1" applyNumberFormat="1" applyFont="1" applyFill="1" applyBorder="1" applyAlignment="1">
      <alignment vertical="top"/>
    </xf>
    <xf numFmtId="37" fontId="23" fillId="0" borderId="8" xfId="1" applyNumberFormat="1" applyFont="1" applyFill="1" applyBorder="1" applyAlignment="1"/>
    <xf numFmtId="0" fontId="23" fillId="0" borderId="0" xfId="0" applyFont="1" applyBorder="1" applyAlignment="1">
      <alignment horizontal="left" vertical="center"/>
    </xf>
    <xf numFmtId="166" fontId="24" fillId="0" borderId="1" xfId="1" applyNumberFormat="1" applyFont="1" applyBorder="1" applyAlignment="1">
      <alignment vertical="top"/>
    </xf>
    <xf numFmtId="9" fontId="23" fillId="0" borderId="1" xfId="3" applyFont="1" applyBorder="1" applyAlignment="1">
      <alignment horizontal="left" vertical="center"/>
    </xf>
    <xf numFmtId="0" fontId="23" fillId="0" borderId="1" xfId="0" applyFont="1" applyBorder="1" applyAlignment="1">
      <alignment horizontal="left" vertical="center"/>
    </xf>
    <xf numFmtId="0" fontId="22" fillId="0" borderId="0" xfId="0" applyFont="1" applyFill="1" applyAlignment="1">
      <alignment horizontal="center" vertical="center"/>
    </xf>
    <xf numFmtId="0" fontId="24" fillId="0" borderId="1" xfId="1" applyNumberFormat="1" applyFont="1" applyFill="1" applyBorder="1" applyAlignment="1">
      <alignment vertical="top"/>
    </xf>
    <xf numFmtId="0" fontId="23" fillId="0" borderId="0" xfId="0" applyFont="1" applyFill="1" applyBorder="1" applyAlignment="1">
      <alignment vertical="center"/>
    </xf>
    <xf numFmtId="0" fontId="23" fillId="16" borderId="11" xfId="1" applyNumberFormat="1" applyFont="1" applyFill="1" applyBorder="1" applyAlignment="1">
      <alignment vertical="top"/>
    </xf>
    <xf numFmtId="166" fontId="4" fillId="16" borderId="11" xfId="1" applyNumberFormat="1" applyFont="1" applyFill="1" applyBorder="1" applyAlignment="1">
      <alignment vertical="top"/>
    </xf>
    <xf numFmtId="166" fontId="24" fillId="16" borderId="11" xfId="1" applyNumberFormat="1" applyFont="1" applyFill="1" applyBorder="1" applyAlignment="1">
      <alignment horizontal="right" vertical="top"/>
    </xf>
    <xf numFmtId="166" fontId="23" fillId="16" borderId="11" xfId="1" applyNumberFormat="1" applyFont="1" applyFill="1" applyBorder="1" applyAlignment="1">
      <alignment horizontal="right"/>
    </xf>
    <xf numFmtId="37" fontId="23" fillId="16" borderId="8" xfId="1" applyNumberFormat="1" applyFont="1" applyFill="1" applyBorder="1" applyAlignment="1">
      <alignment horizontal="right"/>
    </xf>
    <xf numFmtId="166" fontId="23" fillId="16" borderId="1" xfId="1" applyNumberFormat="1" applyFont="1" applyFill="1" applyBorder="1" applyAlignment="1">
      <alignment horizontal="right"/>
    </xf>
    <xf numFmtId="37" fontId="23" fillId="16" borderId="1" xfId="1" applyNumberFormat="1" applyFont="1" applyFill="1" applyBorder="1" applyAlignment="1">
      <alignment horizontal="right"/>
    </xf>
    <xf numFmtId="9" fontId="23" fillId="16" borderId="1" xfId="3" applyFont="1" applyFill="1" applyBorder="1" applyAlignment="1">
      <alignment horizontal="right" vertical="top"/>
    </xf>
    <xf numFmtId="0" fontId="24" fillId="0" borderId="1" xfId="0" applyFont="1" applyBorder="1" applyAlignment="1">
      <alignment vertical="center"/>
    </xf>
    <xf numFmtId="0" fontId="4" fillId="0" borderId="1" xfId="0" applyFont="1" applyBorder="1" applyAlignment="1">
      <alignment horizontal="left" vertical="center"/>
    </xf>
    <xf numFmtId="0" fontId="22" fillId="0" borderId="1" xfId="0" applyFont="1" applyBorder="1" applyAlignment="1">
      <alignment horizontal="right" vertical="center"/>
    </xf>
    <xf numFmtId="0" fontId="22" fillId="0" borderId="1" xfId="0" applyFont="1" applyBorder="1" applyAlignment="1">
      <alignment horizontal="left" vertical="center"/>
    </xf>
    <xf numFmtId="166" fontId="23" fillId="0" borderId="1" xfId="1" applyNumberFormat="1" applyFont="1" applyBorder="1" applyAlignment="1">
      <alignment horizontal="left" vertical="center"/>
    </xf>
    <xf numFmtId="37" fontId="22" fillId="0" borderId="1" xfId="0" applyNumberFormat="1" applyFont="1" applyBorder="1" applyAlignment="1">
      <alignment horizontal="left" vertical="center"/>
    </xf>
    <xf numFmtId="9" fontId="22" fillId="0" borderId="1" xfId="3" applyFont="1" applyBorder="1" applyAlignment="1">
      <alignment horizontal="left" vertical="center"/>
    </xf>
    <xf numFmtId="0" fontId="33" fillId="0" borderId="0" xfId="0" applyFont="1" applyFill="1" applyBorder="1" applyAlignment="1">
      <alignment vertical="center"/>
    </xf>
    <xf numFmtId="0" fontId="22" fillId="0" borderId="0" xfId="0" applyFont="1" applyAlignment="1"/>
    <xf numFmtId="167" fontId="23" fillId="0" borderId="1" xfId="1" applyNumberFormat="1" applyFont="1" applyBorder="1" applyAlignment="1">
      <alignment horizontal="center"/>
    </xf>
    <xf numFmtId="166" fontId="23" fillId="0" borderId="1" xfId="1" applyNumberFormat="1" applyFont="1" applyBorder="1" applyAlignment="1">
      <alignment horizontal="center"/>
    </xf>
    <xf numFmtId="0" fontId="23" fillId="0" borderId="1" xfId="0" applyNumberFormat="1" applyFont="1" applyBorder="1" applyAlignment="1">
      <alignment horizontal="right" vertical="center"/>
    </xf>
    <xf numFmtId="0" fontId="4" fillId="0" borderId="0" xfId="0" applyFont="1" applyAlignment="1"/>
    <xf numFmtId="166" fontId="4" fillId="0" borderId="1" xfId="1" applyNumberFormat="1" applyFont="1" applyBorder="1" applyAlignment="1">
      <alignment vertical="top"/>
    </xf>
    <xf numFmtId="166" fontId="23" fillId="13" borderId="1" xfId="1" applyNumberFormat="1" applyFont="1" applyFill="1" applyBorder="1" applyAlignment="1">
      <alignment horizontal="right" vertical="top"/>
    </xf>
    <xf numFmtId="0" fontId="23" fillId="0" borderId="1" xfId="1" applyNumberFormat="1" applyFont="1" applyBorder="1" applyAlignment="1">
      <alignment vertical="top"/>
    </xf>
    <xf numFmtId="0" fontId="4" fillId="0" borderId="0" xfId="0" applyFont="1" applyFill="1" applyAlignment="1"/>
    <xf numFmtId="37" fontId="23" fillId="0" borderId="1" xfId="1" applyNumberFormat="1" applyFont="1" applyFill="1" applyBorder="1" applyAlignment="1">
      <alignment horizontal="right"/>
    </xf>
    <xf numFmtId="37" fontId="23" fillId="0" borderId="1" xfId="0" applyNumberFormat="1" applyFont="1" applyFill="1" applyBorder="1" applyAlignment="1">
      <alignment vertical="top"/>
    </xf>
    <xf numFmtId="0" fontId="5" fillId="0" borderId="0" xfId="0" applyFont="1" applyFill="1" applyBorder="1" applyAlignment="1">
      <alignment horizontal="left" vertical="center"/>
    </xf>
    <xf numFmtId="0" fontId="5" fillId="0" borderId="0" xfId="0" applyFont="1" applyAlignment="1"/>
    <xf numFmtId="164" fontId="4" fillId="0" borderId="0" xfId="0" applyNumberFormat="1" applyFont="1" applyFill="1" applyBorder="1" applyAlignment="1">
      <alignment vertical="center"/>
    </xf>
    <xf numFmtId="37" fontId="23" fillId="0" borderId="1" xfId="1" applyNumberFormat="1" applyFont="1" applyFill="1" applyBorder="1" applyAlignment="1">
      <alignment vertical="top"/>
    </xf>
    <xf numFmtId="0" fontId="24" fillId="0" borderId="1" xfId="0" applyFont="1" applyFill="1" applyBorder="1" applyAlignment="1">
      <alignment horizontal="right" vertical="top"/>
    </xf>
    <xf numFmtId="0" fontId="24" fillId="0" borderId="1" xfId="0" applyFont="1" applyFill="1" applyBorder="1" applyAlignment="1">
      <alignment vertical="top"/>
    </xf>
    <xf numFmtId="0" fontId="27" fillId="0" borderId="0" xfId="0" applyFont="1" applyFill="1" applyAlignment="1"/>
    <xf numFmtId="37" fontId="23" fillId="0" borderId="1" xfId="0" applyNumberFormat="1" applyFont="1" applyFill="1" applyBorder="1" applyAlignment="1">
      <alignment horizontal="right" vertical="center"/>
    </xf>
    <xf numFmtId="0" fontId="5" fillId="9" borderId="0" xfId="0" applyFont="1" applyFill="1" applyAlignment="1"/>
    <xf numFmtId="0" fontId="5" fillId="10" borderId="0" xfId="0" applyFont="1" applyFill="1" applyAlignment="1"/>
    <xf numFmtId="166" fontId="22" fillId="0" borderId="0" xfId="1" applyNumberFormat="1" applyFont="1" applyFill="1" applyAlignment="1"/>
    <xf numFmtId="166" fontId="22" fillId="0" borderId="0" xfId="1" applyNumberFormat="1" applyFont="1" applyFill="1" applyBorder="1" applyAlignment="1"/>
    <xf numFmtId="166" fontId="22" fillId="3" borderId="35" xfId="1" applyNumberFormat="1" applyFont="1" applyFill="1" applyBorder="1" applyAlignment="1">
      <alignment vertical="center"/>
    </xf>
    <xf numFmtId="166" fontId="22" fillId="3" borderId="33" xfId="1" applyNumberFormat="1" applyFont="1" applyFill="1" applyBorder="1" applyAlignment="1">
      <alignment vertical="center"/>
    </xf>
    <xf numFmtId="166" fontId="22" fillId="3" borderId="34" xfId="1" applyNumberFormat="1" applyFont="1" applyFill="1" applyBorder="1" applyAlignment="1">
      <alignment vertical="center"/>
    </xf>
    <xf numFmtId="166" fontId="4" fillId="0" borderId="1" xfId="1" applyNumberFormat="1" applyFont="1" applyFill="1" applyBorder="1" applyAlignment="1">
      <alignment horizontal="left" vertical="top"/>
    </xf>
    <xf numFmtId="167" fontId="4" fillId="0" borderId="1" xfId="1" applyNumberFormat="1" applyFont="1" applyFill="1" applyBorder="1" applyAlignment="1">
      <alignment horizontal="right" vertical="center"/>
    </xf>
    <xf numFmtId="0" fontId="4" fillId="0" borderId="1" xfId="1" applyNumberFormat="1" applyFont="1" applyFill="1" applyBorder="1" applyAlignment="1">
      <alignment horizontal="right" vertical="center"/>
    </xf>
    <xf numFmtId="167" fontId="23" fillId="0" borderId="1" xfId="1" applyNumberFormat="1" applyFont="1" applyFill="1" applyBorder="1" applyAlignment="1">
      <alignment horizontal="center"/>
    </xf>
    <xf numFmtId="166" fontId="23" fillId="0" borderId="1" xfId="1" applyNumberFormat="1" applyFont="1" applyFill="1" applyBorder="1" applyAlignment="1">
      <alignment horizontal="center"/>
    </xf>
    <xf numFmtId="0" fontId="23" fillId="0" borderId="1" xfId="0" applyNumberFormat="1" applyFont="1" applyFill="1" applyBorder="1" applyAlignment="1">
      <alignment horizontal="right" vertical="center"/>
    </xf>
    <xf numFmtId="167" fontId="6" fillId="0" borderId="1" xfId="1" applyNumberFormat="1" applyFont="1" applyFill="1" applyBorder="1" applyAlignment="1">
      <alignment horizontal="right" vertical="top"/>
    </xf>
    <xf numFmtId="166" fontId="6" fillId="0" borderId="1" xfId="1" applyNumberFormat="1" applyFont="1" applyFill="1" applyBorder="1" applyAlignment="1">
      <alignment vertical="top"/>
    </xf>
    <xf numFmtId="166" fontId="4" fillId="0" borderId="0" xfId="1" applyNumberFormat="1" applyFont="1" applyFill="1" applyBorder="1" applyAlignment="1"/>
    <xf numFmtId="166" fontId="7" fillId="0" borderId="1" xfId="1" applyNumberFormat="1" applyFont="1" applyFill="1" applyBorder="1" applyAlignment="1">
      <alignment horizontal="right" vertical="top"/>
    </xf>
    <xf numFmtId="0" fontId="26" fillId="0" borderId="1" xfId="1" applyNumberFormat="1" applyFont="1" applyFill="1" applyBorder="1" applyAlignment="1">
      <alignment vertical="top"/>
    </xf>
    <xf numFmtId="167" fontId="4" fillId="0" borderId="1" xfId="1" applyNumberFormat="1" applyFont="1" applyFill="1" applyBorder="1" applyAlignment="1">
      <alignment horizontal="right" vertical="top"/>
    </xf>
    <xf numFmtId="166" fontId="19" fillId="0" borderId="1" xfId="1" applyNumberFormat="1" applyFont="1" applyFill="1" applyBorder="1" applyAlignment="1">
      <alignment vertical="top"/>
    </xf>
    <xf numFmtId="169" fontId="4" fillId="0" borderId="0" xfId="0" applyNumberFormat="1" applyFont="1" applyFill="1" applyBorder="1" applyAlignment="1"/>
    <xf numFmtId="166" fontId="5" fillId="16" borderId="1" xfId="1" applyNumberFormat="1" applyFont="1" applyFill="1" applyBorder="1" applyAlignment="1">
      <alignment vertical="top"/>
    </xf>
    <xf numFmtId="166" fontId="5" fillId="16" borderId="1" xfId="1" applyNumberFormat="1" applyFont="1" applyFill="1" applyBorder="1" applyAlignment="1">
      <alignment horizontal="right"/>
    </xf>
    <xf numFmtId="166" fontId="5" fillId="16" borderId="1" xfId="1" applyNumberFormat="1" applyFont="1" applyFill="1" applyBorder="1" applyAlignment="1"/>
    <xf numFmtId="166" fontId="5" fillId="16" borderId="1" xfId="1" applyNumberFormat="1" applyFont="1" applyFill="1" applyBorder="1" applyAlignment="1">
      <alignment horizontal="right" vertical="top"/>
    </xf>
    <xf numFmtId="166" fontId="4" fillId="0" borderId="1" xfId="1" applyNumberFormat="1" applyFont="1" applyBorder="1" applyAlignment="1">
      <alignment horizontal="right" vertical="top"/>
    </xf>
    <xf numFmtId="166" fontId="4" fillId="0" borderId="0" xfId="1" applyNumberFormat="1" applyFont="1" applyFill="1" applyBorder="1" applyAlignment="1">
      <alignment vertical="top"/>
    </xf>
    <xf numFmtId="170" fontId="22" fillId="0" borderId="1" xfId="1" applyNumberFormat="1" applyFont="1" applyFill="1" applyBorder="1" applyAlignment="1">
      <alignment vertical="top"/>
    </xf>
    <xf numFmtId="166" fontId="22" fillId="16" borderId="13" xfId="1" applyNumberFormat="1" applyFont="1" applyFill="1" applyBorder="1" applyAlignment="1">
      <alignment vertical="top"/>
    </xf>
    <xf numFmtId="0" fontId="5" fillId="16" borderId="0" xfId="0" applyFont="1" applyFill="1" applyAlignment="1"/>
    <xf numFmtId="166" fontId="22" fillId="16" borderId="13" xfId="1" applyNumberFormat="1" applyFont="1" applyFill="1" applyBorder="1" applyAlignment="1">
      <alignment horizontal="right"/>
    </xf>
    <xf numFmtId="166" fontId="22" fillId="16" borderId="13" xfId="1" applyNumberFormat="1" applyFont="1" applyFill="1" applyBorder="1" applyAlignment="1"/>
    <xf numFmtId="166" fontId="26" fillId="10" borderId="16" xfId="1" applyNumberFormat="1" applyFont="1" applyFill="1" applyBorder="1" applyAlignment="1">
      <alignment horizontal="right"/>
    </xf>
    <xf numFmtId="170" fontId="22" fillId="10" borderId="17" xfId="1" applyNumberFormat="1" applyFont="1" applyFill="1" applyBorder="1" applyAlignment="1">
      <alignment horizontal="left" vertical="top"/>
    </xf>
    <xf numFmtId="166" fontId="22" fillId="13" borderId="0" xfId="1" applyNumberFormat="1" applyFont="1" applyFill="1" applyAlignment="1"/>
    <xf numFmtId="0" fontId="22" fillId="0" borderId="0" xfId="0" applyFont="1" applyFill="1" applyBorder="1" applyAlignment="1"/>
    <xf numFmtId="39" fontId="23" fillId="0" borderId="0" xfId="1" applyNumberFormat="1" applyFont="1" applyFill="1" applyBorder="1" applyAlignment="1"/>
    <xf numFmtId="39" fontId="26" fillId="0" borderId="0" xfId="1" applyNumberFormat="1" applyFont="1" applyFill="1" applyBorder="1" applyAlignment="1"/>
    <xf numFmtId="165" fontId="23" fillId="0" borderId="1" xfId="1" applyNumberFormat="1" applyFont="1" applyFill="1" applyBorder="1" applyAlignment="1">
      <alignment vertical="top"/>
    </xf>
    <xf numFmtId="167" fontId="23" fillId="0" borderId="1" xfId="1" applyNumberFormat="1" applyFont="1" applyFill="1" applyBorder="1" applyAlignment="1">
      <alignment vertical="top"/>
    </xf>
    <xf numFmtId="9" fontId="23" fillId="0" borderId="1" xfId="3" applyFont="1" applyFill="1" applyBorder="1" applyAlignment="1">
      <alignment horizontal="left" vertical="center"/>
    </xf>
    <xf numFmtId="0" fontId="23" fillId="0" borderId="6" xfId="0" applyFont="1" applyFill="1" applyBorder="1" applyAlignment="1">
      <alignment horizontal="left" vertical="center"/>
    </xf>
    <xf numFmtId="0" fontId="21" fillId="0" borderId="0" xfId="0" applyFont="1" applyFill="1" applyAlignment="1"/>
    <xf numFmtId="37" fontId="22" fillId="0" borderId="1" xfId="0" applyNumberFormat="1" applyFont="1" applyFill="1" applyBorder="1" applyAlignment="1">
      <alignment horizontal="right" vertical="center"/>
    </xf>
    <xf numFmtId="9" fontId="23" fillId="0" borderId="1" xfId="3" applyFont="1" applyFill="1" applyBorder="1" applyAlignment="1">
      <alignment horizontal="right" vertical="center"/>
    </xf>
    <xf numFmtId="37" fontId="23" fillId="0" borderId="1" xfId="0" applyNumberFormat="1" applyFont="1" applyBorder="1" applyAlignment="1">
      <alignment horizontal="right" vertical="center"/>
    </xf>
    <xf numFmtId="166" fontId="23" fillId="0" borderId="1" xfId="1" applyNumberFormat="1" applyFont="1" applyBorder="1" applyAlignment="1">
      <alignment horizontal="center" vertical="top"/>
    </xf>
    <xf numFmtId="166" fontId="23" fillId="0" borderId="1" xfId="1" applyNumberFormat="1" applyFont="1" applyFill="1" applyBorder="1" applyAlignment="1">
      <alignment horizontal="center" vertical="top"/>
    </xf>
    <xf numFmtId="0" fontId="23" fillId="0" borderId="1" xfId="0" applyFont="1" applyBorder="1" applyAlignment="1">
      <alignment vertical="center"/>
    </xf>
    <xf numFmtId="37" fontId="22" fillId="0" borderId="1" xfId="0" applyNumberFormat="1" applyFont="1" applyBorder="1" applyAlignment="1">
      <alignment horizontal="right" vertical="center"/>
    </xf>
    <xf numFmtId="9" fontId="23" fillId="0" borderId="1" xfId="3" applyFont="1" applyBorder="1" applyAlignment="1">
      <alignment horizontal="right" vertical="center"/>
    </xf>
    <xf numFmtId="0" fontId="21" fillId="0" borderId="0" xfId="0" applyFont="1" applyAlignment="1"/>
    <xf numFmtId="166" fontId="23" fillId="0" borderId="1" xfId="1" applyNumberFormat="1" applyFont="1" applyBorder="1" applyAlignment="1">
      <alignment horizontal="left" vertical="top"/>
    </xf>
    <xf numFmtId="167" fontId="23" fillId="0" borderId="1" xfId="1" applyNumberFormat="1" applyFont="1" applyFill="1" applyBorder="1" applyAlignment="1">
      <alignment horizontal="right" vertical="center"/>
    </xf>
    <xf numFmtId="9" fontId="22" fillId="0" borderId="1" xfId="3" applyFont="1" applyFill="1" applyBorder="1" applyAlignment="1">
      <alignment horizontal="right" vertical="center"/>
    </xf>
    <xf numFmtId="9" fontId="22" fillId="0" borderId="1" xfId="3" applyFont="1" applyBorder="1" applyAlignment="1">
      <alignment horizontal="right" vertical="center"/>
    </xf>
    <xf numFmtId="0" fontId="23" fillId="0" borderId="0" xfId="0" applyFont="1" applyBorder="1" applyAlignment="1">
      <alignment horizontal="right" vertical="top"/>
    </xf>
    <xf numFmtId="0" fontId="23" fillId="0" borderId="5" xfId="0" applyFont="1" applyBorder="1" applyAlignment="1">
      <alignment vertical="top"/>
    </xf>
    <xf numFmtId="166" fontId="23" fillId="0" borderId="6" xfId="1" applyNumberFormat="1" applyFont="1" applyBorder="1" applyAlignment="1">
      <alignment vertical="top"/>
    </xf>
    <xf numFmtId="0" fontId="23" fillId="0" borderId="6" xfId="0" applyFont="1" applyBorder="1" applyAlignment="1">
      <alignment vertical="top"/>
    </xf>
    <xf numFmtId="166" fontId="23" fillId="0" borderId="0" xfId="1" applyNumberFormat="1" applyFont="1" applyBorder="1" applyAlignment="1">
      <alignment vertical="top"/>
    </xf>
    <xf numFmtId="166" fontId="23" fillId="0" borderId="0" xfId="1" applyNumberFormat="1" applyFont="1" applyFill="1" applyBorder="1" applyAlignment="1"/>
    <xf numFmtId="0" fontId="26" fillId="10" borderId="4" xfId="0" applyFont="1" applyFill="1" applyBorder="1" applyAlignment="1">
      <alignment horizontal="right" vertical="top"/>
    </xf>
    <xf numFmtId="0" fontId="26" fillId="10" borderId="5" xfId="0" applyFont="1" applyFill="1" applyBorder="1" applyAlignment="1">
      <alignment horizontal="left" vertical="top"/>
    </xf>
    <xf numFmtId="166" fontId="26" fillId="10" borderId="6" xfId="1" applyNumberFormat="1" applyFont="1" applyFill="1" applyBorder="1" applyAlignment="1">
      <alignment horizontal="left" vertical="top"/>
    </xf>
    <xf numFmtId="0" fontId="26" fillId="10" borderId="6" xfId="0" applyFont="1" applyFill="1" applyBorder="1" applyAlignment="1">
      <alignment horizontal="left" vertical="top"/>
    </xf>
    <xf numFmtId="0" fontId="22" fillId="5" borderId="1" xfId="0" applyFont="1" applyFill="1" applyBorder="1" applyAlignment="1">
      <alignment vertical="center"/>
    </xf>
    <xf numFmtId="166" fontId="22" fillId="5" borderId="6" xfId="1" applyNumberFormat="1" applyFont="1" applyFill="1" applyBorder="1" applyAlignment="1">
      <alignment vertical="center"/>
    </xf>
    <xf numFmtId="0" fontId="22" fillId="5" borderId="9" xfId="0" applyFont="1" applyFill="1" applyBorder="1" applyAlignment="1">
      <alignment horizontal="right" vertical="top"/>
    </xf>
    <xf numFmtId="0" fontId="22" fillId="5" borderId="10" xfId="0" applyNumberFormat="1" applyFont="1" applyFill="1" applyBorder="1" applyAlignment="1">
      <alignment horizontal="center" vertical="top"/>
    </xf>
    <xf numFmtId="166" fontId="22" fillId="5" borderId="28" xfId="0" applyNumberFormat="1" applyFont="1" applyFill="1" applyBorder="1" applyAlignment="1">
      <alignment horizontal="right" vertical="top"/>
    </xf>
    <xf numFmtId="0" fontId="22" fillId="5" borderId="0" xfId="0" applyFont="1" applyFill="1" applyBorder="1" applyAlignment="1">
      <alignment horizontal="right" vertical="top"/>
    </xf>
    <xf numFmtId="0" fontId="22" fillId="6" borderId="1" xfId="0" applyFont="1" applyFill="1" applyBorder="1" applyAlignment="1">
      <alignment horizontal="center"/>
    </xf>
    <xf numFmtId="0" fontId="23" fillId="6" borderId="4" xfId="0" applyFont="1" applyFill="1" applyBorder="1" applyAlignment="1">
      <alignment horizontal="right" vertical="top"/>
    </xf>
    <xf numFmtId="0" fontId="23" fillId="6" borderId="28" xfId="0" applyFont="1" applyFill="1" applyBorder="1" applyAlignment="1">
      <alignment vertical="top"/>
    </xf>
    <xf numFmtId="166" fontId="23" fillId="6" borderId="0" xfId="1" applyNumberFormat="1" applyFont="1" applyFill="1" applyBorder="1" applyAlignment="1">
      <alignment vertical="top"/>
    </xf>
    <xf numFmtId="0" fontId="23" fillId="6" borderId="0" xfId="0" applyFont="1" applyFill="1" applyBorder="1" applyAlignment="1">
      <alignment vertical="top"/>
    </xf>
    <xf numFmtId="166" fontId="22" fillId="6" borderId="6" xfId="1" applyNumberFormat="1" applyFont="1" applyFill="1" applyBorder="1" applyAlignment="1"/>
    <xf numFmtId="39" fontId="22" fillId="0" borderId="0" xfId="0" applyNumberFormat="1" applyFont="1" applyFill="1" applyBorder="1" applyAlignment="1"/>
    <xf numFmtId="0" fontId="22" fillId="6" borderId="1" xfId="0" applyFont="1" applyFill="1" applyBorder="1" applyAlignment="1">
      <alignment vertical="center"/>
    </xf>
    <xf numFmtId="166" fontId="22" fillId="6" borderId="3" xfId="1" applyNumberFormat="1" applyFont="1" applyFill="1" applyBorder="1" applyAlignment="1"/>
    <xf numFmtId="166" fontId="23" fillId="0" borderId="0" xfId="1" applyNumberFormat="1" applyFont="1" applyAlignment="1"/>
    <xf numFmtId="166" fontId="23" fillId="0" borderId="0" xfId="1" applyNumberFormat="1" applyFont="1" applyFill="1" applyAlignment="1"/>
    <xf numFmtId="0" fontId="5" fillId="0" borderId="5" xfId="0" applyFont="1" applyBorder="1" applyAlignment="1"/>
    <xf numFmtId="0" fontId="5" fillId="0" borderId="6" xfId="0" applyFont="1" applyBorder="1" applyAlignment="1"/>
    <xf numFmtId="0" fontId="5" fillId="0" borderId="7" xfId="0" applyFont="1" applyBorder="1" applyAlignment="1"/>
    <xf numFmtId="166" fontId="4" fillId="0" borderId="0" xfId="1" applyNumberFormat="1" applyFont="1" applyFill="1" applyAlignment="1"/>
    <xf numFmtId="0" fontId="4" fillId="0" borderId="0" xfId="0" applyFont="1" applyFill="1" applyBorder="1" applyAlignment="1"/>
    <xf numFmtId="0" fontId="4" fillId="0" borderId="28" xfId="0" applyFont="1" applyBorder="1" applyAlignment="1"/>
    <xf numFmtId="0" fontId="4" fillId="0" borderId="12" xfId="0" applyFont="1" applyBorder="1" applyAlignment="1"/>
    <xf numFmtId="166" fontId="24" fillId="0" borderId="11" xfId="1" applyNumberFormat="1" applyFont="1" applyFill="1" applyBorder="1" applyAlignment="1">
      <alignment vertical="top"/>
    </xf>
    <xf numFmtId="166" fontId="4" fillId="0" borderId="11" xfId="1" applyNumberFormat="1" applyFont="1" applyFill="1" applyBorder="1" applyAlignment="1">
      <alignment vertical="top"/>
    </xf>
    <xf numFmtId="0" fontId="23" fillId="0" borderId="11" xfId="0" applyFont="1" applyFill="1" applyBorder="1" applyAlignment="1"/>
    <xf numFmtId="166" fontId="6" fillId="0" borderId="11" xfId="1" applyNumberFormat="1" applyFont="1" applyFill="1" applyBorder="1" applyAlignment="1">
      <alignment horizontal="right" vertical="top"/>
    </xf>
    <xf numFmtId="165" fontId="4" fillId="0" borderId="11" xfId="1" applyNumberFormat="1" applyFont="1" applyFill="1" applyBorder="1" applyAlignment="1">
      <alignment horizontal="right" vertical="center"/>
    </xf>
    <xf numFmtId="166" fontId="4" fillId="0" borderId="11" xfId="1" applyNumberFormat="1" applyFont="1" applyFill="1" applyBorder="1" applyAlignment="1">
      <alignment horizontal="right" vertical="center"/>
    </xf>
    <xf numFmtId="166" fontId="4" fillId="0" borderId="11" xfId="1" applyNumberFormat="1" applyFont="1" applyFill="1" applyBorder="1" applyAlignment="1"/>
    <xf numFmtId="166" fontId="4" fillId="0" borderId="8" xfId="1" applyNumberFormat="1" applyFont="1" applyFill="1" applyBorder="1" applyAlignment="1">
      <alignment horizontal="right" vertical="center"/>
    </xf>
    <xf numFmtId="165" fontId="4" fillId="0" borderId="10" xfId="1" applyNumberFormat="1" applyFont="1" applyFill="1" applyBorder="1" applyAlignment="1">
      <alignment horizontal="right" vertical="center"/>
    </xf>
    <xf numFmtId="166" fontId="5" fillId="0" borderId="10" xfId="1" applyNumberFormat="1" applyFont="1" applyFill="1" applyBorder="1" applyAlignment="1">
      <alignment horizontal="right" vertical="top"/>
    </xf>
    <xf numFmtId="166" fontId="5" fillId="0" borderId="11" xfId="1" applyNumberFormat="1" applyFont="1" applyFill="1" applyBorder="1" applyAlignment="1">
      <alignment horizontal="right" vertical="top"/>
    </xf>
    <xf numFmtId="0" fontId="22" fillId="0" borderId="11" xfId="1" applyNumberFormat="1" applyFont="1" applyFill="1" applyBorder="1" applyAlignment="1">
      <alignment horizontal="right" vertical="top"/>
    </xf>
    <xf numFmtId="166" fontId="4" fillId="0" borderId="4" xfId="1" applyNumberFormat="1" applyFont="1" applyFill="1" applyBorder="1" applyAlignment="1">
      <alignment horizontal="right" vertical="center"/>
    </xf>
    <xf numFmtId="166" fontId="5" fillId="0" borderId="2" xfId="1" applyNumberFormat="1" applyFont="1" applyFill="1" applyBorder="1" applyAlignment="1">
      <alignment horizontal="right" vertical="top"/>
    </xf>
    <xf numFmtId="0" fontId="5" fillId="13" borderId="0" xfId="0" applyFont="1" applyFill="1" applyAlignment="1"/>
    <xf numFmtId="166" fontId="6" fillId="0" borderId="1" xfId="1" applyNumberFormat="1" applyFont="1" applyBorder="1" applyAlignment="1">
      <alignment horizontal="right" vertical="top"/>
    </xf>
    <xf numFmtId="0" fontId="4" fillId="0" borderId="4" xfId="1" applyNumberFormat="1" applyFont="1" applyFill="1" applyBorder="1" applyAlignment="1">
      <alignment horizontal="right" vertical="center"/>
    </xf>
    <xf numFmtId="166" fontId="4" fillId="0" borderId="2" xfId="1" applyNumberFormat="1" applyFont="1" applyFill="1" applyBorder="1" applyAlignment="1">
      <alignment horizontal="right" vertical="center"/>
    </xf>
    <xf numFmtId="167" fontId="6" fillId="0" borderId="1" xfId="1" applyNumberFormat="1" applyFont="1" applyBorder="1" applyAlignment="1">
      <alignment horizontal="right" vertical="top"/>
    </xf>
    <xf numFmtId="166" fontId="6" fillId="0" borderId="1" xfId="1" applyNumberFormat="1" applyFont="1" applyBorder="1" applyAlignment="1">
      <alignment vertical="top"/>
    </xf>
    <xf numFmtId="166" fontId="4" fillId="0" borderId="4" xfId="1" applyNumberFormat="1" applyFont="1" applyFill="1" applyBorder="1" applyAlignment="1">
      <alignment vertical="top"/>
    </xf>
    <xf numFmtId="166" fontId="4" fillId="0" borderId="2" xfId="1" applyNumberFormat="1" applyFont="1" applyFill="1" applyBorder="1" applyAlignment="1"/>
    <xf numFmtId="166" fontId="4" fillId="0" borderId="4" xfId="1" applyNumberFormat="1" applyFont="1" applyFill="1" applyBorder="1" applyAlignment="1"/>
    <xf numFmtId="167" fontId="4" fillId="0" borderId="1" xfId="1" applyNumberFormat="1" applyFont="1" applyBorder="1" applyAlignment="1">
      <alignment horizontal="right" vertical="top"/>
    </xf>
    <xf numFmtId="166" fontId="19" fillId="0" borderId="1" xfId="1" applyNumberFormat="1" applyFont="1" applyBorder="1" applyAlignment="1">
      <alignment vertical="top"/>
    </xf>
    <xf numFmtId="166" fontId="5" fillId="16" borderId="2" xfId="1" applyNumberFormat="1" applyFont="1" applyFill="1" applyBorder="1" applyAlignment="1">
      <alignment horizontal="right" vertical="top"/>
    </xf>
    <xf numFmtId="166" fontId="4" fillId="0" borderId="2" xfId="1" applyNumberFormat="1" applyFont="1" applyFill="1" applyBorder="1" applyAlignment="1">
      <alignment vertical="top"/>
    </xf>
    <xf numFmtId="166" fontId="22" fillId="16" borderId="7" xfId="1" applyNumberFormat="1" applyFont="1" applyFill="1" applyBorder="1" applyAlignment="1">
      <alignment horizontal="right" vertical="top"/>
    </xf>
    <xf numFmtId="0" fontId="20" fillId="0" borderId="0" xfId="0" applyFont="1" applyFill="1" applyBorder="1" applyAlignment="1">
      <alignment vertical="center"/>
    </xf>
    <xf numFmtId="166" fontId="23" fillId="0" borderId="6" xfId="1" applyNumberFormat="1" applyFont="1" applyFill="1" applyBorder="1" applyAlignment="1"/>
    <xf numFmtId="166" fontId="22" fillId="5" borderId="3" xfId="1" applyNumberFormat="1" applyFont="1" applyFill="1" applyBorder="1" applyAlignment="1">
      <alignment horizontal="right" vertical="center"/>
    </xf>
    <xf numFmtId="166" fontId="22" fillId="5" borderId="6" xfId="1" applyNumberFormat="1" applyFont="1" applyFill="1" applyBorder="1" applyAlignment="1">
      <alignment horizontal="right" vertical="center"/>
    </xf>
    <xf numFmtId="166" fontId="22" fillId="5" borderId="3" xfId="1" applyNumberFormat="1" applyFont="1" applyFill="1" applyBorder="1" applyAlignment="1">
      <alignment horizontal="right" vertical="top"/>
    </xf>
    <xf numFmtId="166" fontId="22" fillId="5" borderId="9" xfId="1" applyNumberFormat="1" applyFont="1" applyFill="1" applyBorder="1" applyAlignment="1">
      <alignment vertical="center"/>
    </xf>
    <xf numFmtId="166" fontId="22" fillId="6" borderId="0" xfId="1" applyNumberFormat="1" applyFont="1" applyFill="1" applyBorder="1" applyAlignment="1"/>
    <xf numFmtId="166" fontId="22" fillId="3" borderId="18" xfId="1" applyNumberFormat="1" applyFont="1" applyFill="1" applyBorder="1" applyAlignment="1">
      <alignment vertical="center"/>
    </xf>
    <xf numFmtId="166" fontId="22" fillId="3" borderId="27" xfId="1" applyNumberFormat="1" applyFont="1" applyFill="1" applyBorder="1" applyAlignment="1">
      <alignment vertical="center"/>
    </xf>
    <xf numFmtId="166" fontId="22" fillId="3" borderId="19" xfId="1" applyNumberFormat="1" applyFont="1" applyFill="1" applyBorder="1" applyAlignment="1">
      <alignment vertical="center"/>
    </xf>
    <xf numFmtId="166" fontId="22" fillId="17" borderId="29" xfId="1" applyNumberFormat="1" applyFont="1" applyFill="1" applyBorder="1" applyAlignment="1">
      <alignment vertical="top"/>
    </xf>
    <xf numFmtId="166" fontId="22" fillId="16" borderId="5" xfId="1" applyNumberFormat="1" applyFont="1" applyFill="1" applyBorder="1" applyAlignment="1"/>
    <xf numFmtId="166" fontId="22" fillId="16" borderId="7" xfId="1" applyNumberFormat="1" applyFont="1" applyFill="1" applyBorder="1" applyAlignment="1"/>
    <xf numFmtId="166" fontId="26" fillId="10" borderId="6" xfId="1" applyNumberFormat="1" applyFont="1" applyFill="1" applyBorder="1" applyAlignment="1">
      <alignment horizont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27" fillId="0" borderId="0" xfId="0" applyFont="1" applyFill="1" applyBorder="1" applyAlignment="1">
      <alignment horizontal="right" vertical="center"/>
    </xf>
    <xf numFmtId="37" fontId="23" fillId="16" borderId="4" xfId="1" applyNumberFormat="1" applyFont="1" applyFill="1" applyBorder="1" applyAlignment="1">
      <alignment horizontal="right"/>
    </xf>
    <xf numFmtId="37" fontId="22" fillId="16" borderId="2" xfId="1" applyNumberFormat="1" applyFont="1" applyFill="1" applyBorder="1" applyAlignment="1">
      <alignment horizontal="right" vertical="top"/>
    </xf>
    <xf numFmtId="0" fontId="21" fillId="0" borderId="0" xfId="0" applyFont="1" applyFill="1" applyBorder="1" applyAlignment="1">
      <alignment horizontal="right" vertical="center"/>
    </xf>
    <xf numFmtId="166" fontId="22" fillId="10" borderId="18" xfId="1" applyNumberFormat="1" applyFont="1" applyFill="1" applyBorder="1" applyAlignment="1">
      <alignment horizontal="left" vertical="top"/>
    </xf>
    <xf numFmtId="166" fontId="22" fillId="9" borderId="6" xfId="1" applyNumberFormat="1" applyFont="1" applyFill="1" applyBorder="1" applyAlignment="1">
      <alignment horizontal="right"/>
    </xf>
    <xf numFmtId="0" fontId="5" fillId="10" borderId="18" xfId="0" applyFont="1" applyFill="1" applyBorder="1" applyAlignment="1"/>
    <xf numFmtId="166" fontId="26" fillId="10" borderId="17" xfId="1" applyNumberFormat="1" applyFont="1" applyFill="1" applyBorder="1" applyAlignment="1"/>
    <xf numFmtId="0" fontId="20" fillId="11" borderId="35" xfId="0" applyFont="1" applyFill="1" applyBorder="1" applyAlignment="1">
      <alignment vertical="center"/>
    </xf>
    <xf numFmtId="0" fontId="35" fillId="11" borderId="33" xfId="0" applyFont="1" applyFill="1" applyBorder="1" applyAlignment="1">
      <alignment vertical="center"/>
    </xf>
    <xf numFmtId="0" fontId="20" fillId="11" borderId="33" xfId="0" applyFont="1" applyFill="1" applyBorder="1" applyAlignment="1">
      <alignment horizontal="right" vertical="center"/>
    </xf>
    <xf numFmtId="0" fontId="20" fillId="11" borderId="33" xfId="0" applyFont="1" applyFill="1" applyBorder="1" applyAlignment="1">
      <alignment vertical="center"/>
    </xf>
    <xf numFmtId="0" fontId="5" fillId="12" borderId="0" xfId="0" applyFont="1" applyFill="1" applyBorder="1" applyAlignment="1">
      <alignment vertical="top"/>
    </xf>
    <xf numFmtId="0" fontId="22" fillId="12" borderId="0" xfId="0" applyFont="1" applyFill="1" applyBorder="1" applyAlignment="1">
      <alignment horizontal="right" vertical="top"/>
    </xf>
    <xf numFmtId="0" fontId="22" fillId="12" borderId="18" xfId="0" applyFont="1" applyFill="1" applyBorder="1" applyAlignment="1">
      <alignment vertical="top"/>
    </xf>
    <xf numFmtId="0" fontId="5" fillId="12" borderId="27" xfId="0" applyFont="1" applyFill="1" applyBorder="1" applyAlignment="1">
      <alignment vertical="top"/>
    </xf>
    <xf numFmtId="0" fontId="22" fillId="12" borderId="27" xfId="0" applyFont="1" applyFill="1" applyBorder="1" applyAlignment="1">
      <alignment horizontal="right" vertical="top"/>
    </xf>
    <xf numFmtId="0" fontId="22" fillId="12" borderId="27" xfId="0" applyFont="1" applyFill="1" applyBorder="1" applyAlignment="1">
      <alignment vertical="center"/>
    </xf>
    <xf numFmtId="166" fontId="22" fillId="12" borderId="27" xfId="1" applyNumberFormat="1" applyFont="1" applyFill="1" applyBorder="1" applyAlignment="1">
      <alignment vertical="center"/>
    </xf>
    <xf numFmtId="166" fontId="22" fillId="12" borderId="19" xfId="1" applyNumberFormat="1" applyFont="1" applyFill="1" applyBorder="1" applyAlignment="1">
      <alignment vertical="center"/>
    </xf>
    <xf numFmtId="0" fontId="20" fillId="11" borderId="34" xfId="0" applyFont="1" applyFill="1" applyBorder="1" applyAlignment="1">
      <alignment vertical="center"/>
    </xf>
    <xf numFmtId="166" fontId="22" fillId="12" borderId="18" xfId="1" applyNumberFormat="1" applyFont="1" applyFill="1" applyBorder="1" applyAlignment="1">
      <alignment vertical="center"/>
    </xf>
    <xf numFmtId="166" fontId="22" fillId="12" borderId="18" xfId="1" applyNumberFormat="1" applyFont="1" applyFill="1" applyBorder="1" applyAlignment="1">
      <alignment horizontal="right" vertical="top"/>
    </xf>
    <xf numFmtId="0" fontId="22" fillId="12" borderId="19" xfId="0" applyNumberFormat="1" applyFont="1" applyFill="1" applyBorder="1" applyAlignment="1">
      <alignment vertical="top"/>
    </xf>
    <xf numFmtId="166" fontId="23" fillId="16" borderId="9" xfId="1" applyNumberFormat="1" applyFont="1" applyFill="1" applyBorder="1" applyAlignment="1">
      <alignment vertical="top"/>
    </xf>
    <xf numFmtId="166" fontId="24" fillId="16" borderId="9" xfId="1" applyNumberFormat="1" applyFont="1" applyFill="1" applyBorder="1" applyAlignment="1">
      <alignment vertical="top" wrapText="1"/>
    </xf>
    <xf numFmtId="166" fontId="23" fillId="16" borderId="9" xfId="1" applyNumberFormat="1" applyFont="1" applyFill="1" applyBorder="1" applyAlignment="1">
      <alignment horizontal="right"/>
    </xf>
    <xf numFmtId="166" fontId="22" fillId="16" borderId="9" xfId="1" applyNumberFormat="1" applyFont="1" applyFill="1" applyBorder="1" applyAlignment="1">
      <alignment horizontal="right" vertical="top"/>
    </xf>
    <xf numFmtId="9" fontId="23" fillId="16" borderId="9" xfId="3" applyFont="1" applyFill="1" applyBorder="1" applyAlignment="1">
      <alignment horizontal="right" vertical="top"/>
    </xf>
    <xf numFmtId="0" fontId="23" fillId="16" borderId="10" xfId="1" applyNumberFormat="1" applyFont="1" applyFill="1" applyBorder="1" applyAlignment="1">
      <alignment vertical="top"/>
    </xf>
    <xf numFmtId="0" fontId="6" fillId="0" borderId="11" xfId="0" applyFont="1" applyBorder="1" applyAlignment="1">
      <alignment vertical="top"/>
    </xf>
    <xf numFmtId="0" fontId="22" fillId="12" borderId="0" xfId="0" applyFont="1" applyFill="1" applyBorder="1" applyAlignment="1">
      <alignment horizontal="left" vertical="center"/>
    </xf>
    <xf numFmtId="166" fontId="22" fillId="12" borderId="0" xfId="1" applyNumberFormat="1" applyFont="1" applyFill="1" applyBorder="1" applyAlignment="1">
      <alignment horizontal="left" vertical="center"/>
    </xf>
    <xf numFmtId="0" fontId="22" fillId="12" borderId="18" xfId="0" applyFont="1" applyFill="1" applyBorder="1" applyAlignment="1">
      <alignment horizontal="left" vertical="top"/>
    </xf>
    <xf numFmtId="0" fontId="22" fillId="12" borderId="27" xfId="0" applyFont="1" applyFill="1" applyBorder="1" applyAlignment="1">
      <alignment horizontal="left" vertical="center"/>
    </xf>
    <xf numFmtId="166" fontId="22" fillId="12" borderId="27" xfId="1" applyNumberFormat="1" applyFont="1" applyFill="1" applyBorder="1" applyAlignment="1">
      <alignment horizontal="left" vertical="center"/>
    </xf>
    <xf numFmtId="166" fontId="22" fillId="12" borderId="19" xfId="1" applyNumberFormat="1" applyFont="1" applyFill="1" applyBorder="1" applyAlignment="1">
      <alignment horizontal="left" vertical="center"/>
    </xf>
    <xf numFmtId="166" fontId="22" fillId="12" borderId="18" xfId="1" applyNumberFormat="1" applyFont="1" applyFill="1" applyBorder="1" applyAlignment="1">
      <alignment horizontal="left" vertical="center"/>
    </xf>
    <xf numFmtId="0" fontId="22" fillId="12" borderId="19" xfId="0" applyNumberFormat="1" applyFont="1" applyFill="1" applyBorder="1" applyAlignment="1">
      <alignment horizontal="left" vertical="top"/>
    </xf>
    <xf numFmtId="0" fontId="4" fillId="0" borderId="2" xfId="0" applyFont="1" applyBorder="1" applyAlignment="1">
      <alignment horizontal="left" wrapText="1"/>
    </xf>
    <xf numFmtId="0" fontId="22" fillId="12" borderId="43" xfId="0" applyFont="1" applyFill="1" applyBorder="1" applyAlignment="1">
      <alignment horizontal="left" vertical="top"/>
    </xf>
    <xf numFmtId="0" fontId="5" fillId="12" borderId="33" xfId="0" applyFont="1" applyFill="1" applyBorder="1" applyAlignment="1">
      <alignment vertical="top"/>
    </xf>
    <xf numFmtId="0" fontId="22" fillId="12" borderId="33" xfId="0" applyFont="1" applyFill="1" applyBorder="1" applyAlignment="1">
      <alignment horizontal="right" vertical="top"/>
    </xf>
    <xf numFmtId="0" fontId="22" fillId="12" borderId="38" xfId="0" applyFont="1" applyFill="1" applyBorder="1" applyAlignment="1">
      <alignment horizontal="left" vertical="top"/>
    </xf>
    <xf numFmtId="166" fontId="22" fillId="12" borderId="42" xfId="1" applyNumberFormat="1" applyFont="1" applyFill="1" applyBorder="1" applyAlignment="1">
      <alignment horizontal="left" vertical="center"/>
    </xf>
    <xf numFmtId="166" fontId="22" fillId="12" borderId="38" xfId="1" applyNumberFormat="1" applyFont="1" applyFill="1" applyBorder="1" applyAlignment="1">
      <alignment horizontal="left" vertical="center"/>
    </xf>
    <xf numFmtId="166" fontId="22" fillId="12" borderId="35" xfId="1" applyNumberFormat="1" applyFont="1" applyFill="1" applyBorder="1" applyAlignment="1">
      <alignment horizontal="right" vertical="top"/>
    </xf>
    <xf numFmtId="166" fontId="22" fillId="12" borderId="38" xfId="1" applyNumberFormat="1" applyFont="1" applyFill="1" applyBorder="1" applyAlignment="1">
      <alignment horizontal="right" vertical="top"/>
    </xf>
    <xf numFmtId="0" fontId="22" fillId="12" borderId="42" xfId="0" applyNumberFormat="1" applyFont="1" applyFill="1" applyBorder="1" applyAlignment="1">
      <alignment horizontal="left" vertical="top"/>
    </xf>
    <xf numFmtId="168" fontId="23" fillId="0" borderId="1" xfId="0" applyNumberFormat="1" applyFont="1" applyBorder="1" applyAlignment="1">
      <alignment horizontal="right" vertical="center"/>
    </xf>
    <xf numFmtId="0" fontId="22" fillId="12" borderId="35" xfId="0" applyFont="1" applyFill="1" applyBorder="1" applyAlignment="1">
      <alignment vertical="top"/>
    </xf>
    <xf numFmtId="0" fontId="22" fillId="12" borderId="33" xfId="0" applyFont="1" applyFill="1" applyBorder="1" applyAlignment="1">
      <alignment vertical="center"/>
    </xf>
    <xf numFmtId="166" fontId="22" fillId="12" borderId="33" xfId="1" applyNumberFormat="1" applyFont="1" applyFill="1" applyBorder="1" applyAlignment="1">
      <alignment vertical="center"/>
    </xf>
    <xf numFmtId="166" fontId="22" fillId="12" borderId="34" xfId="1" applyNumberFormat="1" applyFont="1" applyFill="1" applyBorder="1" applyAlignment="1">
      <alignment vertical="center"/>
    </xf>
    <xf numFmtId="166" fontId="22" fillId="12" borderId="35" xfId="1" applyNumberFormat="1" applyFont="1" applyFill="1" applyBorder="1" applyAlignment="1">
      <alignment vertical="center"/>
    </xf>
    <xf numFmtId="0" fontId="22" fillId="12" borderId="34" xfId="0" applyNumberFormat="1" applyFont="1" applyFill="1" applyBorder="1" applyAlignment="1">
      <alignment vertical="top"/>
    </xf>
    <xf numFmtId="0" fontId="4" fillId="16" borderId="1" xfId="0" applyFont="1" applyFill="1" applyBorder="1" applyAlignment="1">
      <alignment vertical="top"/>
    </xf>
    <xf numFmtId="166" fontId="4" fillId="16" borderId="1" xfId="1" applyNumberFormat="1" applyFont="1" applyFill="1" applyBorder="1" applyAlignment="1"/>
    <xf numFmtId="166" fontId="26" fillId="10" borderId="40" xfId="1" applyNumberFormat="1" applyFont="1" applyFill="1" applyBorder="1" applyAlignment="1"/>
    <xf numFmtId="166" fontId="26" fillId="10" borderId="31" xfId="1" applyNumberFormat="1" applyFont="1" applyFill="1" applyBorder="1" applyAlignment="1">
      <alignment horizontal="right" vertical="top"/>
    </xf>
    <xf numFmtId="166" fontId="26" fillId="10" borderId="31" xfId="1" applyNumberFormat="1" applyFont="1" applyFill="1" applyBorder="1" applyAlignment="1"/>
    <xf numFmtId="170" fontId="22" fillId="10" borderId="32" xfId="1" applyNumberFormat="1" applyFont="1" applyFill="1" applyBorder="1" applyAlignment="1">
      <alignment horizontal="left" vertical="top"/>
    </xf>
    <xf numFmtId="166" fontId="22" fillId="16" borderId="1" xfId="1" applyNumberFormat="1" applyFont="1" applyFill="1" applyBorder="1" applyAlignment="1">
      <alignment horizontal="right" vertical="top"/>
    </xf>
    <xf numFmtId="166" fontId="24" fillId="13" borderId="1" xfId="1" applyNumberFormat="1" applyFont="1" applyFill="1" applyBorder="1" applyAlignment="1">
      <alignment vertical="top"/>
    </xf>
    <xf numFmtId="167" fontId="24" fillId="0" borderId="1" xfId="1" applyNumberFormat="1" applyFont="1" applyFill="1" applyBorder="1" applyAlignment="1">
      <alignment vertical="top"/>
    </xf>
    <xf numFmtId="166" fontId="4" fillId="16" borderId="1" xfId="1" applyNumberFormat="1" applyFont="1" applyFill="1" applyBorder="1" applyAlignment="1">
      <alignment vertical="top"/>
    </xf>
    <xf numFmtId="166" fontId="24" fillId="16" borderId="1" xfId="1" applyNumberFormat="1" applyFont="1" applyFill="1" applyBorder="1" applyAlignment="1">
      <alignment horizontal="right" vertical="top"/>
    </xf>
    <xf numFmtId="166" fontId="22" fillId="17" borderId="41" xfId="1" applyNumberFormat="1" applyFont="1" applyFill="1" applyBorder="1" applyAlignment="1">
      <alignment vertical="top"/>
    </xf>
    <xf numFmtId="166" fontId="22" fillId="17" borderId="24" xfId="1" applyNumberFormat="1" applyFont="1" applyFill="1" applyBorder="1" applyAlignment="1">
      <alignment vertical="top"/>
    </xf>
    <xf numFmtId="166" fontId="22" fillId="17" borderId="39" xfId="1" applyNumberFormat="1" applyFont="1" applyFill="1" applyBorder="1" applyAlignment="1">
      <alignment vertical="top"/>
    </xf>
    <xf numFmtId="166" fontId="22" fillId="17" borderId="26" xfId="1" applyNumberFormat="1" applyFont="1" applyFill="1" applyBorder="1" applyAlignment="1">
      <alignment vertical="top"/>
    </xf>
    <xf numFmtId="166" fontId="5" fillId="17" borderId="24" xfId="1" applyNumberFormat="1" applyFont="1" applyFill="1" applyBorder="1" applyAlignment="1">
      <alignment vertical="top"/>
    </xf>
    <xf numFmtId="166" fontId="22" fillId="17" borderId="24" xfId="1" applyNumberFormat="1" applyFont="1" applyFill="1" applyBorder="1" applyAlignment="1">
      <alignment horizontal="right" vertical="top"/>
    </xf>
    <xf numFmtId="0" fontId="23" fillId="16" borderId="1" xfId="0" applyFont="1" applyFill="1" applyBorder="1" applyAlignment="1">
      <alignment vertical="top"/>
    </xf>
    <xf numFmtId="0" fontId="22" fillId="0" borderId="1" xfId="0" applyFont="1" applyFill="1" applyBorder="1" applyAlignment="1">
      <alignment horizontal="left" vertical="center"/>
    </xf>
    <xf numFmtId="0" fontId="24" fillId="0" borderId="1" xfId="1" applyNumberFormat="1" applyFont="1" applyFill="1" applyBorder="1" applyAlignment="1">
      <alignment horizontal="left" vertical="top"/>
    </xf>
    <xf numFmtId="166" fontId="22" fillId="16" borderId="0" xfId="1" applyNumberFormat="1" applyFont="1" applyFill="1" applyBorder="1" applyAlignment="1">
      <alignment vertical="top"/>
    </xf>
    <xf numFmtId="166" fontId="22" fillId="16" borderId="14" xfId="1" applyNumberFormat="1" applyFont="1" applyFill="1" applyBorder="1" applyAlignment="1">
      <alignment vertical="top"/>
    </xf>
    <xf numFmtId="0" fontId="22" fillId="3" borderId="18" xfId="0" applyFont="1" applyFill="1" applyBorder="1" applyAlignment="1">
      <alignment horizontal="left" vertical="center"/>
    </xf>
    <xf numFmtId="0" fontId="5" fillId="3" borderId="27" xfId="0" applyFont="1" applyFill="1" applyBorder="1" applyAlignment="1">
      <alignment horizontal="left" vertical="center"/>
    </xf>
    <xf numFmtId="0" fontId="22" fillId="3" borderId="27" xfId="0" applyFont="1" applyFill="1" applyBorder="1" applyAlignment="1">
      <alignment horizontal="right" vertical="center"/>
    </xf>
    <xf numFmtId="0" fontId="22" fillId="3" borderId="27" xfId="0" applyFont="1" applyFill="1" applyBorder="1" applyAlignment="1">
      <alignment horizontal="left" vertical="center"/>
    </xf>
    <xf numFmtId="0" fontId="22" fillId="3" borderId="19" xfId="0" applyFont="1" applyFill="1" applyBorder="1" applyAlignment="1">
      <alignment horizontal="left" vertical="center"/>
    </xf>
    <xf numFmtId="166" fontId="22" fillId="16" borderId="12" xfId="1" applyNumberFormat="1" applyFont="1" applyFill="1" applyBorder="1" applyAlignment="1">
      <alignment vertical="top"/>
    </xf>
    <xf numFmtId="166" fontId="22" fillId="16" borderId="37" xfId="1" applyNumberFormat="1" applyFont="1" applyFill="1" applyBorder="1" applyAlignment="1">
      <alignment vertical="top"/>
    </xf>
    <xf numFmtId="0" fontId="22" fillId="3" borderId="43" xfId="0" applyFont="1" applyFill="1" applyBorder="1" applyAlignment="1">
      <alignment horizontal="left" vertical="center"/>
    </xf>
    <xf numFmtId="0" fontId="22" fillId="3" borderId="44" xfId="0" applyFont="1" applyFill="1" applyBorder="1" applyAlignment="1">
      <alignment horizontal="left" vertical="center"/>
    </xf>
    <xf numFmtId="0" fontId="22" fillId="3" borderId="45" xfId="0" applyFont="1" applyFill="1" applyBorder="1" applyAlignment="1">
      <alignment horizontal="left" vertical="center"/>
    </xf>
    <xf numFmtId="0" fontId="22" fillId="11" borderId="18" xfId="0" applyFont="1" applyFill="1" applyBorder="1" applyAlignment="1">
      <alignment horizontal="left" vertical="center"/>
    </xf>
    <xf numFmtId="0" fontId="5" fillId="11" borderId="27" xfId="0" applyFont="1" applyFill="1" applyBorder="1" applyAlignment="1">
      <alignment horizontal="left" vertical="center"/>
    </xf>
    <xf numFmtId="0" fontId="22" fillId="11" borderId="27" xfId="0" applyFont="1" applyFill="1" applyBorder="1" applyAlignment="1">
      <alignment horizontal="right" vertical="center"/>
    </xf>
    <xf numFmtId="0" fontId="22" fillId="11" borderId="27" xfId="0" applyFont="1" applyFill="1" applyBorder="1" applyAlignment="1">
      <alignment horizontal="left" vertical="center"/>
    </xf>
    <xf numFmtId="0" fontId="22" fillId="11" borderId="19" xfId="0" applyFont="1" applyFill="1" applyBorder="1" applyAlignment="1">
      <alignment horizontal="left" vertical="center"/>
    </xf>
    <xf numFmtId="0" fontId="11" fillId="0" borderId="0" xfId="0" applyFont="1" applyFill="1" applyBorder="1" applyAlignment="1">
      <alignment horizontal="center"/>
    </xf>
    <xf numFmtId="0" fontId="35" fillId="7" borderId="20" xfId="0" applyFont="1" applyFill="1" applyBorder="1" applyAlignment="1">
      <alignment horizontal="center" vertical="center" wrapText="1"/>
    </xf>
    <xf numFmtId="166" fontId="35" fillId="7" borderId="20" xfId="1" applyNumberFormat="1" applyFont="1" applyFill="1" applyBorder="1" applyAlignment="1">
      <alignment horizontal="center" vertical="center" wrapText="1"/>
    </xf>
    <xf numFmtId="166" fontId="35" fillId="7" borderId="35" xfId="1" applyNumberFormat="1" applyFont="1" applyFill="1" applyBorder="1" applyAlignment="1">
      <alignment horizontal="center" vertical="center" wrapText="1"/>
    </xf>
    <xf numFmtId="0" fontId="14" fillId="0" borderId="0" xfId="0" applyFont="1" applyFill="1" applyBorder="1" applyAlignment="1">
      <alignment horizontal="center" vertical="center"/>
    </xf>
    <xf numFmtId="166" fontId="35" fillId="7" borderId="34" xfId="1" applyNumberFormat="1" applyFont="1" applyFill="1" applyBorder="1" applyAlignment="1">
      <alignment horizontal="center" vertical="center" wrapText="1"/>
    </xf>
    <xf numFmtId="0" fontId="35" fillId="7" borderId="20" xfId="2" applyNumberFormat="1" applyFont="1" applyFill="1" applyBorder="1" applyAlignment="1">
      <alignment horizontal="center" vertical="center" wrapText="1"/>
    </xf>
    <xf numFmtId="0" fontId="22" fillId="0" borderId="11" xfId="0" applyFont="1" applyFill="1" applyBorder="1" applyAlignment="1">
      <alignment horizontal="left" vertical="center"/>
    </xf>
    <xf numFmtId="166" fontId="22" fillId="16" borderId="8" xfId="1" applyNumberFormat="1" applyFont="1" applyFill="1" applyBorder="1" applyAlignment="1">
      <alignment vertical="top"/>
    </xf>
    <xf numFmtId="166" fontId="5" fillId="16" borderId="9" xfId="1" applyNumberFormat="1" applyFont="1" applyFill="1" applyBorder="1" applyAlignment="1">
      <alignment vertical="top"/>
    </xf>
    <xf numFmtId="166" fontId="22" fillId="16" borderId="9" xfId="1" applyNumberFormat="1" applyFont="1" applyFill="1" applyBorder="1" applyAlignment="1">
      <alignment vertical="top"/>
    </xf>
    <xf numFmtId="166" fontId="22" fillId="16" borderId="10" xfId="1" applyNumberFormat="1" applyFont="1" applyFill="1" applyBorder="1" applyAlignment="1">
      <alignment vertical="top"/>
    </xf>
    <xf numFmtId="166" fontId="22" fillId="17" borderId="35" xfId="1" applyNumberFormat="1" applyFont="1" applyFill="1" applyBorder="1" applyAlignment="1">
      <alignment vertical="top"/>
    </xf>
    <xf numFmtId="166" fontId="22" fillId="17" borderId="33" xfId="1" applyNumberFormat="1" applyFont="1" applyFill="1" applyBorder="1" applyAlignment="1">
      <alignment vertical="top"/>
    </xf>
    <xf numFmtId="166" fontId="22" fillId="17" borderId="34" xfId="1" applyNumberFormat="1" applyFont="1" applyFill="1" applyBorder="1" applyAlignment="1">
      <alignment vertical="top"/>
    </xf>
    <xf numFmtId="166" fontId="23" fillId="16" borderId="1" xfId="1" applyNumberFormat="1" applyFont="1" applyFill="1" applyBorder="1" applyAlignment="1">
      <alignment vertical="top"/>
    </xf>
    <xf numFmtId="166" fontId="22" fillId="16" borderId="35" xfId="1" applyNumberFormat="1" applyFont="1" applyFill="1" applyBorder="1" applyAlignment="1">
      <alignment vertical="top"/>
    </xf>
    <xf numFmtId="166" fontId="22" fillId="16" borderId="33" xfId="1" applyNumberFormat="1" applyFont="1" applyFill="1" applyBorder="1" applyAlignment="1">
      <alignment vertical="top"/>
    </xf>
    <xf numFmtId="166" fontId="22" fillId="16" borderId="34" xfId="1" applyNumberFormat="1" applyFont="1" applyFill="1" applyBorder="1" applyAlignment="1">
      <alignment vertical="top"/>
    </xf>
    <xf numFmtId="39" fontId="22" fillId="6" borderId="3" xfId="0" applyNumberFormat="1" applyFont="1" applyFill="1" applyBorder="1" applyAlignment="1">
      <alignment horizontal="right" vertical="top"/>
    </xf>
    <xf numFmtId="39" fontId="22" fillId="6" borderId="9" xfId="0" applyNumberFormat="1" applyFont="1" applyFill="1" applyBorder="1" applyAlignment="1">
      <alignment horizontal="right" vertical="top"/>
    </xf>
    <xf numFmtId="166" fontId="26" fillId="10" borderId="1" xfId="1" applyNumberFormat="1" applyFont="1" applyFill="1" applyBorder="1" applyAlignment="1">
      <alignment horizontal="right" vertical="top"/>
    </xf>
    <xf numFmtId="166" fontId="22" fillId="5" borderId="1" xfId="1" applyNumberFormat="1" applyFont="1" applyFill="1" applyBorder="1" applyAlignment="1">
      <alignment horizontal="right" vertical="top"/>
    </xf>
    <xf numFmtId="166" fontId="22" fillId="5" borderId="1" xfId="1" applyNumberFormat="1" applyFont="1" applyFill="1" applyBorder="1" applyAlignment="1">
      <alignment horizontal="right" vertical="center"/>
    </xf>
    <xf numFmtId="166" fontId="22" fillId="5" borderId="1" xfId="1" applyNumberFormat="1" applyFont="1" applyFill="1" applyBorder="1" applyAlignment="1">
      <alignment vertical="center"/>
    </xf>
    <xf numFmtId="166" fontId="22" fillId="6" borderId="1" xfId="1" applyNumberFormat="1" applyFont="1" applyFill="1" applyBorder="1" applyAlignment="1"/>
    <xf numFmtId="0" fontId="10" fillId="0" borderId="0" xfId="0" applyFont="1" applyAlignment="1">
      <alignment horizontal="left" vertical="top" wrapText="1"/>
    </xf>
    <xf numFmtId="0" fontId="10" fillId="0" borderId="0" xfId="0" applyFont="1" applyFill="1" applyBorder="1"/>
    <xf numFmtId="0" fontId="10" fillId="0" borderId="0" xfId="0" applyNumberFormat="1" applyFont="1" applyAlignment="1">
      <alignment wrapText="1"/>
    </xf>
    <xf numFmtId="0" fontId="12" fillId="0" borderId="0" xfId="0" applyFont="1" applyAlignment="1">
      <alignment horizontal="left" vertical="top" wrapText="1"/>
    </xf>
    <xf numFmtId="0" fontId="10" fillId="0" borderId="0" xfId="0" applyFont="1" applyAlignment="1">
      <alignment horizontal="left" vertical="top"/>
    </xf>
    <xf numFmtId="0" fontId="10" fillId="0" borderId="0" xfId="0" applyFont="1" applyFill="1"/>
    <xf numFmtId="0" fontId="12" fillId="0" borderId="0" xfId="0" applyFont="1" applyFill="1" applyAlignment="1">
      <alignment horizontal="left" vertical="top" wrapText="1"/>
    </xf>
    <xf numFmtId="0" fontId="10" fillId="0" borderId="0" xfId="0" applyFont="1" applyFill="1" applyAlignment="1">
      <alignment horizontal="left" vertical="top"/>
    </xf>
    <xf numFmtId="0" fontId="10" fillId="0" borderId="0" xfId="0" applyNumberFormat="1" applyFont="1" applyFill="1" applyAlignment="1">
      <alignment wrapText="1"/>
    </xf>
    <xf numFmtId="0" fontId="11" fillId="0" borderId="0" xfId="0" applyFont="1" applyAlignment="1">
      <alignment horizontal="left" vertical="top"/>
    </xf>
    <xf numFmtId="0" fontId="11" fillId="0" borderId="0" xfId="0" applyFont="1" applyAlignment="1">
      <alignment horizontal="center"/>
    </xf>
    <xf numFmtId="166" fontId="10" fillId="0" borderId="0" xfId="0" applyNumberFormat="1" applyFont="1" applyAlignment="1">
      <alignment horizontal="right"/>
    </xf>
    <xf numFmtId="0" fontId="12" fillId="0" borderId="0" xfId="0" applyFont="1" applyAlignment="1">
      <alignment horizontal="left" vertical="top"/>
    </xf>
    <xf numFmtId="0" fontId="12" fillId="0" borderId="0" xfId="0" applyFont="1"/>
    <xf numFmtId="0" fontId="10" fillId="0" borderId="0" xfId="0" applyFont="1" applyAlignment="1">
      <alignment wrapText="1"/>
    </xf>
    <xf numFmtId="0" fontId="12" fillId="0" borderId="0" xfId="0" applyFont="1" applyAlignment="1">
      <alignment wrapText="1"/>
    </xf>
    <xf numFmtId="166" fontId="10" fillId="0" borderId="0" xfId="1" applyNumberFormat="1" applyFont="1" applyAlignment="1">
      <alignment wrapText="1"/>
    </xf>
    <xf numFmtId="37" fontId="10" fillId="0" borderId="0" xfId="0" applyNumberFormat="1" applyFont="1" applyAlignment="1">
      <alignment wrapText="1"/>
    </xf>
    <xf numFmtId="0" fontId="10" fillId="0" borderId="0" xfId="0" applyFont="1" applyFill="1" applyBorder="1" applyAlignment="1">
      <alignment wrapText="1"/>
    </xf>
    <xf numFmtId="0" fontId="11" fillId="0" borderId="0" xfId="0" applyFont="1" applyFill="1" applyBorder="1" applyAlignment="1">
      <alignment horizontal="center" wrapText="1"/>
    </xf>
    <xf numFmtId="37" fontId="12" fillId="0" borderId="0" xfId="0" applyNumberFormat="1" applyFont="1" applyAlignment="1">
      <alignment wrapText="1"/>
    </xf>
    <xf numFmtId="9" fontId="10" fillId="0" borderId="0" xfId="3" applyFont="1" applyAlignment="1">
      <alignment wrapText="1"/>
    </xf>
    <xf numFmtId="0" fontId="10" fillId="0" borderId="0" xfId="0" applyFont="1" applyAlignment="1">
      <alignment horizontal="right" wrapText="1"/>
    </xf>
    <xf numFmtId="0" fontId="11" fillId="0" borderId="0" xfId="0" applyFont="1" applyAlignment="1">
      <alignment horizontal="right" wrapText="1"/>
    </xf>
    <xf numFmtId="0" fontId="11" fillId="0" borderId="0" xfId="0" applyFont="1" applyAlignment="1">
      <alignment horizontal="center" wrapText="1"/>
    </xf>
    <xf numFmtId="166" fontId="36" fillId="0" borderId="0" xfId="1" applyNumberFormat="1" applyFont="1" applyAlignment="1">
      <alignment horizontal="center" wrapText="1"/>
    </xf>
    <xf numFmtId="37" fontId="11" fillId="0" borderId="0" xfId="0" applyNumberFormat="1" applyFont="1" applyAlignment="1">
      <alignment horizontal="center" wrapText="1"/>
    </xf>
    <xf numFmtId="9" fontId="11" fillId="0" borderId="0" xfId="3" applyFont="1" applyAlignment="1">
      <alignment horizontal="center" wrapText="1"/>
    </xf>
    <xf numFmtId="37" fontId="11" fillId="0" borderId="0" xfId="0" applyNumberFormat="1" applyFont="1" applyAlignment="1">
      <alignment horizontal="right" wrapText="1"/>
    </xf>
    <xf numFmtId="39" fontId="11" fillId="0" borderId="0" xfId="0" applyNumberFormat="1" applyFont="1" applyAlignment="1">
      <alignment horizontal="right" wrapText="1"/>
    </xf>
    <xf numFmtId="0" fontId="10" fillId="0" borderId="0" xfId="0" applyFont="1" applyFill="1" applyBorder="1" applyAlignment="1">
      <alignment vertical="top"/>
    </xf>
    <xf numFmtId="166" fontId="10" fillId="0" borderId="0" xfId="1" applyNumberFormat="1" applyFont="1" applyFill="1" applyBorder="1"/>
    <xf numFmtId="166" fontId="10" fillId="0" borderId="0" xfId="1" applyNumberFormat="1" applyFont="1" applyFill="1" applyBorder="1" applyAlignment="1">
      <alignment horizontal="right" vertical="top"/>
    </xf>
    <xf numFmtId="0" fontId="10" fillId="0" borderId="0" xfId="0" applyFont="1" applyAlignment="1">
      <alignment horizontal="right" vertical="top"/>
    </xf>
    <xf numFmtId="0" fontId="10" fillId="0" borderId="0" xfId="0" applyNumberFormat="1" applyFont="1" applyAlignment="1">
      <alignment vertical="top"/>
    </xf>
    <xf numFmtId="0" fontId="10" fillId="0" borderId="0" xfId="0" applyFont="1" applyBorder="1" applyAlignment="1">
      <alignment horizontal="right" vertical="top"/>
    </xf>
    <xf numFmtId="0" fontId="10" fillId="0" borderId="0" xfId="0" applyFont="1" applyBorder="1"/>
    <xf numFmtId="166" fontId="10" fillId="0" borderId="0" xfId="1" applyNumberFormat="1" applyFont="1" applyBorder="1"/>
    <xf numFmtId="0" fontId="11" fillId="0" borderId="0" xfId="0" applyFont="1" applyBorder="1" applyAlignment="1">
      <alignment horizontal="right" vertical="top"/>
    </xf>
    <xf numFmtId="0" fontId="11" fillId="0" borderId="0" xfId="0" applyFont="1" applyBorder="1" applyAlignment="1">
      <alignment horizontal="center"/>
    </xf>
    <xf numFmtId="166" fontId="11" fillId="0" borderId="0" xfId="1" applyNumberFormat="1" applyFont="1" applyBorder="1" applyAlignment="1">
      <alignment horizontal="right" vertical="top"/>
    </xf>
    <xf numFmtId="166" fontId="12" fillId="0" borderId="0" xfId="1" applyNumberFormat="1" applyFont="1" applyBorder="1"/>
    <xf numFmtId="0" fontId="10" fillId="0" borderId="0" xfId="0" applyFont="1" applyFill="1" applyBorder="1" applyAlignment="1">
      <alignment vertical="top" wrapText="1"/>
    </xf>
    <xf numFmtId="166" fontId="10" fillId="0" borderId="0" xfId="0" applyNumberFormat="1" applyFont="1" applyFill="1"/>
    <xf numFmtId="0" fontId="12" fillId="0" borderId="0" xfId="0" applyFont="1" applyBorder="1" applyAlignment="1">
      <alignment horizontal="left" vertical="top"/>
    </xf>
    <xf numFmtId="166" fontId="6" fillId="8" borderId="1" xfId="1" applyNumberFormat="1" applyFont="1" applyFill="1" applyBorder="1" applyAlignment="1">
      <alignment horizontal="right" wrapText="1"/>
    </xf>
    <xf numFmtId="0" fontId="22" fillId="17" borderId="25" xfId="1" applyNumberFormat="1" applyFont="1" applyFill="1" applyBorder="1" applyAlignment="1">
      <alignment horizontal="left" vertical="top" wrapText="1"/>
    </xf>
    <xf numFmtId="0" fontId="22" fillId="17" borderId="25" xfId="1" applyNumberFormat="1" applyFont="1" applyFill="1" applyBorder="1" applyAlignment="1">
      <alignment horizontal="left" vertical="top"/>
    </xf>
    <xf numFmtId="0" fontId="22" fillId="17" borderId="15" xfId="1" applyNumberFormat="1" applyFont="1" applyFill="1" applyBorder="1" applyAlignment="1">
      <alignment vertical="top"/>
    </xf>
    <xf numFmtId="0" fontId="12" fillId="0" borderId="0" xfId="0" applyFont="1" applyFill="1" applyBorder="1"/>
    <xf numFmtId="166" fontId="12" fillId="0" borderId="0" xfId="1" applyNumberFormat="1" applyFont="1" applyFill="1" applyBorder="1" applyAlignment="1">
      <alignment horizontal="center"/>
    </xf>
    <xf numFmtId="166" fontId="10" fillId="0" borderId="0" xfId="1" applyNumberFormat="1" applyFont="1" applyFill="1" applyBorder="1" applyAlignment="1">
      <alignment horizontal="right"/>
    </xf>
    <xf numFmtId="166" fontId="4" fillId="9" borderId="1" xfId="1" applyNumberFormat="1" applyFont="1" applyFill="1" applyBorder="1" applyAlignment="1">
      <alignment horizontal="right"/>
    </xf>
    <xf numFmtId="166" fontId="8" fillId="9" borderId="1" xfId="1" applyNumberFormat="1" applyFont="1" applyFill="1" applyBorder="1" applyAlignment="1">
      <alignment horizontal="right"/>
    </xf>
    <xf numFmtId="0" fontId="5" fillId="0" borderId="0" xfId="0" applyFont="1" applyAlignment="1">
      <alignment wrapText="1"/>
    </xf>
    <xf numFmtId="164"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22" fillId="5" borderId="4" xfId="0" applyFont="1" applyFill="1" applyBorder="1" applyAlignment="1">
      <alignment horizontal="right" vertical="top"/>
    </xf>
    <xf numFmtId="166" fontId="22" fillId="9" borderId="5" xfId="1" applyNumberFormat="1" applyFont="1" applyFill="1" applyBorder="1" applyAlignment="1">
      <alignment horizontal="center"/>
    </xf>
    <xf numFmtId="166" fontId="22" fillId="9" borderId="6" xfId="1" applyNumberFormat="1" applyFont="1" applyFill="1" applyBorder="1" applyAlignment="1">
      <alignment horizontal="center"/>
    </xf>
    <xf numFmtId="166" fontId="22" fillId="9" borderId="7" xfId="1" applyNumberFormat="1" applyFont="1" applyFill="1" applyBorder="1" applyAlignment="1">
      <alignment horizontal="center"/>
    </xf>
    <xf numFmtId="0" fontId="4" fillId="0" borderId="28" xfId="0" applyFont="1" applyBorder="1" applyAlignment="1">
      <alignment horizontal="left" wrapText="1"/>
    </xf>
    <xf numFmtId="0" fontId="4" fillId="0" borderId="0" xfId="0" applyFont="1" applyAlignment="1">
      <alignment horizontal="left" wrapText="1"/>
    </xf>
    <xf numFmtId="0" fontId="4" fillId="0" borderId="12" xfId="0" applyFont="1" applyBorder="1" applyAlignment="1">
      <alignment horizontal="left" wrapText="1"/>
    </xf>
    <xf numFmtId="166" fontId="5" fillId="16" borderId="1" xfId="1" applyNumberFormat="1" applyFont="1" applyFill="1" applyBorder="1" applyAlignment="1">
      <alignment horizontal="center"/>
    </xf>
    <xf numFmtId="166" fontId="22" fillId="16" borderId="13" xfId="1" applyNumberFormat="1" applyFont="1" applyFill="1" applyBorder="1" applyAlignment="1">
      <alignment horizontal="center"/>
    </xf>
    <xf numFmtId="0" fontId="22" fillId="5" borderId="1" xfId="0" applyFont="1" applyFill="1" applyBorder="1" applyAlignment="1">
      <alignment horizontal="right" vertical="center"/>
    </xf>
    <xf numFmtId="0" fontId="22" fillId="6" borderId="1" xfId="0" applyFont="1" applyFill="1" applyBorder="1" applyAlignment="1">
      <alignment horizontal="right"/>
    </xf>
    <xf numFmtId="0" fontId="22" fillId="6" borderId="1" xfId="0" applyFont="1" applyFill="1" applyBorder="1" applyAlignment="1">
      <alignment horizontal="right" vertical="center"/>
    </xf>
    <xf numFmtId="166" fontId="26" fillId="10" borderId="16" xfId="1" applyNumberFormat="1" applyFont="1" applyFill="1" applyBorder="1" applyAlignment="1">
      <alignment horizontal="center"/>
    </xf>
    <xf numFmtId="166" fontId="23" fillId="9" borderId="21" xfId="1" applyNumberFormat="1" applyFont="1" applyFill="1" applyBorder="1" applyAlignment="1">
      <alignment horizontal="center"/>
    </xf>
    <xf numFmtId="166" fontId="23" fillId="9" borderId="22" xfId="1" applyNumberFormat="1" applyFont="1" applyFill="1" applyBorder="1" applyAlignment="1">
      <alignment horizontal="center"/>
    </xf>
    <xf numFmtId="166" fontId="23" fillId="9" borderId="23" xfId="1" applyNumberFormat="1" applyFont="1" applyFill="1" applyBorder="1" applyAlignment="1">
      <alignment horizontal="center"/>
    </xf>
    <xf numFmtId="166" fontId="26" fillId="10" borderId="29" xfId="1" applyNumberFormat="1" applyFont="1" applyFill="1" applyBorder="1" applyAlignment="1">
      <alignment horizontal="center"/>
    </xf>
    <xf numFmtId="166" fontId="26" fillId="10" borderId="27" xfId="1" applyNumberFormat="1" applyFont="1" applyFill="1" applyBorder="1" applyAlignment="1">
      <alignment horizontal="center"/>
    </xf>
    <xf numFmtId="166" fontId="26" fillId="10" borderId="30" xfId="1" applyNumberFormat="1" applyFont="1" applyFill="1" applyBorder="1" applyAlignment="1">
      <alignment horizontal="center"/>
    </xf>
    <xf numFmtId="0" fontId="22" fillId="5" borderId="1" xfId="0" applyFont="1" applyFill="1" applyBorder="1" applyAlignment="1">
      <alignment horizontal="left" vertical="top"/>
    </xf>
  </cellXfs>
  <cellStyles count="7">
    <cellStyle name="Comma 3" xfId="4" xr:uid="{00000000-0005-0000-0000-000001000000}"/>
    <cellStyle name="Comma 3 2" xfId="6" xr:uid="{C5D9BF5D-78EC-410C-89DF-2DF9928618A0}"/>
    <cellStyle name="Milliers" xfId="1" builtinId="3"/>
    <cellStyle name="Normal" xfId="0" builtinId="0"/>
    <cellStyle name="Normal 2" xfId="2" xr:uid="{00000000-0005-0000-0000-000003000000}"/>
    <cellStyle name="Normal 2 2" xfId="5" xr:uid="{678C9D3C-3482-4878-8D0A-B225BD868313}"/>
    <cellStyle name="Pourcentage"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ure\Desktop\Copy%20of%20TROCAIRE%20INPUTS%206%20Feb_SSU_ISSSS_RRR_FRPI_OIM-Trocaire-Caritas_Budget_v%2006-2-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ure\AppData\Local\Microsoft\Windows\INetCache\Content.Outlook\MQLDIPQR\TROCAIRE%20INPUTS%2010%20Feb_SSU_ISSSS_RRR_FRPI_OIM-Trocaire-Caritas_Budget_v%2010-2-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ure\Desktop\20200208_SSU_ISSSS_RRR_FRPI_OIM-Trocaire-Caritas_Budget_Final_NOT_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_Recapitulatif_AAP"/>
      <sheetName val="Consolidated"/>
      <sheetName val="OIM"/>
      <sheetName val="Trocaire"/>
      <sheetName val="Carit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_Recapitulatif_AAP"/>
      <sheetName val="Consolidated"/>
      <sheetName val="OIM"/>
      <sheetName val="Trocaire"/>
      <sheetName val="Carita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_Recapitulatif_AAP"/>
      <sheetName val="Consolidated"/>
      <sheetName val="OIM"/>
      <sheetName val="Trocaire"/>
      <sheetName val="Carita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P46"/>
  <sheetViews>
    <sheetView zoomScale="60" zoomScaleNormal="60" workbookViewId="0">
      <selection activeCell="M34" sqref="M34"/>
    </sheetView>
  </sheetViews>
  <sheetFormatPr baseColWidth="10" defaultColWidth="11.453125" defaultRowHeight="13" x14ac:dyDescent="0.3"/>
  <cols>
    <col min="1" max="1" width="6.08984375" style="1" customWidth="1"/>
    <col min="2" max="2" width="31.90625" style="1" customWidth="1"/>
    <col min="3" max="3" width="15.6328125" style="1" customWidth="1"/>
    <col min="4" max="4" width="17" style="1" customWidth="1"/>
    <col min="5" max="5" width="14.36328125" style="1" customWidth="1"/>
    <col min="6" max="6" width="17" style="1" bestFit="1" customWidth="1"/>
    <col min="7" max="7" width="16.6328125" style="1" customWidth="1"/>
    <col min="8" max="8" width="18.08984375" style="1" customWidth="1"/>
    <col min="9" max="16384" width="11.453125" style="1"/>
  </cols>
  <sheetData>
    <row r="1" spans="2:6" s="60" customFormat="1" x14ac:dyDescent="0.3">
      <c r="C1" s="1018" t="s">
        <v>26</v>
      </c>
    </row>
    <row r="2" spans="2:6" s="60" customFormat="1" x14ac:dyDescent="0.3">
      <c r="B2" s="12" t="s">
        <v>18</v>
      </c>
      <c r="C2" s="60" t="s">
        <v>183</v>
      </c>
    </row>
    <row r="3" spans="2:6" s="60" customFormat="1" x14ac:dyDescent="0.3">
      <c r="B3" s="12" t="s">
        <v>19</v>
      </c>
      <c r="C3" s="1009" t="s">
        <v>302</v>
      </c>
    </row>
    <row r="4" spans="2:6" s="60" customFormat="1" x14ac:dyDescent="0.3">
      <c r="B4" s="12" t="s">
        <v>16</v>
      </c>
      <c r="C4" s="84" t="s">
        <v>89</v>
      </c>
    </row>
    <row r="5" spans="2:6" s="60" customFormat="1" x14ac:dyDescent="0.3">
      <c r="B5" s="1054" t="s">
        <v>17</v>
      </c>
      <c r="C5" s="1055">
        <f>C37</f>
        <v>2990653.9204919999</v>
      </c>
    </row>
    <row r="6" spans="2:6" s="60" customFormat="1" x14ac:dyDescent="0.3">
      <c r="B6" s="1054" t="s">
        <v>380</v>
      </c>
      <c r="C6" s="1056">
        <f>C38</f>
        <v>209345.77443444001</v>
      </c>
    </row>
    <row r="7" spans="2:6" s="60" customFormat="1" x14ac:dyDescent="0.3">
      <c r="B7" s="1054" t="s">
        <v>32</v>
      </c>
      <c r="C7" s="1055">
        <f>SUM(C5:C6)</f>
        <v>3199999.6949264398</v>
      </c>
      <c r="D7" s="1048"/>
    </row>
    <row r="9" spans="2:6" x14ac:dyDescent="0.3">
      <c r="B9" s="7" t="s">
        <v>0</v>
      </c>
      <c r="C9" s="7" t="s">
        <v>23</v>
      </c>
      <c r="D9" s="7" t="s">
        <v>24</v>
      </c>
      <c r="E9" s="7" t="s">
        <v>25</v>
      </c>
      <c r="F9" s="18" t="s">
        <v>33</v>
      </c>
    </row>
    <row r="10" spans="2:6" ht="13.65" customHeight="1" x14ac:dyDescent="0.3">
      <c r="B10" s="3" t="s">
        <v>9</v>
      </c>
      <c r="C10" s="461">
        <f>SUMIF(Consolidated!C12:C242, Budget_Recapitulatif_AAP!B10, Consolidated!H12:H242)</f>
        <v>604456.20000000007</v>
      </c>
      <c r="D10" s="461">
        <f>SUMIF(Consolidated!C13:C242, Budget_Recapitulatif_AAP!B10, Consolidated!M13:M242)</f>
        <v>315527.76</v>
      </c>
      <c r="E10" s="461">
        <f>SUMIF(Consolidated!C13:C242, Budget_Recapitulatif_AAP!B10, Consolidated!O13:O242)</f>
        <v>919983.95999999985</v>
      </c>
      <c r="F10" s="464">
        <f>E10/C7</f>
        <v>0.2874950149084774</v>
      </c>
    </row>
    <row r="11" spans="2:6" ht="27" customHeight="1" x14ac:dyDescent="0.3">
      <c r="B11" s="4" t="s">
        <v>10</v>
      </c>
      <c r="C11" s="461">
        <f>SUMIF(Consolidated!C13:C243, Budget_Recapitulatif_AAP!B11, Consolidated!H13:H243)</f>
        <v>80000</v>
      </c>
      <c r="D11" s="461">
        <f>SUMIF(Consolidated!C13:C243, Budget_Recapitulatif_AAP!B11, Consolidated!M13:M243)</f>
        <v>2000</v>
      </c>
      <c r="E11" s="461">
        <f>SUMIF(Consolidated!C13:C243, Budget_Recapitulatif_AAP!B11, Consolidated!O13:O243)</f>
        <v>82000</v>
      </c>
      <c r="F11" s="464">
        <f>E11/C7</f>
        <v>2.5625002442972101E-2</v>
      </c>
    </row>
    <row r="12" spans="2:6" ht="16.399999999999999" customHeight="1" x14ac:dyDescent="0.3">
      <c r="B12" s="4" t="s">
        <v>30</v>
      </c>
      <c r="C12" s="461">
        <f>SUMIF(Consolidated!C13:C244, Budget_Recapitulatif_AAP!B12, Consolidated!H13:H244)</f>
        <v>29300</v>
      </c>
      <c r="D12" s="461">
        <f>SUMIF(Consolidated!C13:C244, Budget_Recapitulatif_AAP!B12, Consolidated!M13:M244)</f>
        <v>7500</v>
      </c>
      <c r="E12" s="461">
        <f>SUMIF(Consolidated!C13:C244, Budget_Recapitulatif_AAP!B12, Consolidated!O13:O244)</f>
        <v>36800</v>
      </c>
      <c r="F12" s="464">
        <f>E12/C7</f>
        <v>1.1500001096358212E-2</v>
      </c>
    </row>
    <row r="13" spans="2:6" ht="15.75" customHeight="1" x14ac:dyDescent="0.3">
      <c r="B13" s="4" t="s">
        <v>11</v>
      </c>
      <c r="C13" s="461">
        <f>SUMIF(Consolidated!C13:C245, Budget_Recapitulatif_AAP!B13, Consolidated!H13:H245)</f>
        <v>527079</v>
      </c>
      <c r="D13" s="461">
        <f>SUMIF(Consolidated!C13:C245, Budget_Recapitulatif_AAP!B13, Consolidated!M13:M245)</f>
        <v>116800</v>
      </c>
      <c r="E13" s="461">
        <f>SUMIF(Consolidated!C13:C245, Budget_Recapitulatif_AAP!B13, Consolidated!O13:O245)</f>
        <v>643879</v>
      </c>
      <c r="F13" s="464">
        <f>E13/C7</f>
        <v>0.20121220668266382</v>
      </c>
    </row>
    <row r="14" spans="2:6" ht="15" customHeight="1" x14ac:dyDescent="0.3">
      <c r="B14" s="5" t="s">
        <v>12</v>
      </c>
      <c r="C14" s="461">
        <f>SUMIF(Consolidated!C13:C246, Budget_Recapitulatif_AAP!B14, Consolidated!H13:H246)</f>
        <v>102170</v>
      </c>
      <c r="D14" s="461">
        <f>SUMIF(Consolidated!C13:C246, Budget_Recapitulatif_AAP!B14, Consolidated!M13:M246)</f>
        <v>77340</v>
      </c>
      <c r="E14" s="461">
        <f>SUMIF(Consolidated!C13:C246, Budget_Recapitulatif_AAP!B14, Consolidated!O13:O246)</f>
        <v>179510</v>
      </c>
      <c r="F14" s="464">
        <f>E14/C7</f>
        <v>5.6096880348023438E-2</v>
      </c>
    </row>
    <row r="15" spans="2:6" x14ac:dyDescent="0.3">
      <c r="B15" s="5" t="s">
        <v>13</v>
      </c>
      <c r="C15" s="461">
        <f>SUMIF(Consolidated!C13:C247, Budget_Recapitulatif_AAP!B15, Consolidated!H13:H247)</f>
        <v>805248.69333333336</v>
      </c>
      <c r="D15" s="461">
        <f>SUMIF(Consolidated!C13:C247, Budget_Recapitulatif_AAP!B15, Consolidated!M13:M247)</f>
        <v>105715.84306666667</v>
      </c>
      <c r="E15" s="461">
        <f>SUMIF(Consolidated!C13:C247, Budget_Recapitulatif_AAP!B15, Consolidated!O13:O247)</f>
        <v>910964.5364000001</v>
      </c>
      <c r="F15" s="464">
        <f>E15/C7</f>
        <v>0.28467644476476767</v>
      </c>
    </row>
    <row r="16" spans="2:6" ht="26" x14ac:dyDescent="0.3">
      <c r="B16" s="5" t="s">
        <v>14</v>
      </c>
      <c r="C16" s="461">
        <f>SUMIF(Consolidated!C13:C248, Budget_Recapitulatif_AAP!B16, Consolidated!H13:H248)</f>
        <v>145248.89941849999</v>
      </c>
      <c r="D16" s="461">
        <f>SUMIF(Consolidated!C13:C248, Budget_Recapitulatif_AAP!B16, Consolidated!M13:M248)</f>
        <v>72267.524673499996</v>
      </c>
      <c r="E16" s="461">
        <f>SUMIF(Consolidated!C13:C248, Budget_Recapitulatif_AAP!B16, Consolidated!O13:O248)</f>
        <v>217516.424092</v>
      </c>
      <c r="F16" s="464">
        <f>E16/C7</f>
        <v>6.7973889009073848E-2</v>
      </c>
    </row>
    <row r="17" spans="2:8" x14ac:dyDescent="0.3">
      <c r="B17" s="8" t="s">
        <v>15</v>
      </c>
      <c r="C17" s="462">
        <f>SUM(C10:C16)</f>
        <v>2293502.7927518333</v>
      </c>
      <c r="D17" s="462">
        <f>SUM(D10:D16)</f>
        <v>697151.12774016662</v>
      </c>
      <c r="E17" s="462">
        <f>SUM(E10:E16)</f>
        <v>2990653.9204919999</v>
      </c>
      <c r="F17" s="464">
        <f>E17/C7</f>
        <v>0.93457943925233644</v>
      </c>
    </row>
    <row r="18" spans="2:8" x14ac:dyDescent="0.3">
      <c r="B18" s="13"/>
      <c r="C18" s="462"/>
      <c r="D18" s="462"/>
      <c r="E18" s="463"/>
      <c r="F18" s="19"/>
    </row>
    <row r="19" spans="2:8" x14ac:dyDescent="0.3">
      <c r="B19" s="21" t="s">
        <v>34</v>
      </c>
      <c r="C19" s="1050">
        <f>C17</f>
        <v>2293502.7927518333</v>
      </c>
      <c r="D19" s="1050">
        <f>D17</f>
        <v>697151.12774016662</v>
      </c>
      <c r="E19" s="1050">
        <f>E17</f>
        <v>2990653.9204919999</v>
      </c>
      <c r="F19" s="21"/>
    </row>
    <row r="20" spans="2:8" x14ac:dyDescent="0.3">
      <c r="B20" s="22" t="s">
        <v>381</v>
      </c>
      <c r="C20" s="1057">
        <f>C17*0.07</f>
        <v>160545.19549262835</v>
      </c>
      <c r="D20" s="1057">
        <f>D17*0.07</f>
        <v>48800.578941811669</v>
      </c>
      <c r="E20" s="1057">
        <f>E17*0.07</f>
        <v>209345.77443444001</v>
      </c>
      <c r="F20" s="22"/>
    </row>
    <row r="21" spans="2:8" x14ac:dyDescent="0.3">
      <c r="B21" s="9" t="s">
        <v>1</v>
      </c>
      <c r="C21" s="1058">
        <f>SUM(C19:C20)</f>
        <v>2454047.9882444618</v>
      </c>
      <c r="D21" s="1058">
        <f>SUM(D19:D20)</f>
        <v>745951.70668197831</v>
      </c>
      <c r="E21" s="1058">
        <f>SUM(E19:E20)</f>
        <v>3199999.6949264398</v>
      </c>
      <c r="F21" s="10"/>
    </row>
    <row r="23" spans="2:8" x14ac:dyDescent="0.3">
      <c r="B23" s="1" t="s">
        <v>51</v>
      </c>
    </row>
    <row r="24" spans="2:8" x14ac:dyDescent="0.3">
      <c r="B24" s="1059"/>
      <c r="C24" s="1059"/>
      <c r="D24" s="1059"/>
      <c r="E24" s="1059"/>
    </row>
    <row r="27" spans="2:8" x14ac:dyDescent="0.3">
      <c r="B27" s="23" t="s">
        <v>52</v>
      </c>
      <c r="C27" s="24" t="s">
        <v>68</v>
      </c>
      <c r="D27" s="24" t="s">
        <v>68</v>
      </c>
      <c r="E27" s="24" t="s">
        <v>68</v>
      </c>
      <c r="F27" s="24" t="s">
        <v>68</v>
      </c>
      <c r="G27" s="24" t="s">
        <v>68</v>
      </c>
      <c r="H27" s="473" t="s">
        <v>53</v>
      </c>
    </row>
    <row r="28" spans="2:8" x14ac:dyDescent="0.3">
      <c r="B28" s="25" t="s">
        <v>59</v>
      </c>
      <c r="C28" s="26"/>
      <c r="D28" s="26"/>
      <c r="E28" s="26"/>
      <c r="F28" s="26">
        <f>L14</f>
        <v>0</v>
      </c>
      <c r="G28" s="26">
        <f>M14</f>
        <v>0</v>
      </c>
      <c r="H28" s="27">
        <f>SUM(C28:G28)</f>
        <v>0</v>
      </c>
    </row>
    <row r="29" spans="2:8" x14ac:dyDescent="0.3">
      <c r="B29" s="28" t="s">
        <v>60</v>
      </c>
      <c r="C29" s="29">
        <f>C28*0.07</f>
        <v>0</v>
      </c>
      <c r="D29" s="29">
        <f>D28*0.07</f>
        <v>0</v>
      </c>
      <c r="E29" s="29">
        <f>E28*0.07</f>
        <v>0</v>
      </c>
      <c r="F29" s="29">
        <f t="shared" ref="F29:G29" si="0">F28*0.07</f>
        <v>0</v>
      </c>
      <c r="G29" s="29">
        <f t="shared" si="0"/>
        <v>0</v>
      </c>
      <c r="H29" s="29">
        <f>SUM(C29:G29)</f>
        <v>0</v>
      </c>
    </row>
    <row r="30" spans="2:8" x14ac:dyDescent="0.3">
      <c r="B30" s="30" t="s">
        <v>56</v>
      </c>
      <c r="C30" s="31">
        <f t="shared" ref="C30:D30" si="1">C28+C29</f>
        <v>0</v>
      </c>
      <c r="D30" s="31">
        <f t="shared" si="1"/>
        <v>0</v>
      </c>
      <c r="E30" s="31">
        <f t="shared" ref="E30:H30" si="2">SUM(E28:E29)</f>
        <v>0</v>
      </c>
      <c r="F30" s="31">
        <f t="shared" si="2"/>
        <v>0</v>
      </c>
      <c r="G30" s="31">
        <f t="shared" si="2"/>
        <v>0</v>
      </c>
      <c r="H30" s="32">
        <f t="shared" si="2"/>
        <v>0</v>
      </c>
    </row>
    <row r="31" spans="2:8" x14ac:dyDescent="0.3">
      <c r="B31" s="33" t="s">
        <v>57</v>
      </c>
      <c r="C31" s="34">
        <f>C30*0.07</f>
        <v>0</v>
      </c>
      <c r="D31" s="34">
        <f>D30*0.07</f>
        <v>0</v>
      </c>
      <c r="E31" s="34">
        <f>E30*0.07</f>
        <v>0</v>
      </c>
      <c r="F31" s="34">
        <f>F30*0.07</f>
        <v>0</v>
      </c>
      <c r="G31" s="34">
        <f>G30*0.07</f>
        <v>0</v>
      </c>
      <c r="H31" s="474">
        <f>SUM(C31:G31)</f>
        <v>0</v>
      </c>
    </row>
    <row r="32" spans="2:8" x14ac:dyDescent="0.3">
      <c r="B32" s="33" t="s">
        <v>58</v>
      </c>
      <c r="C32" s="34">
        <f>C30*0.01</f>
        <v>0</v>
      </c>
      <c r="D32" s="34">
        <f>D30*0.01</f>
        <v>0</v>
      </c>
      <c r="E32" s="34">
        <f>E30*0.01</f>
        <v>0</v>
      </c>
      <c r="F32" s="34">
        <f>F30*0.01</f>
        <v>0</v>
      </c>
      <c r="G32" s="34">
        <f>G30*0.01</f>
        <v>0</v>
      </c>
      <c r="H32" s="474">
        <f>SUM(C32:G32)</f>
        <v>0</v>
      </c>
    </row>
    <row r="33" spans="2:16" x14ac:dyDescent="0.3">
      <c r="B33" s="33" t="s">
        <v>25</v>
      </c>
      <c r="C33" s="34">
        <f>C30+C31+C32</f>
        <v>0</v>
      </c>
      <c r="D33" s="34">
        <f>D30+D31+D32</f>
        <v>0</v>
      </c>
      <c r="E33" s="34">
        <f>E30+E31+E32</f>
        <v>0</v>
      </c>
      <c r="F33" s="34">
        <f>F30+F31+F32</f>
        <v>0</v>
      </c>
      <c r="G33" s="34">
        <f>G30+G31+G32</f>
        <v>0</v>
      </c>
      <c r="H33" s="475">
        <f>SUM(C33:G33)</f>
        <v>0</v>
      </c>
    </row>
    <row r="36" spans="2:16" x14ac:dyDescent="0.3">
      <c r="B36" s="23" t="s">
        <v>61</v>
      </c>
      <c r="C36" s="23" t="s">
        <v>68</v>
      </c>
      <c r="D36" s="23" t="s">
        <v>68</v>
      </c>
      <c r="E36" s="35" t="s">
        <v>68</v>
      </c>
    </row>
    <row r="37" spans="2:16" x14ac:dyDescent="0.3">
      <c r="B37" s="25" t="s">
        <v>54</v>
      </c>
      <c r="C37" s="36">
        <f>E17</f>
        <v>2990653.9204919999</v>
      </c>
      <c r="D37" s="36"/>
      <c r="E37" s="36">
        <f>SUM(C37:D37)</f>
        <v>2990653.9204919999</v>
      </c>
    </row>
    <row r="38" spans="2:16" x14ac:dyDescent="0.3">
      <c r="B38" s="28" t="s">
        <v>55</v>
      </c>
      <c r="C38" s="37">
        <f>C37*0.07</f>
        <v>209345.77443444001</v>
      </c>
      <c r="D38" s="37"/>
      <c r="E38" s="37">
        <f>SUM(C38:D38)</f>
        <v>209345.77443444001</v>
      </c>
    </row>
    <row r="39" spans="2:16" x14ac:dyDescent="0.3">
      <c r="B39" s="30" t="s">
        <v>62</v>
      </c>
      <c r="C39" s="38">
        <f>SUM(C37:C38)</f>
        <v>3199999.6949264398</v>
      </c>
      <c r="D39" s="38">
        <f>SUM(D37:D38)</f>
        <v>0</v>
      </c>
      <c r="E39" s="38">
        <f>SUM(C39:D39)</f>
        <v>3199999.6949264398</v>
      </c>
    </row>
    <row r="42" spans="2:16" ht="29" x14ac:dyDescent="0.35">
      <c r="B42" s="39" t="s">
        <v>63</v>
      </c>
      <c r="C42" s="40" t="s">
        <v>68</v>
      </c>
      <c r="D42" s="40" t="s">
        <v>64</v>
      </c>
      <c r="E42" s="40" t="s">
        <v>68</v>
      </c>
      <c r="F42" s="40" t="s">
        <v>64</v>
      </c>
      <c r="G42" s="40" t="s">
        <v>68</v>
      </c>
      <c r="H42" s="40" t="s">
        <v>64</v>
      </c>
      <c r="I42" s="40" t="s">
        <v>68</v>
      </c>
      <c r="J42" s="40" t="s">
        <v>64</v>
      </c>
      <c r="K42" s="40" t="s">
        <v>68</v>
      </c>
      <c r="L42" s="40" t="s">
        <v>64</v>
      </c>
      <c r="M42" s="40" t="s">
        <v>68</v>
      </c>
      <c r="N42" s="40" t="s">
        <v>64</v>
      </c>
      <c r="O42" s="40" t="s">
        <v>68</v>
      </c>
      <c r="P42" s="41" t="s">
        <v>64</v>
      </c>
    </row>
    <row r="43" spans="2:16" ht="41.5" x14ac:dyDescent="0.35">
      <c r="B43" s="42" t="s">
        <v>65</v>
      </c>
      <c r="C43" s="43">
        <f>OIM!O42+OIM!O58</f>
        <v>949379</v>
      </c>
      <c r="D43" s="135">
        <f>C43/C46</f>
        <v>0.62713508665043161</v>
      </c>
      <c r="E43" s="43">
        <f>Trocaire!O91</f>
        <v>672117.995</v>
      </c>
      <c r="F43" s="135">
        <f>E43/E46</f>
        <v>0.60253109718761566</v>
      </c>
      <c r="G43" s="43">
        <f>Caritas!O38</f>
        <v>387640</v>
      </c>
      <c r="H43" s="135">
        <f>G43/G46</f>
        <v>0.67926721009445323</v>
      </c>
      <c r="I43" s="43"/>
      <c r="J43" s="44"/>
      <c r="K43" s="43"/>
      <c r="L43" s="44"/>
      <c r="M43" s="43"/>
      <c r="N43" s="45"/>
      <c r="O43" s="43"/>
      <c r="P43" s="44"/>
    </row>
    <row r="44" spans="2:16" ht="41.5" x14ac:dyDescent="0.35">
      <c r="B44" s="42" t="s">
        <v>66</v>
      </c>
      <c r="C44" s="46">
        <f>OIM!O95</f>
        <v>465420</v>
      </c>
      <c r="D44" s="44">
        <f>C44/C46</f>
        <v>0.30744435260190489</v>
      </c>
      <c r="E44" s="43">
        <f>Trocaire!O137</f>
        <v>370396.92549199995</v>
      </c>
      <c r="F44" s="44">
        <f>E44/E46</f>
        <v>0.33204834206472073</v>
      </c>
      <c r="G44" s="43">
        <f>Caritas!O75</f>
        <v>145700</v>
      </c>
      <c r="H44" s="44">
        <f>G44/G46</f>
        <v>0.25531222915788315</v>
      </c>
      <c r="I44" s="43"/>
      <c r="J44" s="44"/>
      <c r="K44" s="43"/>
      <c r="L44" s="44"/>
      <c r="M44" s="43"/>
      <c r="N44" s="45"/>
      <c r="O44" s="43"/>
      <c r="P44" s="44"/>
    </row>
    <row r="45" spans="2:16" ht="14.5" x14ac:dyDescent="0.35">
      <c r="B45" s="42" t="s">
        <v>67</v>
      </c>
      <c r="C45" s="46">
        <f>OIM!O98</f>
        <v>99035.930000000008</v>
      </c>
      <c r="D45" s="44"/>
      <c r="E45" s="46">
        <f>Trocaire!O140</f>
        <v>72976.044434440002</v>
      </c>
      <c r="F45" s="44"/>
      <c r="G45" s="43">
        <f>Caritas!C6</f>
        <v>37333.800000000003</v>
      </c>
      <c r="H45" s="44"/>
      <c r="I45" s="43"/>
      <c r="J45" s="44"/>
      <c r="K45" s="43"/>
      <c r="L45" s="44"/>
      <c r="M45" s="43"/>
      <c r="N45" s="44"/>
      <c r="O45" s="43"/>
      <c r="P45" s="44"/>
    </row>
    <row r="46" spans="2:16" ht="14.5" x14ac:dyDescent="0.35">
      <c r="B46" s="47" t="s">
        <v>25</v>
      </c>
      <c r="C46" s="48">
        <f>SUM(C43:C45)</f>
        <v>1513834.93</v>
      </c>
      <c r="D46" s="49"/>
      <c r="E46" s="48">
        <f>SUM(E43:E45)</f>
        <v>1115490.96492644</v>
      </c>
      <c r="F46" s="50"/>
      <c r="G46" s="48">
        <f>SUM(G43:G45)</f>
        <v>570673.80000000005</v>
      </c>
      <c r="H46" s="50"/>
      <c r="I46" s="51"/>
      <c r="J46" s="50"/>
      <c r="K46" s="51"/>
      <c r="L46" s="52"/>
      <c r="M46" s="48"/>
      <c r="N46" s="50"/>
      <c r="O46" s="51"/>
      <c r="P46" s="49"/>
    </row>
  </sheetData>
  <mergeCells count="1">
    <mergeCell ref="B24:E24"/>
  </mergeCells>
  <phoneticPr fontId="0" type="noConversion"/>
  <pageMargins left="0.28000000000000003" right="0.25" top="1" bottom="1" header="0" footer="0"/>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S265"/>
  <sheetViews>
    <sheetView tabSelected="1" zoomScale="60" zoomScaleNormal="60" workbookViewId="0">
      <selection activeCell="B18" sqref="B18"/>
    </sheetView>
  </sheetViews>
  <sheetFormatPr baseColWidth="10" defaultColWidth="11.453125" defaultRowHeight="13" x14ac:dyDescent="0.3"/>
  <cols>
    <col min="1" max="1" width="11.453125" style="151"/>
    <col min="2" max="2" width="52.08984375" style="505" customWidth="1"/>
    <col min="3" max="3" width="27.90625" style="204" customWidth="1"/>
    <col min="4" max="4" width="15.36328125" style="214" customWidth="1"/>
    <col min="5" max="5" width="10.90625" style="151" customWidth="1"/>
    <col min="6" max="6" width="10.6328125" style="163" customWidth="1"/>
    <col min="7" max="7" width="10.6328125" style="151" customWidth="1"/>
    <col min="8" max="8" width="14.6328125" style="165" customWidth="1"/>
    <col min="9" max="9" width="3.36328125" style="157" customWidth="1"/>
    <col min="10" max="12" width="10.6328125" style="165" customWidth="1"/>
    <col min="13" max="13" width="12.90625" style="165" bestFit="1" customWidth="1"/>
    <col min="14" max="14" width="3" style="157" customWidth="1"/>
    <col min="15" max="15" width="20.36328125" style="223" customWidth="1"/>
    <col min="16" max="16" width="14.453125" style="214" customWidth="1"/>
    <col min="17" max="17" width="15.6328125" style="214" customWidth="1"/>
    <col min="18" max="18" width="82.36328125" style="206" customWidth="1"/>
    <col min="19" max="16384" width="11.453125" style="151"/>
  </cols>
  <sheetData>
    <row r="1" spans="1:18" s="60" customFormat="1" x14ac:dyDescent="0.3">
      <c r="B1" s="1047"/>
      <c r="C1" s="1035"/>
      <c r="D1" s="1049" t="s">
        <v>22</v>
      </c>
      <c r="E1" s="12"/>
      <c r="F1" s="1046"/>
      <c r="G1" s="12"/>
      <c r="H1" s="1036"/>
      <c r="I1" s="1006"/>
      <c r="J1" s="1036"/>
      <c r="K1" s="1036"/>
      <c r="L1" s="1036"/>
      <c r="M1" s="1036"/>
      <c r="N1" s="979"/>
      <c r="O1" s="1037"/>
      <c r="P1" s="450"/>
      <c r="Q1" s="1038"/>
      <c r="R1" s="1039"/>
    </row>
    <row r="2" spans="1:18" s="60" customFormat="1" x14ac:dyDescent="0.3">
      <c r="B2" s="502" t="s">
        <v>18</v>
      </c>
      <c r="C2" s="450" t="s">
        <v>70</v>
      </c>
      <c r="D2" s="1040"/>
      <c r="E2" s="1041"/>
      <c r="F2" s="1042"/>
      <c r="G2" s="1041"/>
      <c r="H2" s="1036"/>
      <c r="I2" s="1006"/>
      <c r="J2" s="1036"/>
      <c r="K2" s="1036"/>
      <c r="L2" s="1036"/>
      <c r="M2" s="1036"/>
      <c r="N2" s="979"/>
      <c r="O2" s="1037"/>
      <c r="P2" s="450"/>
      <c r="Q2" s="1038"/>
      <c r="R2" s="1039"/>
    </row>
    <row r="3" spans="1:18" s="60" customFormat="1" x14ac:dyDescent="0.3">
      <c r="B3" s="502" t="s">
        <v>19</v>
      </c>
      <c r="C3" s="1009" t="s">
        <v>302</v>
      </c>
      <c r="D3" s="1040"/>
      <c r="E3" s="1041"/>
      <c r="F3" s="1042"/>
      <c r="G3" s="1041"/>
      <c r="H3" s="1036"/>
      <c r="I3" s="1006"/>
      <c r="J3" s="1036"/>
      <c r="K3" s="1036"/>
      <c r="L3" s="1036"/>
      <c r="M3" s="1036"/>
      <c r="N3" s="979"/>
      <c r="O3" s="1037"/>
      <c r="P3" s="450"/>
      <c r="Q3" s="1038"/>
      <c r="R3" s="1039"/>
    </row>
    <row r="4" spans="1:18" s="60" customFormat="1" x14ac:dyDescent="0.3">
      <c r="B4" s="502" t="s">
        <v>16</v>
      </c>
      <c r="C4" s="146" t="s">
        <v>89</v>
      </c>
      <c r="D4" s="1043"/>
      <c r="E4" s="1044"/>
      <c r="F4" s="89"/>
      <c r="G4" s="1044"/>
      <c r="H4" s="89"/>
      <c r="I4" s="979"/>
      <c r="J4" s="89"/>
      <c r="K4" s="89"/>
      <c r="L4" s="89"/>
      <c r="M4" s="89"/>
      <c r="N4" s="979"/>
      <c r="O4" s="1045"/>
      <c r="P4" s="1043"/>
      <c r="Q4" s="1038"/>
      <c r="R4" s="1039"/>
    </row>
    <row r="5" spans="1:18" s="60" customFormat="1" x14ac:dyDescent="0.3">
      <c r="B5" s="502" t="s">
        <v>17</v>
      </c>
      <c r="C5" s="100">
        <f>O246</f>
        <v>2990653.9204919999</v>
      </c>
      <c r="D5" s="1043"/>
      <c r="E5" s="1044"/>
      <c r="F5" s="89"/>
      <c r="G5" s="1044"/>
      <c r="H5" s="89"/>
      <c r="I5" s="979"/>
      <c r="J5" s="89"/>
      <c r="K5" s="89"/>
      <c r="L5" s="89"/>
      <c r="M5" s="89"/>
      <c r="N5" s="979"/>
      <c r="O5" s="1045"/>
      <c r="P5" s="1043"/>
      <c r="Q5" s="1038"/>
      <c r="R5" s="1039"/>
    </row>
    <row r="6" spans="1:18" s="60" customFormat="1" x14ac:dyDescent="0.3">
      <c r="B6" s="502" t="s">
        <v>31</v>
      </c>
      <c r="C6" s="101">
        <f>O247</f>
        <v>209345.77443444001</v>
      </c>
      <c r="D6" s="1043"/>
      <c r="E6" s="1044"/>
      <c r="F6" s="89"/>
      <c r="G6" s="1044"/>
      <c r="H6" s="89"/>
      <c r="I6" s="979"/>
      <c r="J6" s="89"/>
      <c r="K6" s="89"/>
      <c r="L6" s="89"/>
      <c r="M6" s="89"/>
      <c r="N6" s="979"/>
      <c r="O6" s="1045"/>
      <c r="P6" s="1043"/>
      <c r="Q6" s="1038"/>
      <c r="R6" s="1039"/>
    </row>
    <row r="7" spans="1:18" s="60" customFormat="1" x14ac:dyDescent="0.3">
      <c r="B7" s="502" t="s">
        <v>32</v>
      </c>
      <c r="C7" s="101">
        <f>O248</f>
        <v>3199999.6949264403</v>
      </c>
      <c r="D7" s="1043"/>
      <c r="E7" s="1044"/>
      <c r="F7" s="89"/>
      <c r="G7" s="1044"/>
      <c r="H7" s="89"/>
      <c r="I7" s="979"/>
      <c r="J7" s="89"/>
      <c r="K7" s="89"/>
      <c r="L7" s="89"/>
      <c r="M7" s="89"/>
      <c r="N7" s="979"/>
      <c r="O7" s="1045"/>
      <c r="P7" s="1043"/>
      <c r="Q7" s="1038"/>
      <c r="R7" s="1039"/>
    </row>
    <row r="8" spans="1:18" ht="13.5" thickBot="1" x14ac:dyDescent="0.35">
      <c r="B8" s="501"/>
      <c r="C8" s="203"/>
      <c r="D8" s="487"/>
      <c r="E8" s="156"/>
      <c r="F8" s="162"/>
      <c r="G8" s="156"/>
      <c r="H8" s="164"/>
      <c r="I8" s="166"/>
      <c r="J8" s="164"/>
      <c r="K8" s="164"/>
      <c r="L8" s="164"/>
      <c r="M8" s="164"/>
      <c r="N8" s="166"/>
      <c r="O8" s="222"/>
      <c r="P8" s="213"/>
    </row>
    <row r="9" spans="1:18" s="172" customFormat="1" ht="35" customHeight="1" thickBot="1" x14ac:dyDescent="0.35">
      <c r="B9" s="980" t="s">
        <v>69</v>
      </c>
      <c r="C9" s="980" t="s">
        <v>37</v>
      </c>
      <c r="D9" s="980" t="s">
        <v>29</v>
      </c>
      <c r="E9" s="980" t="s">
        <v>4</v>
      </c>
      <c r="F9" s="981" t="s">
        <v>5</v>
      </c>
      <c r="G9" s="981" t="s">
        <v>239</v>
      </c>
      <c r="H9" s="982" t="s">
        <v>6</v>
      </c>
      <c r="I9" s="983"/>
      <c r="J9" s="984" t="s">
        <v>4</v>
      </c>
      <c r="K9" s="981" t="s">
        <v>5</v>
      </c>
      <c r="L9" s="981" t="s">
        <v>238</v>
      </c>
      <c r="M9" s="982" t="s">
        <v>7</v>
      </c>
      <c r="N9" s="983"/>
      <c r="O9" s="984" t="s">
        <v>8</v>
      </c>
      <c r="P9" s="985" t="s">
        <v>20</v>
      </c>
      <c r="Q9" s="985" t="s">
        <v>50</v>
      </c>
      <c r="R9" s="985" t="s">
        <v>35</v>
      </c>
    </row>
    <row r="10" spans="1:18" s="650" customFormat="1" ht="15" customHeight="1" thickBot="1" x14ac:dyDescent="0.3">
      <c r="B10" s="974" t="s">
        <v>40</v>
      </c>
      <c r="C10" s="975"/>
      <c r="D10" s="976"/>
      <c r="E10" s="977"/>
      <c r="F10" s="977"/>
      <c r="G10" s="977"/>
      <c r="H10" s="978"/>
      <c r="I10" s="884"/>
      <c r="J10" s="974"/>
      <c r="K10" s="977"/>
      <c r="L10" s="977"/>
      <c r="M10" s="978"/>
      <c r="N10" s="884"/>
      <c r="O10" s="974"/>
      <c r="P10" s="977"/>
      <c r="Q10" s="977"/>
      <c r="R10" s="978"/>
    </row>
    <row r="11" spans="1:18" s="652" customFormat="1" ht="15" customHeight="1" thickBot="1" x14ac:dyDescent="0.35">
      <c r="B11" s="964" t="s">
        <v>300</v>
      </c>
      <c r="C11" s="965"/>
      <c r="D11" s="966"/>
      <c r="E11" s="967"/>
      <c r="F11" s="967"/>
      <c r="G11" s="967"/>
      <c r="H11" s="968"/>
      <c r="I11" s="884"/>
      <c r="J11" s="971"/>
      <c r="K11" s="972"/>
      <c r="L11" s="972"/>
      <c r="M11" s="973"/>
      <c r="N11" s="884"/>
      <c r="O11" s="971"/>
      <c r="P11" s="972"/>
      <c r="Q11" s="972"/>
      <c r="R11" s="973"/>
    </row>
    <row r="12" spans="1:18" s="652" customFormat="1" ht="15" customHeight="1" x14ac:dyDescent="0.3">
      <c r="A12" s="654"/>
      <c r="B12" s="987" t="s">
        <v>199</v>
      </c>
      <c r="C12" s="988"/>
      <c r="D12" s="913"/>
      <c r="E12" s="989"/>
      <c r="F12" s="989"/>
      <c r="G12" s="989"/>
      <c r="H12" s="990"/>
      <c r="I12" s="200"/>
      <c r="J12" s="962"/>
      <c r="K12" s="962"/>
      <c r="L12" s="962"/>
      <c r="M12" s="962"/>
      <c r="N12" s="200"/>
      <c r="O12" s="969"/>
      <c r="P12" s="963"/>
      <c r="Q12" s="963"/>
      <c r="R12" s="970"/>
    </row>
    <row r="13" spans="1:18" s="230" customFormat="1" ht="15" customHeight="1" x14ac:dyDescent="0.25">
      <c r="A13" s="655"/>
      <c r="B13" s="986" t="s">
        <v>200</v>
      </c>
      <c r="C13" s="916" t="s">
        <v>11</v>
      </c>
      <c r="D13" s="690" t="s">
        <v>70</v>
      </c>
      <c r="E13" s="842">
        <v>1</v>
      </c>
      <c r="F13" s="842">
        <v>19000</v>
      </c>
      <c r="G13" s="842">
        <v>1</v>
      </c>
      <c r="H13" s="708">
        <v>19000</v>
      </c>
      <c r="I13" s="197"/>
      <c r="J13" s="195">
        <v>0</v>
      </c>
      <c r="K13" s="195">
        <v>0</v>
      </c>
      <c r="L13" s="195">
        <v>0</v>
      </c>
      <c r="M13" s="198">
        <f t="shared" ref="M13:M14" si="0">J13*K13*L13</f>
        <v>0</v>
      </c>
      <c r="N13" s="197"/>
      <c r="O13" s="221">
        <f t="shared" ref="O13:O14" si="1">H13+M13</f>
        <v>19000</v>
      </c>
      <c r="P13" s="211">
        <v>0.3</v>
      </c>
      <c r="Q13" s="212">
        <f>P13*O13</f>
        <v>5700</v>
      </c>
      <c r="R13" s="657" t="s">
        <v>165</v>
      </c>
    </row>
    <row r="14" spans="1:18" s="230" customFormat="1" ht="15" customHeight="1" x14ac:dyDescent="0.25">
      <c r="A14" s="655"/>
      <c r="B14" s="961" t="s">
        <v>201</v>
      </c>
      <c r="C14" s="656" t="s">
        <v>11</v>
      </c>
      <c r="D14" s="529" t="s">
        <v>70</v>
      </c>
      <c r="E14" s="545">
        <v>1</v>
      </c>
      <c r="F14" s="545">
        <v>25000</v>
      </c>
      <c r="G14" s="545">
        <v>1</v>
      </c>
      <c r="H14" s="198">
        <f t="shared" ref="H14" si="2">E14*F14*G14</f>
        <v>25000</v>
      </c>
      <c r="I14" s="197"/>
      <c r="J14" s="195">
        <v>0</v>
      </c>
      <c r="K14" s="195">
        <v>0</v>
      </c>
      <c r="L14" s="195">
        <v>0</v>
      </c>
      <c r="M14" s="198">
        <f t="shared" si="0"/>
        <v>0</v>
      </c>
      <c r="N14" s="197"/>
      <c r="O14" s="221">
        <f t="shared" si="1"/>
        <v>25000</v>
      </c>
      <c r="P14" s="211">
        <v>0.3</v>
      </c>
      <c r="Q14" s="212">
        <f>P14*O14</f>
        <v>7500</v>
      </c>
      <c r="R14" s="657" t="s">
        <v>202</v>
      </c>
    </row>
    <row r="15" spans="1:18" s="543" customFormat="1" ht="15" customHeight="1" x14ac:dyDescent="0.3">
      <c r="B15" s="131" t="s">
        <v>229</v>
      </c>
      <c r="C15" s="658"/>
      <c r="D15" s="510"/>
      <c r="E15" s="544"/>
      <c r="F15" s="198"/>
      <c r="G15" s="544"/>
      <c r="H15" s="659"/>
      <c r="I15" s="583"/>
      <c r="J15" s="660"/>
      <c r="K15" s="659"/>
      <c r="L15" s="660"/>
      <c r="M15" s="659"/>
      <c r="N15" s="583"/>
      <c r="O15" s="661"/>
      <c r="P15" s="662"/>
      <c r="Q15" s="663"/>
      <c r="R15" s="663"/>
    </row>
    <row r="16" spans="1:18" s="543" customFormat="1" ht="15" customHeight="1" x14ac:dyDescent="0.3">
      <c r="B16" s="544" t="s">
        <v>226</v>
      </c>
      <c r="C16" s="656" t="s">
        <v>11</v>
      </c>
      <c r="D16" s="510" t="s">
        <v>108</v>
      </c>
      <c r="E16" s="544">
        <v>1</v>
      </c>
      <c r="F16" s="198">
        <v>3500</v>
      </c>
      <c r="G16" s="544">
        <v>1</v>
      </c>
      <c r="H16" s="659">
        <f>E16*F16*G16</f>
        <v>3500</v>
      </c>
      <c r="I16" s="583"/>
      <c r="J16" s="660"/>
      <c r="K16" s="659"/>
      <c r="L16" s="660"/>
      <c r="M16" s="659">
        <f>J16*K16*L16</f>
        <v>0</v>
      </c>
      <c r="N16" s="583"/>
      <c r="O16" s="661">
        <f>H16+M16</f>
        <v>3500</v>
      </c>
      <c r="P16" s="662">
        <v>0.3</v>
      </c>
      <c r="Q16" s="663">
        <f>O16*P16</f>
        <v>1050</v>
      </c>
      <c r="R16" s="663" t="s">
        <v>170</v>
      </c>
    </row>
    <row r="17" spans="1:18" s="543" customFormat="1" ht="15" customHeight="1" x14ac:dyDescent="0.3">
      <c r="B17" s="544" t="s">
        <v>227</v>
      </c>
      <c r="C17" s="656" t="s">
        <v>11</v>
      </c>
      <c r="D17" s="510" t="s">
        <v>108</v>
      </c>
      <c r="E17" s="544">
        <v>1</v>
      </c>
      <c r="F17" s="198">
        <v>6500</v>
      </c>
      <c r="G17" s="544">
        <v>1</v>
      </c>
      <c r="H17" s="659">
        <f>E17*F17*G17</f>
        <v>6500</v>
      </c>
      <c r="I17" s="583"/>
      <c r="J17" s="660"/>
      <c r="K17" s="659"/>
      <c r="L17" s="660"/>
      <c r="M17" s="659">
        <f>J17*K17*L17</f>
        <v>0</v>
      </c>
      <c r="N17" s="583"/>
      <c r="O17" s="661">
        <f>H17+M17</f>
        <v>6500</v>
      </c>
      <c r="P17" s="662">
        <v>0.3</v>
      </c>
      <c r="Q17" s="663">
        <f>O17*P17</f>
        <v>1950</v>
      </c>
      <c r="R17" s="663" t="s">
        <v>171</v>
      </c>
    </row>
    <row r="18" spans="1:18" s="543" customFormat="1" ht="15" customHeight="1" x14ac:dyDescent="0.3">
      <c r="B18" s="131" t="s">
        <v>228</v>
      </c>
      <c r="C18" s="658"/>
      <c r="D18" s="510"/>
      <c r="E18" s="544"/>
      <c r="F18" s="198"/>
      <c r="G18" s="544"/>
      <c r="H18" s="659"/>
      <c r="I18" s="583"/>
      <c r="J18" s="660"/>
      <c r="K18" s="659"/>
      <c r="L18" s="660"/>
      <c r="M18" s="659"/>
      <c r="N18" s="583"/>
      <c r="O18" s="661"/>
      <c r="P18" s="662"/>
      <c r="Q18" s="663"/>
      <c r="R18" s="663"/>
    </row>
    <row r="19" spans="1:18" s="543" customFormat="1" ht="15" customHeight="1" x14ac:dyDescent="0.3">
      <c r="B19" s="546" t="s">
        <v>332</v>
      </c>
      <c r="C19" s="664" t="s">
        <v>9</v>
      </c>
      <c r="D19" s="510" t="s">
        <v>108</v>
      </c>
      <c r="E19" s="512">
        <v>1</v>
      </c>
      <c r="F19" s="511">
        <f>3877*20%</f>
        <v>775.40000000000009</v>
      </c>
      <c r="G19" s="512">
        <v>12</v>
      </c>
      <c r="H19" s="659">
        <f t="shared" ref="H19:H23" si="3">E19*F19*G19</f>
        <v>9304.8000000000011</v>
      </c>
      <c r="I19" s="583"/>
      <c r="J19" s="512">
        <v>1</v>
      </c>
      <c r="K19" s="520">
        <f>F19*1.03</f>
        <v>798.66200000000015</v>
      </c>
      <c r="L19" s="512">
        <v>6</v>
      </c>
      <c r="M19" s="659">
        <f t="shared" ref="M19:M25" si="4">J19*K19*L19</f>
        <v>4791.9720000000007</v>
      </c>
      <c r="N19" s="583"/>
      <c r="O19" s="661">
        <f t="shared" ref="O19:O23" si="5">H19+M19</f>
        <v>14096.772000000001</v>
      </c>
      <c r="P19" s="662"/>
      <c r="Q19" s="663">
        <f>O19*P19</f>
        <v>0</v>
      </c>
      <c r="R19" s="663"/>
    </row>
    <row r="20" spans="1:18" s="543" customFormat="1" ht="15" customHeight="1" x14ac:dyDescent="0.3">
      <c r="B20" s="546" t="s">
        <v>333</v>
      </c>
      <c r="C20" s="664" t="s">
        <v>9</v>
      </c>
      <c r="D20" s="510" t="s">
        <v>108</v>
      </c>
      <c r="E20" s="512">
        <v>1</v>
      </c>
      <c r="F20" s="511">
        <f>4054*15%</f>
        <v>608.1</v>
      </c>
      <c r="G20" s="512">
        <v>12</v>
      </c>
      <c r="H20" s="659">
        <f t="shared" si="3"/>
        <v>7297.2000000000007</v>
      </c>
      <c r="I20" s="583"/>
      <c r="J20" s="512">
        <v>1</v>
      </c>
      <c r="K20" s="520">
        <f>F20*1.03</f>
        <v>626.34300000000007</v>
      </c>
      <c r="L20" s="512">
        <v>6</v>
      </c>
      <c r="M20" s="659">
        <f t="shared" si="4"/>
        <v>3758.0580000000004</v>
      </c>
      <c r="N20" s="583"/>
      <c r="O20" s="661">
        <f t="shared" si="5"/>
        <v>11055.258000000002</v>
      </c>
      <c r="P20" s="662">
        <v>1</v>
      </c>
      <c r="Q20" s="663">
        <f>O20*P20</f>
        <v>11055.258000000002</v>
      </c>
      <c r="R20" s="663"/>
    </row>
    <row r="21" spans="1:18" s="543" customFormat="1" ht="15" customHeight="1" x14ac:dyDescent="0.3">
      <c r="B21" s="544" t="s">
        <v>241</v>
      </c>
      <c r="C21" s="666" t="s">
        <v>11</v>
      </c>
      <c r="D21" s="510" t="s">
        <v>108</v>
      </c>
      <c r="E21" s="544">
        <v>1</v>
      </c>
      <c r="F21" s="198">
        <v>20000</v>
      </c>
      <c r="G21" s="544">
        <v>1</v>
      </c>
      <c r="H21" s="659">
        <f t="shared" si="3"/>
        <v>20000</v>
      </c>
      <c r="I21" s="583"/>
      <c r="J21" s="660"/>
      <c r="K21" s="660"/>
      <c r="L21" s="660"/>
      <c r="M21" s="659">
        <f t="shared" si="4"/>
        <v>0</v>
      </c>
      <c r="N21" s="583"/>
      <c r="O21" s="661">
        <f t="shared" si="5"/>
        <v>20000</v>
      </c>
      <c r="P21" s="662">
        <v>0.3</v>
      </c>
      <c r="Q21" s="663">
        <f>O21*P21</f>
        <v>6000</v>
      </c>
      <c r="R21" s="663" t="s">
        <v>112</v>
      </c>
    </row>
    <row r="22" spans="1:18" s="543" customFormat="1" ht="15" customHeight="1" x14ac:dyDescent="0.3">
      <c r="B22" s="544" t="s">
        <v>242</v>
      </c>
      <c r="C22" s="656" t="s">
        <v>11</v>
      </c>
      <c r="D22" s="510" t="s">
        <v>108</v>
      </c>
      <c r="E22" s="544">
        <v>1</v>
      </c>
      <c r="F22" s="198">
        <v>2490</v>
      </c>
      <c r="G22" s="544">
        <v>1</v>
      </c>
      <c r="H22" s="659">
        <f t="shared" si="3"/>
        <v>2490</v>
      </c>
      <c r="I22" s="583"/>
      <c r="J22" s="660"/>
      <c r="K22" s="659"/>
      <c r="L22" s="660"/>
      <c r="M22" s="659">
        <f t="shared" si="4"/>
        <v>0</v>
      </c>
      <c r="N22" s="583"/>
      <c r="O22" s="661">
        <f t="shared" si="5"/>
        <v>2490</v>
      </c>
      <c r="P22" s="662">
        <v>0.3</v>
      </c>
      <c r="Q22" s="663">
        <f>O22*P22</f>
        <v>747</v>
      </c>
      <c r="R22" s="663" t="s">
        <v>113</v>
      </c>
    </row>
    <row r="23" spans="1:18" s="543" customFormat="1" ht="15" customHeight="1" x14ac:dyDescent="0.3">
      <c r="B23" s="544" t="s">
        <v>243</v>
      </c>
      <c r="C23" s="656" t="s">
        <v>11</v>
      </c>
      <c r="D23" s="510" t="s">
        <v>108</v>
      </c>
      <c r="E23" s="544">
        <v>1</v>
      </c>
      <c r="F23" s="198">
        <f>8580/2</f>
        <v>4290</v>
      </c>
      <c r="G23" s="544">
        <v>1</v>
      </c>
      <c r="H23" s="659">
        <f t="shared" si="3"/>
        <v>4290</v>
      </c>
      <c r="I23" s="583"/>
      <c r="J23" s="660"/>
      <c r="K23" s="659"/>
      <c r="L23" s="660"/>
      <c r="M23" s="659">
        <f t="shared" si="4"/>
        <v>0</v>
      </c>
      <c r="N23" s="583"/>
      <c r="O23" s="661">
        <f t="shared" si="5"/>
        <v>4290</v>
      </c>
      <c r="P23" s="662">
        <v>1</v>
      </c>
      <c r="Q23" s="663">
        <f>O23*P23</f>
        <v>4290</v>
      </c>
      <c r="R23" s="663" t="s">
        <v>128</v>
      </c>
    </row>
    <row r="24" spans="1:18" s="652" customFormat="1" ht="15" customHeight="1" x14ac:dyDescent="0.3">
      <c r="B24" s="667" t="s">
        <v>105</v>
      </c>
      <c r="C24" s="664" t="s">
        <v>9</v>
      </c>
      <c r="D24" s="529" t="s">
        <v>70</v>
      </c>
      <c r="E24" s="196">
        <v>1</v>
      </c>
      <c r="F24" s="196">
        <v>2500</v>
      </c>
      <c r="G24" s="196">
        <v>2</v>
      </c>
      <c r="H24" s="196">
        <f>E24*F24*G24</f>
        <v>5000</v>
      </c>
      <c r="I24" s="251"/>
      <c r="J24" s="196">
        <v>0</v>
      </c>
      <c r="K24" s="196">
        <v>0</v>
      </c>
      <c r="L24" s="196">
        <v>0</v>
      </c>
      <c r="M24" s="196">
        <f t="shared" si="4"/>
        <v>0</v>
      </c>
      <c r="N24" s="252"/>
      <c r="O24" s="221">
        <f>H24+M24</f>
        <v>5000</v>
      </c>
      <c r="P24" s="211">
        <v>1</v>
      </c>
      <c r="Q24" s="212">
        <f>P24*O24</f>
        <v>5000</v>
      </c>
      <c r="R24" s="740" t="s">
        <v>233</v>
      </c>
    </row>
    <row r="25" spans="1:18" s="543" customFormat="1" ht="15" customHeight="1" x14ac:dyDescent="0.3">
      <c r="B25" s="685" t="s">
        <v>360</v>
      </c>
      <c r="C25" s="666" t="s">
        <v>11</v>
      </c>
      <c r="D25" s="529" t="s">
        <v>70</v>
      </c>
      <c r="E25" s="196">
        <v>20</v>
      </c>
      <c r="F25" s="196">
        <v>201.45</v>
      </c>
      <c r="G25" s="196">
        <v>1</v>
      </c>
      <c r="H25" s="196">
        <f>E25*F25*G25</f>
        <v>4029</v>
      </c>
      <c r="I25" s="251"/>
      <c r="J25" s="196"/>
      <c r="K25" s="196"/>
      <c r="L25" s="196"/>
      <c r="M25" s="196">
        <f t="shared" si="4"/>
        <v>0</v>
      </c>
      <c r="N25" s="252"/>
      <c r="O25" s="221">
        <f>H25+M25</f>
        <v>4029</v>
      </c>
      <c r="P25" s="211">
        <v>0.5</v>
      </c>
      <c r="Q25" s="229">
        <f>P25*O25</f>
        <v>2014.5</v>
      </c>
      <c r="R25" s="531" t="s">
        <v>359</v>
      </c>
    </row>
    <row r="26" spans="1:18" s="652" customFormat="1" ht="15" customHeight="1" thickBot="1" x14ac:dyDescent="0.35">
      <c r="A26" s="654"/>
      <c r="B26" s="668" t="s">
        <v>203</v>
      </c>
      <c r="C26" s="669"/>
      <c r="D26" s="488"/>
      <c r="E26" s="456"/>
      <c r="F26" s="456"/>
      <c r="G26" s="456"/>
      <c r="H26" s="455">
        <f>SUM(H13:H25)</f>
        <v>106411</v>
      </c>
      <c r="I26" s="632"/>
      <c r="J26" s="538"/>
      <c r="K26" s="538"/>
      <c r="L26" s="538"/>
      <c r="M26" s="538">
        <f>SUM(M13:M25)</f>
        <v>8550.0300000000007</v>
      </c>
      <c r="N26" s="632"/>
      <c r="O26" s="539">
        <f>H26+M26</f>
        <v>114961.03</v>
      </c>
      <c r="P26" s="539"/>
      <c r="Q26" s="539">
        <f>SUM(Q13:Q25)</f>
        <v>45306.758000000002</v>
      </c>
      <c r="R26" s="262"/>
    </row>
    <row r="27" spans="1:18" s="652" customFormat="1" ht="15" customHeight="1" x14ac:dyDescent="0.3">
      <c r="B27" s="1052" t="s">
        <v>370</v>
      </c>
      <c r="C27" s="957"/>
      <c r="D27" s="958"/>
      <c r="E27" s="954"/>
      <c r="F27" s="954"/>
      <c r="G27" s="954"/>
      <c r="H27" s="955"/>
      <c r="I27" s="200"/>
      <c r="J27" s="953"/>
      <c r="K27" s="954"/>
      <c r="L27" s="954"/>
      <c r="M27" s="955"/>
      <c r="N27" s="200"/>
      <c r="O27" s="953"/>
      <c r="P27" s="954"/>
      <c r="Q27" s="954"/>
      <c r="R27" s="956"/>
    </row>
    <row r="28" spans="1:18" s="683" customFormat="1" ht="15" customHeight="1" x14ac:dyDescent="0.3">
      <c r="A28" s="673"/>
      <c r="B28" s="674" t="s">
        <v>250</v>
      </c>
      <c r="C28" s="664" t="s">
        <v>9</v>
      </c>
      <c r="D28" s="675" t="s">
        <v>70</v>
      </c>
      <c r="E28" s="676">
        <v>0.25</v>
      </c>
      <c r="F28" s="677">
        <v>14400</v>
      </c>
      <c r="G28" s="678">
        <v>12</v>
      </c>
      <c r="H28" s="677">
        <f>E28*F28*G28</f>
        <v>43200</v>
      </c>
      <c r="I28" s="679"/>
      <c r="J28" s="676">
        <v>0.25</v>
      </c>
      <c r="K28" s="677">
        <v>14500</v>
      </c>
      <c r="L28" s="678">
        <v>6</v>
      </c>
      <c r="M28" s="677">
        <f>J28*K28*L28</f>
        <v>21750</v>
      </c>
      <c r="N28" s="680"/>
      <c r="O28" s="681">
        <f>H28+M28</f>
        <v>64950</v>
      </c>
      <c r="P28" s="514"/>
      <c r="Q28" s="681"/>
      <c r="R28" s="682"/>
    </row>
    <row r="29" spans="1:18" s="686" customFormat="1" ht="15" customHeight="1" x14ac:dyDescent="0.3">
      <c r="A29" s="684"/>
      <c r="B29" s="198" t="s">
        <v>253</v>
      </c>
      <c r="C29" s="664" t="s">
        <v>9</v>
      </c>
      <c r="D29" s="229" t="s">
        <v>70</v>
      </c>
      <c r="E29" s="314">
        <v>0.5</v>
      </c>
      <c r="F29" s="196">
        <v>2200</v>
      </c>
      <c r="G29" s="196">
        <v>12</v>
      </c>
      <c r="H29" s="196">
        <f t="shared" ref="H29:H30" si="6">E29*F29*G29</f>
        <v>13200</v>
      </c>
      <c r="I29" s="251"/>
      <c r="J29" s="314">
        <v>0.5</v>
      </c>
      <c r="K29" s="196">
        <v>2200</v>
      </c>
      <c r="L29" s="196">
        <v>6</v>
      </c>
      <c r="M29" s="196">
        <f t="shared" ref="M29:M30" si="7">J29*K29*L29</f>
        <v>6600</v>
      </c>
      <c r="N29" s="252"/>
      <c r="O29" s="221">
        <f t="shared" ref="O29:O30" si="8">H29+M29</f>
        <v>19800</v>
      </c>
      <c r="P29" s="211"/>
      <c r="Q29" s="211"/>
      <c r="R29" s="685" t="s">
        <v>257</v>
      </c>
    </row>
    <row r="30" spans="1:18" s="686" customFormat="1" ht="15" customHeight="1" x14ac:dyDescent="0.3">
      <c r="A30" s="684"/>
      <c r="B30" s="198" t="s">
        <v>261</v>
      </c>
      <c r="C30" s="664" t="s">
        <v>9</v>
      </c>
      <c r="D30" s="229" t="s">
        <v>70</v>
      </c>
      <c r="E30" s="314">
        <v>0.5</v>
      </c>
      <c r="F30" s="196">
        <v>1900</v>
      </c>
      <c r="G30" s="196">
        <v>10</v>
      </c>
      <c r="H30" s="196">
        <f t="shared" si="6"/>
        <v>9500</v>
      </c>
      <c r="I30" s="251"/>
      <c r="J30" s="314">
        <v>0.5</v>
      </c>
      <c r="K30" s="196">
        <v>2000</v>
      </c>
      <c r="L30" s="196">
        <v>6</v>
      </c>
      <c r="M30" s="196">
        <f t="shared" si="7"/>
        <v>6000</v>
      </c>
      <c r="N30" s="252"/>
      <c r="O30" s="221">
        <f t="shared" si="8"/>
        <v>15500</v>
      </c>
      <c r="P30" s="211"/>
      <c r="Q30" s="211"/>
      <c r="R30" s="685" t="s">
        <v>249</v>
      </c>
    </row>
    <row r="31" spans="1:18" s="652" customFormat="1" ht="15" customHeight="1" x14ac:dyDescent="0.3">
      <c r="B31" s="959" t="s">
        <v>368</v>
      </c>
      <c r="C31" s="951"/>
      <c r="D31" s="952"/>
      <c r="E31" s="722"/>
      <c r="F31" s="722"/>
      <c r="G31" s="722"/>
      <c r="H31" s="722"/>
      <c r="I31" s="251"/>
      <c r="J31" s="255"/>
      <c r="K31" s="255"/>
      <c r="L31" s="255"/>
      <c r="M31" s="255"/>
      <c r="N31" s="252"/>
      <c r="O31" s="572"/>
      <c r="P31" s="257"/>
      <c r="Q31" s="257"/>
      <c r="R31" s="258"/>
    </row>
    <row r="32" spans="1:18" s="543" customFormat="1" ht="15" customHeight="1" x14ac:dyDescent="0.3">
      <c r="B32" s="544" t="s">
        <v>204</v>
      </c>
      <c r="C32" s="666" t="s">
        <v>11</v>
      </c>
      <c r="D32" s="529" t="s">
        <v>70</v>
      </c>
      <c r="E32" s="196">
        <v>5</v>
      </c>
      <c r="F32" s="196">
        <v>3400</v>
      </c>
      <c r="G32" s="196">
        <v>1</v>
      </c>
      <c r="H32" s="196">
        <f t="shared" ref="H32:H33" si="9">E32*F32*G32</f>
        <v>17000</v>
      </c>
      <c r="I32" s="251"/>
      <c r="J32" s="196">
        <v>0</v>
      </c>
      <c r="K32" s="196">
        <v>0</v>
      </c>
      <c r="L32" s="196">
        <v>0</v>
      </c>
      <c r="M32" s="196">
        <f t="shared" ref="M32:M33" si="10">J32*K32*L32</f>
        <v>0</v>
      </c>
      <c r="N32" s="252"/>
      <c r="O32" s="221">
        <f t="shared" ref="O32:O33" si="11">H32+M32</f>
        <v>17000</v>
      </c>
      <c r="P32" s="211">
        <v>0.3</v>
      </c>
      <c r="Q32" s="229">
        <f t="shared" ref="Q32:Q37" si="12">P32*O32</f>
        <v>5100</v>
      </c>
      <c r="R32" s="531" t="s">
        <v>234</v>
      </c>
    </row>
    <row r="33" spans="1:19" s="543" customFormat="1" ht="15" customHeight="1" x14ac:dyDescent="0.3">
      <c r="B33" s="531" t="s">
        <v>205</v>
      </c>
      <c r="C33" s="666" t="s">
        <v>11</v>
      </c>
      <c r="D33" s="529" t="s">
        <v>70</v>
      </c>
      <c r="E33" s="196">
        <v>5</v>
      </c>
      <c r="F33" s="196">
        <v>3400</v>
      </c>
      <c r="G33" s="196">
        <v>1</v>
      </c>
      <c r="H33" s="196">
        <f t="shared" si="9"/>
        <v>17000</v>
      </c>
      <c r="I33" s="251"/>
      <c r="J33" s="196">
        <v>0</v>
      </c>
      <c r="K33" s="196">
        <v>0</v>
      </c>
      <c r="L33" s="196">
        <v>0</v>
      </c>
      <c r="M33" s="196">
        <f t="shared" si="10"/>
        <v>0</v>
      </c>
      <c r="N33" s="252"/>
      <c r="O33" s="221">
        <f t="shared" si="11"/>
        <v>17000</v>
      </c>
      <c r="P33" s="211">
        <v>0.3</v>
      </c>
      <c r="Q33" s="229">
        <f t="shared" si="12"/>
        <v>5100</v>
      </c>
      <c r="R33" s="531" t="s">
        <v>234</v>
      </c>
    </row>
    <row r="34" spans="1:19" s="543" customFormat="1" ht="15" customHeight="1" x14ac:dyDescent="0.3">
      <c r="B34" s="685" t="s">
        <v>206</v>
      </c>
      <c r="C34" s="666" t="s">
        <v>11</v>
      </c>
      <c r="D34" s="229" t="s">
        <v>70</v>
      </c>
      <c r="E34" s="196">
        <v>1</v>
      </c>
      <c r="F34" s="196">
        <v>6000</v>
      </c>
      <c r="G34" s="196">
        <v>1</v>
      </c>
      <c r="H34" s="196">
        <f>E34*F34*G34</f>
        <v>6000</v>
      </c>
      <c r="I34" s="251"/>
      <c r="J34" s="196">
        <v>0</v>
      </c>
      <c r="K34" s="196">
        <v>0</v>
      </c>
      <c r="L34" s="196">
        <v>0</v>
      </c>
      <c r="M34" s="196">
        <f>J34*K34*L34</f>
        <v>0</v>
      </c>
      <c r="N34" s="252"/>
      <c r="O34" s="88">
        <f>H34+M34</f>
        <v>6000</v>
      </c>
      <c r="P34" s="211">
        <v>0.3</v>
      </c>
      <c r="Q34" s="229">
        <f t="shared" si="12"/>
        <v>1800</v>
      </c>
      <c r="R34" s="531" t="s">
        <v>181</v>
      </c>
    </row>
    <row r="35" spans="1:19" s="543" customFormat="1" ht="15" customHeight="1" x14ac:dyDescent="0.3">
      <c r="B35" s="131" t="s">
        <v>207</v>
      </c>
      <c r="C35" s="691" t="s">
        <v>12</v>
      </c>
      <c r="D35" s="529" t="s">
        <v>70</v>
      </c>
      <c r="E35" s="196">
        <v>5</v>
      </c>
      <c r="F35" s="196">
        <v>840</v>
      </c>
      <c r="G35" s="196">
        <v>1</v>
      </c>
      <c r="H35" s="196">
        <f t="shared" ref="H35" si="13">E35*F35*G35</f>
        <v>4200</v>
      </c>
      <c r="I35" s="251"/>
      <c r="J35" s="196">
        <v>0</v>
      </c>
      <c r="K35" s="196">
        <v>0</v>
      </c>
      <c r="L35" s="196">
        <v>0</v>
      </c>
      <c r="M35" s="196">
        <f t="shared" ref="M35" si="14">J35*K35*L35</f>
        <v>0</v>
      </c>
      <c r="N35" s="252"/>
      <c r="O35" s="221">
        <f t="shared" ref="O35" si="15">H35+M35</f>
        <v>4200</v>
      </c>
      <c r="P35" s="211">
        <v>0.3</v>
      </c>
      <c r="Q35" s="229">
        <f t="shared" si="12"/>
        <v>1260</v>
      </c>
      <c r="R35" s="531" t="s">
        <v>163</v>
      </c>
    </row>
    <row r="36" spans="1:19" s="543" customFormat="1" ht="15" customHeight="1" x14ac:dyDescent="0.3">
      <c r="B36" s="531" t="s">
        <v>362</v>
      </c>
      <c r="C36" s="691" t="s">
        <v>13</v>
      </c>
      <c r="D36" s="529" t="s">
        <v>70</v>
      </c>
      <c r="E36" s="196">
        <v>5</v>
      </c>
      <c r="F36" s="196">
        <v>50000</v>
      </c>
      <c r="G36" s="196">
        <v>1</v>
      </c>
      <c r="H36" s="196">
        <f t="shared" ref="H36:H37" si="16">E36*F36*G36</f>
        <v>250000</v>
      </c>
      <c r="I36" s="251"/>
      <c r="J36" s="196">
        <v>0</v>
      </c>
      <c r="K36" s="196">
        <v>0</v>
      </c>
      <c r="L36" s="196">
        <v>0</v>
      </c>
      <c r="M36" s="196">
        <f t="shared" ref="M36:M37" si="17">J36*K36*L36</f>
        <v>0</v>
      </c>
      <c r="N36" s="252"/>
      <c r="O36" s="221">
        <f t="shared" ref="O36:O37" si="18">H36+M36</f>
        <v>250000</v>
      </c>
      <c r="P36" s="211">
        <v>0.3</v>
      </c>
      <c r="Q36" s="229">
        <f t="shared" si="12"/>
        <v>75000</v>
      </c>
      <c r="R36" s="531" t="s">
        <v>361</v>
      </c>
    </row>
    <row r="37" spans="1:19" s="543" customFormat="1" ht="15" customHeight="1" x14ac:dyDescent="0.3">
      <c r="B37" s="531" t="s">
        <v>363</v>
      </c>
      <c r="C37" s="666" t="s">
        <v>11</v>
      </c>
      <c r="D37" s="529" t="s">
        <v>70</v>
      </c>
      <c r="E37" s="530">
        <v>5</v>
      </c>
      <c r="F37" s="530">
        <v>2200</v>
      </c>
      <c r="G37" s="530">
        <v>1</v>
      </c>
      <c r="H37" s="196">
        <f t="shared" si="16"/>
        <v>11000</v>
      </c>
      <c r="I37" s="251"/>
      <c r="J37" s="196">
        <v>0</v>
      </c>
      <c r="K37" s="196">
        <v>0</v>
      </c>
      <c r="L37" s="196">
        <v>0</v>
      </c>
      <c r="M37" s="196">
        <f t="shared" si="17"/>
        <v>0</v>
      </c>
      <c r="N37" s="252"/>
      <c r="O37" s="221">
        <f t="shared" si="18"/>
        <v>11000</v>
      </c>
      <c r="P37" s="211">
        <v>0.3</v>
      </c>
      <c r="Q37" s="229">
        <f t="shared" si="12"/>
        <v>3300</v>
      </c>
      <c r="R37" s="531" t="s">
        <v>166</v>
      </c>
      <c r="S37" s="692"/>
    </row>
    <row r="38" spans="1:19" s="652" customFormat="1" ht="15" customHeight="1" x14ac:dyDescent="0.3">
      <c r="B38" s="542" t="s">
        <v>369</v>
      </c>
      <c r="C38" s="951"/>
      <c r="D38" s="952"/>
      <c r="E38" s="722"/>
      <c r="F38" s="722"/>
      <c r="G38" s="722"/>
      <c r="H38" s="723"/>
      <c r="I38" s="251"/>
      <c r="J38" s="255"/>
      <c r="K38" s="255"/>
      <c r="L38" s="255"/>
      <c r="M38" s="482"/>
      <c r="N38" s="252"/>
      <c r="O38" s="693"/>
      <c r="P38" s="257"/>
      <c r="Q38" s="257"/>
      <c r="R38" s="542"/>
      <c r="S38" s="654"/>
    </row>
    <row r="39" spans="1:19" s="652" customFormat="1" ht="15" customHeight="1" x14ac:dyDescent="0.3">
      <c r="B39" s="404" t="s">
        <v>364</v>
      </c>
      <c r="C39" s="658"/>
      <c r="D39" s="694"/>
      <c r="E39" s="687"/>
      <c r="F39" s="695"/>
      <c r="G39" s="687"/>
      <c r="H39" s="696"/>
      <c r="I39" s="787"/>
      <c r="J39" s="687"/>
      <c r="K39" s="696"/>
      <c r="L39" s="687"/>
      <c r="M39" s="696"/>
      <c r="N39" s="787"/>
      <c r="O39" s="696"/>
      <c r="P39" s="662"/>
      <c r="Q39" s="229">
        <f>P39*O39</f>
        <v>0</v>
      </c>
      <c r="R39" s="687"/>
      <c r="S39" s="697"/>
    </row>
    <row r="40" spans="1:19" s="700" customFormat="1" ht="15" customHeight="1" x14ac:dyDescent="0.3">
      <c r="A40" s="438"/>
      <c r="B40" s="544" t="s">
        <v>264</v>
      </c>
      <c r="C40" s="698" t="s">
        <v>13</v>
      </c>
      <c r="D40" s="510" t="s">
        <v>108</v>
      </c>
      <c r="E40" s="544">
        <v>1</v>
      </c>
      <c r="F40" s="198">
        <v>4940</v>
      </c>
      <c r="G40" s="544">
        <v>1</v>
      </c>
      <c r="H40" s="659">
        <f>E40*F40*G40</f>
        <v>4940</v>
      </c>
      <c r="I40" s="583"/>
      <c r="J40" s="660"/>
      <c r="K40" s="659"/>
      <c r="L40" s="660"/>
      <c r="M40" s="659">
        <f>J40*K40*L40</f>
        <v>0</v>
      </c>
      <c r="N40" s="583"/>
      <c r="O40" s="661">
        <f>H40+M40</f>
        <v>4940</v>
      </c>
      <c r="P40" s="662">
        <v>0.5</v>
      </c>
      <c r="Q40" s="229">
        <f t="shared" ref="Q40:Q52" si="19">P40*O40</f>
        <v>2470</v>
      </c>
      <c r="R40" s="663" t="s">
        <v>123</v>
      </c>
      <c r="S40" s="699"/>
    </row>
    <row r="41" spans="1:19" s="652" customFormat="1" ht="15" customHeight="1" x14ac:dyDescent="0.3">
      <c r="A41" s="438"/>
      <c r="B41" s="404" t="s">
        <v>365</v>
      </c>
      <c r="C41" s="658"/>
      <c r="D41" s="701" t="s">
        <v>108</v>
      </c>
      <c r="E41" s="687"/>
      <c r="F41" s="695"/>
      <c r="G41" s="687"/>
      <c r="H41" s="696"/>
      <c r="I41" s="787"/>
      <c r="J41" s="687"/>
      <c r="K41" s="696"/>
      <c r="L41" s="687"/>
      <c r="M41" s="696"/>
      <c r="N41" s="787"/>
      <c r="O41" s="696"/>
      <c r="P41" s="662"/>
      <c r="Q41" s="229">
        <f t="shared" si="19"/>
        <v>0</v>
      </c>
      <c r="R41" s="687"/>
      <c r="S41" s="697"/>
    </row>
    <row r="42" spans="1:19" s="700" customFormat="1" ht="15" customHeight="1" x14ac:dyDescent="0.3">
      <c r="A42" s="439"/>
      <c r="B42" s="544" t="s">
        <v>265</v>
      </c>
      <c r="C42" s="698" t="s">
        <v>13</v>
      </c>
      <c r="D42" s="510" t="s">
        <v>108</v>
      </c>
      <c r="E42" s="544">
        <v>1</v>
      </c>
      <c r="F42" s="198">
        <v>13040</v>
      </c>
      <c r="G42" s="544">
        <v>1</v>
      </c>
      <c r="H42" s="659">
        <f t="shared" ref="H42:H52" si="20">E42*F42*G42</f>
        <v>13040</v>
      </c>
      <c r="I42" s="583"/>
      <c r="J42" s="660"/>
      <c r="K42" s="659"/>
      <c r="L42" s="660"/>
      <c r="M42" s="659">
        <f t="shared" ref="M42:M52" si="21">J42*K42*L42</f>
        <v>0</v>
      </c>
      <c r="N42" s="583"/>
      <c r="O42" s="661">
        <f t="shared" ref="O42:O52" si="22">H42+M42</f>
        <v>13040</v>
      </c>
      <c r="P42" s="662">
        <v>0.5</v>
      </c>
      <c r="Q42" s="229">
        <f t="shared" si="19"/>
        <v>6520</v>
      </c>
      <c r="R42" s="663" t="s">
        <v>123</v>
      </c>
      <c r="S42" s="699"/>
    </row>
    <row r="43" spans="1:19" s="700" customFormat="1" ht="15" customHeight="1" x14ac:dyDescent="0.3">
      <c r="B43" s="544" t="s">
        <v>266</v>
      </c>
      <c r="C43" s="698" t="s">
        <v>13</v>
      </c>
      <c r="D43" s="510" t="s">
        <v>108</v>
      </c>
      <c r="E43" s="544">
        <v>1</v>
      </c>
      <c r="F43" s="198">
        <v>10235</v>
      </c>
      <c r="G43" s="544">
        <v>1</v>
      </c>
      <c r="H43" s="659">
        <f t="shared" si="20"/>
        <v>10235</v>
      </c>
      <c r="I43" s="583"/>
      <c r="J43" s="660"/>
      <c r="K43" s="659"/>
      <c r="L43" s="660"/>
      <c r="M43" s="659">
        <f t="shared" si="21"/>
        <v>0</v>
      </c>
      <c r="N43" s="583"/>
      <c r="O43" s="661">
        <f t="shared" si="22"/>
        <v>10235</v>
      </c>
      <c r="P43" s="662">
        <v>0.5</v>
      </c>
      <c r="Q43" s="229">
        <f t="shared" si="19"/>
        <v>5117.5</v>
      </c>
      <c r="R43" s="663" t="s">
        <v>110</v>
      </c>
      <c r="S43" s="699"/>
    </row>
    <row r="44" spans="1:19" s="700" customFormat="1" ht="15" customHeight="1" x14ac:dyDescent="0.3">
      <c r="B44" s="544" t="s">
        <v>267</v>
      </c>
      <c r="C44" s="698" t="s">
        <v>13</v>
      </c>
      <c r="D44" s="510" t="s">
        <v>108</v>
      </c>
      <c r="E44" s="544">
        <v>1</v>
      </c>
      <c r="F44" s="198">
        <v>10235</v>
      </c>
      <c r="G44" s="544">
        <v>1</v>
      </c>
      <c r="H44" s="659">
        <f t="shared" si="20"/>
        <v>10235</v>
      </c>
      <c r="I44" s="583"/>
      <c r="J44" s="660">
        <v>100</v>
      </c>
      <c r="K44" s="659">
        <v>22</v>
      </c>
      <c r="L44" s="660">
        <v>1</v>
      </c>
      <c r="M44" s="659">
        <f t="shared" si="21"/>
        <v>2200</v>
      </c>
      <c r="N44" s="583"/>
      <c r="O44" s="661">
        <f t="shared" si="22"/>
        <v>12435</v>
      </c>
      <c r="P44" s="662">
        <v>0.5</v>
      </c>
      <c r="Q44" s="229">
        <f t="shared" si="19"/>
        <v>6217.5</v>
      </c>
      <c r="R44" s="663" t="s">
        <v>123</v>
      </c>
    </row>
    <row r="45" spans="1:19" s="700" customFormat="1" ht="15" customHeight="1" x14ac:dyDescent="0.3">
      <c r="B45" s="544" t="s">
        <v>268</v>
      </c>
      <c r="C45" s="698" t="s">
        <v>13</v>
      </c>
      <c r="D45" s="510" t="s">
        <v>108</v>
      </c>
      <c r="E45" s="544">
        <v>1</v>
      </c>
      <c r="F45" s="198">
        <v>12985</v>
      </c>
      <c r="G45" s="544">
        <v>1</v>
      </c>
      <c r="H45" s="659">
        <f t="shared" si="20"/>
        <v>12985</v>
      </c>
      <c r="I45" s="583"/>
      <c r="J45" s="660">
        <v>1</v>
      </c>
      <c r="K45" s="659">
        <v>3960</v>
      </c>
      <c r="L45" s="660">
        <v>1</v>
      </c>
      <c r="M45" s="659">
        <f t="shared" si="21"/>
        <v>3960</v>
      </c>
      <c r="N45" s="583"/>
      <c r="O45" s="661">
        <f t="shared" si="22"/>
        <v>16945</v>
      </c>
      <c r="P45" s="662">
        <v>0.5</v>
      </c>
      <c r="Q45" s="229">
        <f t="shared" si="19"/>
        <v>8472.5</v>
      </c>
      <c r="R45" s="663" t="s">
        <v>110</v>
      </c>
    </row>
    <row r="46" spans="1:19" s="700" customFormat="1" ht="15" customHeight="1" x14ac:dyDescent="0.3">
      <c r="B46" s="544" t="s">
        <v>269</v>
      </c>
      <c r="C46" s="698" t="s">
        <v>13</v>
      </c>
      <c r="D46" s="510" t="s">
        <v>108</v>
      </c>
      <c r="E46" s="544">
        <v>1</v>
      </c>
      <c r="F46" s="198">
        <f>8624/3*2</f>
        <v>5749.333333333333</v>
      </c>
      <c r="G46" s="544">
        <v>1</v>
      </c>
      <c r="H46" s="659">
        <f t="shared" si="20"/>
        <v>5749.333333333333</v>
      </c>
      <c r="I46" s="583"/>
      <c r="J46" s="660">
        <v>1</v>
      </c>
      <c r="K46" s="659">
        <f>8624/3</f>
        <v>2874.6666666666665</v>
      </c>
      <c r="L46" s="660">
        <v>1</v>
      </c>
      <c r="M46" s="659">
        <f t="shared" si="21"/>
        <v>2874.6666666666665</v>
      </c>
      <c r="N46" s="583"/>
      <c r="O46" s="661">
        <f t="shared" si="22"/>
        <v>8624</v>
      </c>
      <c r="P46" s="662">
        <v>0.5</v>
      </c>
      <c r="Q46" s="229">
        <f t="shared" si="19"/>
        <v>4312</v>
      </c>
      <c r="R46" s="663" t="s">
        <v>124</v>
      </c>
    </row>
    <row r="47" spans="1:19" s="652" customFormat="1" ht="15" customHeight="1" x14ac:dyDescent="0.3">
      <c r="B47" s="544" t="s">
        <v>366</v>
      </c>
      <c r="C47" s="698" t="s">
        <v>13</v>
      </c>
      <c r="D47" s="510" t="s">
        <v>108</v>
      </c>
      <c r="E47" s="544">
        <v>85</v>
      </c>
      <c r="F47" s="198">
        <v>30</v>
      </c>
      <c r="G47" s="544">
        <v>2</v>
      </c>
      <c r="H47" s="659">
        <f t="shared" si="20"/>
        <v>5100</v>
      </c>
      <c r="I47" s="583"/>
      <c r="J47" s="660">
        <v>85</v>
      </c>
      <c r="K47" s="659">
        <v>30</v>
      </c>
      <c r="L47" s="660">
        <v>1</v>
      </c>
      <c r="M47" s="659">
        <f t="shared" si="21"/>
        <v>2550</v>
      </c>
      <c r="N47" s="583"/>
      <c r="O47" s="661">
        <f t="shared" si="22"/>
        <v>7650</v>
      </c>
      <c r="P47" s="662">
        <v>0.5</v>
      </c>
      <c r="Q47" s="229">
        <f t="shared" si="19"/>
        <v>3825</v>
      </c>
      <c r="R47" s="663" t="s">
        <v>125</v>
      </c>
    </row>
    <row r="48" spans="1:19" s="652" customFormat="1" ht="15" customHeight="1" x14ac:dyDescent="0.3">
      <c r="B48" s="544" t="s">
        <v>270</v>
      </c>
      <c r="C48" s="698" t="s">
        <v>13</v>
      </c>
      <c r="D48" s="510" t="s">
        <v>108</v>
      </c>
      <c r="E48" s="544">
        <v>1</v>
      </c>
      <c r="F48" s="198">
        <v>800</v>
      </c>
      <c r="G48" s="544">
        <v>1</v>
      </c>
      <c r="H48" s="659">
        <f t="shared" si="20"/>
        <v>800</v>
      </c>
      <c r="I48" s="583"/>
      <c r="J48" s="660">
        <v>1</v>
      </c>
      <c r="K48" s="659">
        <v>800</v>
      </c>
      <c r="L48" s="660">
        <v>1</v>
      </c>
      <c r="M48" s="659">
        <f t="shared" si="21"/>
        <v>800</v>
      </c>
      <c r="N48" s="583"/>
      <c r="O48" s="661">
        <f t="shared" si="22"/>
        <v>1600</v>
      </c>
      <c r="P48" s="662">
        <v>0.5</v>
      </c>
      <c r="Q48" s="229">
        <f t="shared" si="19"/>
        <v>800</v>
      </c>
      <c r="R48" s="663" t="s">
        <v>126</v>
      </c>
    </row>
    <row r="49" spans="1:19" s="652" customFormat="1" ht="15" customHeight="1" x14ac:dyDescent="0.3">
      <c r="B49" s="544" t="s">
        <v>271</v>
      </c>
      <c r="C49" s="698" t="s">
        <v>13</v>
      </c>
      <c r="D49" s="510" t="s">
        <v>108</v>
      </c>
      <c r="E49" s="544">
        <v>22</v>
      </c>
      <c r="F49" s="198">
        <v>100</v>
      </c>
      <c r="G49" s="544">
        <v>1</v>
      </c>
      <c r="H49" s="659">
        <f t="shared" si="20"/>
        <v>2200</v>
      </c>
      <c r="I49" s="583"/>
      <c r="J49" s="660"/>
      <c r="K49" s="659"/>
      <c r="L49" s="660"/>
      <c r="M49" s="659">
        <f t="shared" si="21"/>
        <v>0</v>
      </c>
      <c r="N49" s="583"/>
      <c r="O49" s="661">
        <f t="shared" si="22"/>
        <v>2200</v>
      </c>
      <c r="P49" s="662">
        <v>0.5</v>
      </c>
      <c r="Q49" s="229">
        <f t="shared" si="19"/>
        <v>1100</v>
      </c>
      <c r="R49" s="663" t="s">
        <v>127</v>
      </c>
    </row>
    <row r="50" spans="1:19" s="652" customFormat="1" ht="15" customHeight="1" x14ac:dyDescent="0.3">
      <c r="B50" s="404" t="s">
        <v>367</v>
      </c>
      <c r="C50" s="698" t="s">
        <v>13</v>
      </c>
      <c r="D50" s="510" t="s">
        <v>108</v>
      </c>
      <c r="E50" s="544">
        <v>22</v>
      </c>
      <c r="F50" s="198">
        <v>1000</v>
      </c>
      <c r="G50" s="544">
        <v>1</v>
      </c>
      <c r="H50" s="659">
        <f t="shared" si="20"/>
        <v>22000</v>
      </c>
      <c r="I50" s="583"/>
      <c r="J50" s="660"/>
      <c r="K50" s="659"/>
      <c r="L50" s="660"/>
      <c r="M50" s="659">
        <f t="shared" si="21"/>
        <v>0</v>
      </c>
      <c r="N50" s="583"/>
      <c r="O50" s="661">
        <f t="shared" si="22"/>
        <v>22000</v>
      </c>
      <c r="P50" s="662">
        <v>0.5</v>
      </c>
      <c r="Q50" s="229">
        <f t="shared" si="19"/>
        <v>11000</v>
      </c>
      <c r="R50" s="663" t="s">
        <v>127</v>
      </c>
    </row>
    <row r="51" spans="1:19" s="700" customFormat="1" ht="15" customHeight="1" x14ac:dyDescent="0.3">
      <c r="B51" s="544" t="s">
        <v>129</v>
      </c>
      <c r="C51" s="698" t="s">
        <v>13</v>
      </c>
      <c r="D51" s="510" t="s">
        <v>108</v>
      </c>
      <c r="E51" s="544">
        <v>4</v>
      </c>
      <c r="F51" s="198">
        <v>300</v>
      </c>
      <c r="G51" s="544">
        <v>12</v>
      </c>
      <c r="H51" s="659">
        <f t="shared" si="20"/>
        <v>14400</v>
      </c>
      <c r="I51" s="583"/>
      <c r="J51" s="660">
        <v>4</v>
      </c>
      <c r="K51" s="659">
        <f>300*1.03</f>
        <v>309</v>
      </c>
      <c r="L51" s="660">
        <v>6</v>
      </c>
      <c r="M51" s="659">
        <f t="shared" si="21"/>
        <v>7416</v>
      </c>
      <c r="N51" s="583"/>
      <c r="O51" s="661">
        <f t="shared" si="22"/>
        <v>21816</v>
      </c>
      <c r="P51" s="662"/>
      <c r="Q51" s="229">
        <f t="shared" si="19"/>
        <v>0</v>
      </c>
      <c r="R51" s="663" t="s">
        <v>130</v>
      </c>
    </row>
    <row r="52" spans="1:19" s="652" customFormat="1" ht="15" customHeight="1" x14ac:dyDescent="0.3">
      <c r="B52" s="544" t="s">
        <v>131</v>
      </c>
      <c r="C52" s="698" t="s">
        <v>13</v>
      </c>
      <c r="D52" s="702" t="s">
        <v>108</v>
      </c>
      <c r="E52" s="703">
        <v>1</v>
      </c>
      <c r="F52" s="704">
        <v>800</v>
      </c>
      <c r="G52" s="703">
        <v>12</v>
      </c>
      <c r="H52" s="659">
        <f t="shared" si="20"/>
        <v>9600</v>
      </c>
      <c r="I52" s="167"/>
      <c r="J52" s="660">
        <v>1</v>
      </c>
      <c r="K52" s="659">
        <f>F52*1.03</f>
        <v>824</v>
      </c>
      <c r="L52" s="660">
        <v>6</v>
      </c>
      <c r="M52" s="659">
        <f t="shared" si="21"/>
        <v>4944</v>
      </c>
      <c r="N52" s="167"/>
      <c r="O52" s="661">
        <f t="shared" si="22"/>
        <v>14544</v>
      </c>
      <c r="P52" s="662"/>
      <c r="Q52" s="229">
        <f t="shared" si="19"/>
        <v>0</v>
      </c>
      <c r="R52" s="653" t="s">
        <v>130</v>
      </c>
    </row>
    <row r="53" spans="1:19" s="652" customFormat="1" ht="15" customHeight="1" thickBot="1" x14ac:dyDescent="0.35">
      <c r="A53" s="654"/>
      <c r="B53" s="705" t="s">
        <v>106</v>
      </c>
      <c r="C53" s="669"/>
      <c r="D53" s="488"/>
      <c r="E53" s="456"/>
      <c r="F53" s="456"/>
      <c r="G53" s="456"/>
      <c r="H53" s="455">
        <f>SUM(H28:H52)</f>
        <v>482384.33333333331</v>
      </c>
      <c r="I53" s="632"/>
      <c r="J53" s="538"/>
      <c r="K53" s="538"/>
      <c r="L53" s="538"/>
      <c r="M53" s="538">
        <f>SUM(M28:M52)</f>
        <v>59094.666666666664</v>
      </c>
      <c r="N53" s="632"/>
      <c r="O53" s="539">
        <f>SUM(O28:O52)</f>
        <v>541479</v>
      </c>
      <c r="P53" s="539"/>
      <c r="Q53" s="539">
        <f>SUM(Q28:Q51)</f>
        <v>141394.5</v>
      </c>
      <c r="R53" s="201"/>
    </row>
    <row r="54" spans="1:19" s="652" customFormat="1" ht="15" customHeight="1" thickBot="1" x14ac:dyDescent="0.35">
      <c r="A54" s="654"/>
      <c r="B54" s="1053" t="s">
        <v>371</v>
      </c>
      <c r="C54" s="670"/>
      <c r="D54" s="671"/>
      <c r="E54" s="672"/>
      <c r="F54" s="672"/>
      <c r="G54" s="672"/>
      <c r="H54" s="880"/>
      <c r="I54" s="200"/>
      <c r="J54" s="953"/>
      <c r="K54" s="954"/>
      <c r="L54" s="954"/>
      <c r="M54" s="955"/>
      <c r="N54" s="200"/>
      <c r="O54" s="953"/>
      <c r="P54" s="954"/>
      <c r="Q54" s="954"/>
      <c r="R54" s="956"/>
    </row>
    <row r="55" spans="1:19" s="683" customFormat="1" ht="15" customHeight="1" x14ac:dyDescent="0.3">
      <c r="A55" s="673"/>
      <c r="B55" s="674" t="s">
        <v>250</v>
      </c>
      <c r="C55" s="664" t="s">
        <v>9</v>
      </c>
      <c r="D55" s="675" t="s">
        <v>70</v>
      </c>
      <c r="E55" s="676">
        <v>0.25</v>
      </c>
      <c r="F55" s="677">
        <v>14400</v>
      </c>
      <c r="G55" s="678">
        <v>12</v>
      </c>
      <c r="H55" s="854">
        <f>E55*F55*G55</f>
        <v>43200</v>
      </c>
      <c r="I55" s="679"/>
      <c r="J55" s="676">
        <v>0.25</v>
      </c>
      <c r="K55" s="677">
        <v>14500</v>
      </c>
      <c r="L55" s="678">
        <v>6</v>
      </c>
      <c r="M55" s="677">
        <f>J55*K55*L55</f>
        <v>21750</v>
      </c>
      <c r="N55" s="680"/>
      <c r="O55" s="681">
        <f>H55+M55</f>
        <v>64950</v>
      </c>
      <c r="P55" s="514"/>
      <c r="Q55" s="681"/>
      <c r="R55" s="682"/>
    </row>
    <row r="56" spans="1:19" s="686" customFormat="1" ht="15" customHeight="1" x14ac:dyDescent="0.3">
      <c r="A56" s="684"/>
      <c r="B56" s="198" t="s">
        <v>253</v>
      </c>
      <c r="C56" s="664" t="s">
        <v>9</v>
      </c>
      <c r="D56" s="229" t="s">
        <v>70</v>
      </c>
      <c r="E56" s="314">
        <v>0.5</v>
      </c>
      <c r="F56" s="196">
        <v>2200</v>
      </c>
      <c r="G56" s="196">
        <v>12</v>
      </c>
      <c r="H56" s="633">
        <f t="shared" ref="H56:H57" si="23">E56*F56*G56</f>
        <v>13200</v>
      </c>
      <c r="I56" s="251"/>
      <c r="J56" s="314">
        <v>0.5</v>
      </c>
      <c r="K56" s="196">
        <v>2200</v>
      </c>
      <c r="L56" s="196">
        <v>6</v>
      </c>
      <c r="M56" s="196">
        <f t="shared" ref="M56:M57" si="24">J56*K56*L56</f>
        <v>6600</v>
      </c>
      <c r="N56" s="252"/>
      <c r="O56" s="221">
        <f t="shared" ref="O56:O57" si="25">H56+M56</f>
        <v>19800</v>
      </c>
      <c r="P56" s="211"/>
      <c r="Q56" s="211"/>
      <c r="R56" s="685" t="s">
        <v>257</v>
      </c>
    </row>
    <row r="57" spans="1:19" s="686" customFormat="1" ht="15" customHeight="1" x14ac:dyDescent="0.3">
      <c r="A57" s="684"/>
      <c r="B57" s="198" t="s">
        <v>261</v>
      </c>
      <c r="C57" s="664" t="s">
        <v>9</v>
      </c>
      <c r="D57" s="229" t="s">
        <v>70</v>
      </c>
      <c r="E57" s="314">
        <v>0.5</v>
      </c>
      <c r="F57" s="196">
        <v>1900</v>
      </c>
      <c r="G57" s="196">
        <v>10</v>
      </c>
      <c r="H57" s="633">
        <f t="shared" si="23"/>
        <v>9500</v>
      </c>
      <c r="I57" s="251"/>
      <c r="J57" s="314">
        <v>0.5</v>
      </c>
      <c r="K57" s="196">
        <v>2000</v>
      </c>
      <c r="L57" s="196">
        <v>6</v>
      </c>
      <c r="M57" s="196">
        <f t="shared" si="24"/>
        <v>6000</v>
      </c>
      <c r="N57" s="252"/>
      <c r="O57" s="221">
        <f t="shared" si="25"/>
        <v>15500</v>
      </c>
      <c r="P57" s="211"/>
      <c r="Q57" s="211"/>
      <c r="R57" s="685" t="s">
        <v>249</v>
      </c>
    </row>
    <row r="58" spans="1:19" s="652" customFormat="1" ht="15" customHeight="1" x14ac:dyDescent="0.3">
      <c r="B58" s="689" t="s">
        <v>114</v>
      </c>
      <c r="C58" s="698" t="s">
        <v>13</v>
      </c>
      <c r="D58" s="706" t="s">
        <v>108</v>
      </c>
      <c r="E58" s="707">
        <v>1</v>
      </c>
      <c r="F58" s="708">
        <v>800</v>
      </c>
      <c r="G58" s="707">
        <v>12</v>
      </c>
      <c r="H58" s="709">
        <f>E58*F58*G58</f>
        <v>9600</v>
      </c>
      <c r="I58" s="885"/>
      <c r="J58" s="660">
        <v>1</v>
      </c>
      <c r="K58" s="659">
        <f>F58*1.03</f>
        <v>824</v>
      </c>
      <c r="L58" s="660">
        <v>6</v>
      </c>
      <c r="M58" s="659">
        <f>J58*K58*L58</f>
        <v>4944</v>
      </c>
      <c r="N58" s="885"/>
      <c r="O58" s="661">
        <f>H58+M58</f>
        <v>14544</v>
      </c>
      <c r="P58" s="712"/>
      <c r="Q58" s="713"/>
      <c r="R58" s="713" t="s">
        <v>167</v>
      </c>
      <c r="S58" s="710"/>
    </row>
    <row r="59" spans="1:19" s="652" customFormat="1" ht="15" customHeight="1" x14ac:dyDescent="0.3">
      <c r="B59" s="544" t="s">
        <v>236</v>
      </c>
      <c r="C59" s="664" t="s">
        <v>9</v>
      </c>
      <c r="D59" s="702" t="s">
        <v>108</v>
      </c>
      <c r="E59" s="703">
        <v>0.5</v>
      </c>
      <c r="F59" s="711">
        <v>3815</v>
      </c>
      <c r="G59" s="703">
        <v>12</v>
      </c>
      <c r="H59" s="665">
        <f>E59*F59*G59</f>
        <v>22890</v>
      </c>
      <c r="I59" s="885"/>
      <c r="J59" s="660">
        <v>0.5</v>
      </c>
      <c r="K59" s="659">
        <f>F59*1.03</f>
        <v>3929.4500000000003</v>
      </c>
      <c r="L59" s="660">
        <v>6</v>
      </c>
      <c r="M59" s="659">
        <f>J59*K59*L59</f>
        <v>11788.35</v>
      </c>
      <c r="N59" s="885"/>
      <c r="O59" s="661">
        <f>H59+M59</f>
        <v>34678.35</v>
      </c>
      <c r="P59" s="712"/>
      <c r="Q59" s="713"/>
      <c r="R59" s="713" t="s">
        <v>168</v>
      </c>
      <c r="S59" s="710"/>
    </row>
    <row r="60" spans="1:19" s="652" customFormat="1" ht="15" customHeight="1" x14ac:dyDescent="0.3">
      <c r="B60" s="542" t="s">
        <v>372</v>
      </c>
      <c r="C60" s="951"/>
      <c r="D60" s="952"/>
      <c r="E60" s="722"/>
      <c r="F60" s="722"/>
      <c r="G60" s="722"/>
      <c r="H60" s="722"/>
      <c r="I60" s="251"/>
      <c r="J60" s="255"/>
      <c r="K60" s="255"/>
      <c r="L60" s="255"/>
      <c r="M60" s="255"/>
      <c r="N60" s="252"/>
      <c r="O60" s="572"/>
      <c r="P60" s="257"/>
      <c r="Q60" s="257"/>
      <c r="R60" s="258"/>
    </row>
    <row r="61" spans="1:19" s="507" customFormat="1" ht="15" customHeight="1" x14ac:dyDescent="0.25">
      <c r="A61" s="714"/>
      <c r="B61" s="715" t="s">
        <v>208</v>
      </c>
      <c r="C61" s="666" t="s">
        <v>11</v>
      </c>
      <c r="D61" s="529" t="s">
        <v>70</v>
      </c>
      <c r="E61" s="545">
        <v>20</v>
      </c>
      <c r="F61" s="545">
        <v>1500</v>
      </c>
      <c r="G61" s="545">
        <v>1</v>
      </c>
      <c r="H61" s="198">
        <f t="shared" ref="H61" si="26">E61*F61*G61</f>
        <v>30000</v>
      </c>
      <c r="I61" s="197"/>
      <c r="J61" s="198">
        <v>0</v>
      </c>
      <c r="K61" s="198">
        <v>0</v>
      </c>
      <c r="L61" s="198">
        <v>0</v>
      </c>
      <c r="M61" s="198">
        <f t="shared" ref="M61:M62" si="27">J61*K61*L61</f>
        <v>0</v>
      </c>
      <c r="N61" s="197"/>
      <c r="O61" s="221">
        <f t="shared" ref="O61" si="28">H61+M61</f>
        <v>30000</v>
      </c>
      <c r="P61" s="211"/>
      <c r="Q61" s="211"/>
      <c r="R61" s="531" t="s">
        <v>331</v>
      </c>
    </row>
    <row r="62" spans="1:19" s="692" customFormat="1" ht="15" customHeight="1" x14ac:dyDescent="0.3">
      <c r="A62" s="716"/>
      <c r="B62" s="535" t="s">
        <v>334</v>
      </c>
      <c r="C62" s="691" t="s">
        <v>13</v>
      </c>
      <c r="D62" s="510" t="s">
        <v>108</v>
      </c>
      <c r="E62" s="544">
        <v>1</v>
      </c>
      <c r="F62" s="198">
        <v>20800</v>
      </c>
      <c r="G62" s="544">
        <v>1</v>
      </c>
      <c r="H62" s="659">
        <f>E62*F62*G62</f>
        <v>20800</v>
      </c>
      <c r="I62" s="583"/>
      <c r="J62" s="660"/>
      <c r="K62" s="659"/>
      <c r="L62" s="660"/>
      <c r="M62" s="659">
        <f t="shared" si="27"/>
        <v>0</v>
      </c>
      <c r="N62" s="583"/>
      <c r="O62" s="661">
        <f>H62+M62</f>
        <v>20800</v>
      </c>
      <c r="P62" s="662">
        <v>0.3</v>
      </c>
      <c r="Q62" s="229">
        <f t="shared" ref="Q62:Q63" si="29">P62*O62</f>
        <v>6240</v>
      </c>
      <c r="R62" s="663" t="s">
        <v>109</v>
      </c>
    </row>
    <row r="63" spans="1:19" s="692" customFormat="1" ht="15" customHeight="1" x14ac:dyDescent="0.3">
      <c r="A63" s="716"/>
      <c r="B63" s="535" t="s">
        <v>335</v>
      </c>
      <c r="C63" s="691" t="s">
        <v>13</v>
      </c>
      <c r="D63" s="510" t="s">
        <v>108</v>
      </c>
      <c r="E63" s="544">
        <v>1</v>
      </c>
      <c r="F63" s="198">
        <v>21030</v>
      </c>
      <c r="G63" s="544">
        <v>1</v>
      </c>
      <c r="H63" s="659">
        <f>E63*F63*G63</f>
        <v>21030</v>
      </c>
      <c r="I63" s="583"/>
      <c r="J63" s="660"/>
      <c r="K63" s="659"/>
      <c r="L63" s="660"/>
      <c r="M63" s="659">
        <f>J63*K63*L63</f>
        <v>0</v>
      </c>
      <c r="N63" s="583"/>
      <c r="O63" s="661">
        <f>H63+M63</f>
        <v>21030</v>
      </c>
      <c r="P63" s="662">
        <v>0.3</v>
      </c>
      <c r="Q63" s="229">
        <f t="shared" si="29"/>
        <v>6309</v>
      </c>
      <c r="R63" s="663" t="s">
        <v>109</v>
      </c>
    </row>
    <row r="64" spans="1:19" s="692" customFormat="1" ht="15" customHeight="1" x14ac:dyDescent="0.3">
      <c r="A64" s="716"/>
      <c r="B64" s="717" t="s">
        <v>373</v>
      </c>
      <c r="C64" s="718"/>
      <c r="D64" s="719"/>
      <c r="E64" s="720"/>
      <c r="F64" s="720"/>
      <c r="G64" s="720"/>
      <c r="H64" s="721"/>
      <c r="I64" s="251"/>
      <c r="J64" s="256"/>
      <c r="K64" s="722"/>
      <c r="L64" s="722"/>
      <c r="M64" s="887"/>
      <c r="N64" s="252"/>
      <c r="O64" s="888"/>
      <c r="P64" s="724"/>
      <c r="Q64" s="724"/>
      <c r="R64" s="542"/>
    </row>
    <row r="65" spans="1:19" s="692" customFormat="1" ht="15" customHeight="1" x14ac:dyDescent="0.3">
      <c r="A65" s="716"/>
      <c r="B65" s="725" t="s">
        <v>272</v>
      </c>
      <c r="C65" s="726"/>
      <c r="D65" s="727"/>
      <c r="E65" s="728"/>
      <c r="F65" s="729"/>
      <c r="G65" s="728"/>
      <c r="H65" s="730"/>
      <c r="I65" s="884"/>
      <c r="J65" s="728"/>
      <c r="K65" s="728"/>
      <c r="L65" s="728"/>
      <c r="M65" s="730"/>
      <c r="N65" s="884"/>
      <c r="O65" s="730"/>
      <c r="P65" s="731"/>
      <c r="Q65" s="728"/>
      <c r="R65" s="728"/>
    </row>
    <row r="66" spans="1:19" s="543" customFormat="1" ht="15" customHeight="1" x14ac:dyDescent="0.3">
      <c r="A66" s="732"/>
      <c r="B66" s="544" t="s">
        <v>273</v>
      </c>
      <c r="C66" s="691" t="s">
        <v>13</v>
      </c>
      <c r="D66" s="510" t="s">
        <v>108</v>
      </c>
      <c r="E66" s="544">
        <v>1</v>
      </c>
      <c r="F66" s="198">
        <v>34980</v>
      </c>
      <c r="G66" s="544">
        <v>1</v>
      </c>
      <c r="H66" s="659">
        <f t="shared" ref="H66:H67" si="30">E66*F66*G66</f>
        <v>34980</v>
      </c>
      <c r="I66" s="583"/>
      <c r="J66" s="660"/>
      <c r="K66" s="659"/>
      <c r="L66" s="660"/>
      <c r="M66" s="659">
        <f t="shared" ref="M66:M67" si="31">J66*K66*L66</f>
        <v>0</v>
      </c>
      <c r="N66" s="583"/>
      <c r="O66" s="661">
        <f t="shared" ref="O66:O67" si="32">H66+M66</f>
        <v>34980</v>
      </c>
      <c r="P66" s="662">
        <v>0.3</v>
      </c>
      <c r="Q66" s="229">
        <f t="shared" ref="Q66:Q67" si="33">P66*O66</f>
        <v>10494</v>
      </c>
      <c r="R66" s="663" t="s">
        <v>110</v>
      </c>
      <c r="S66" s="692"/>
    </row>
    <row r="67" spans="1:19" s="543" customFormat="1" ht="15" customHeight="1" x14ac:dyDescent="0.3">
      <c r="A67" s="547"/>
      <c r="B67" s="544" t="s">
        <v>274</v>
      </c>
      <c r="C67" s="691" t="s">
        <v>13</v>
      </c>
      <c r="D67" s="510" t="s">
        <v>108</v>
      </c>
      <c r="E67" s="544">
        <v>1</v>
      </c>
      <c r="F67" s="198">
        <v>34980</v>
      </c>
      <c r="G67" s="544">
        <v>1</v>
      </c>
      <c r="H67" s="659">
        <f t="shared" si="30"/>
        <v>34980</v>
      </c>
      <c r="I67" s="583"/>
      <c r="J67" s="660"/>
      <c r="K67" s="659"/>
      <c r="L67" s="660"/>
      <c r="M67" s="659">
        <f t="shared" si="31"/>
        <v>0</v>
      </c>
      <c r="N67" s="583"/>
      <c r="O67" s="661">
        <f t="shared" si="32"/>
        <v>34980</v>
      </c>
      <c r="P67" s="662">
        <v>0.3</v>
      </c>
      <c r="Q67" s="229">
        <f t="shared" si="33"/>
        <v>10494</v>
      </c>
      <c r="R67" s="663" t="s">
        <v>110</v>
      </c>
    </row>
    <row r="68" spans="1:19" s="733" customFormat="1" ht="15" customHeight="1" x14ac:dyDescent="0.3">
      <c r="A68" s="684"/>
      <c r="B68" s="217" t="s">
        <v>198</v>
      </c>
      <c r="C68" s="664" t="s">
        <v>9</v>
      </c>
      <c r="D68" s="748" t="s">
        <v>161</v>
      </c>
      <c r="E68" s="734">
        <v>2</v>
      </c>
      <c r="F68" s="735">
        <v>800</v>
      </c>
      <c r="G68" s="735">
        <v>12</v>
      </c>
      <c r="H68" s="191">
        <f>E68*F68*G68</f>
        <v>19200</v>
      </c>
      <c r="I68" s="193"/>
      <c r="J68" s="734">
        <v>2</v>
      </c>
      <c r="K68" s="735">
        <v>800</v>
      </c>
      <c r="L68" s="191">
        <v>6</v>
      </c>
      <c r="M68" s="191">
        <f>J68*K68*L68</f>
        <v>9600</v>
      </c>
      <c r="N68" s="193"/>
      <c r="O68" s="199">
        <f>H68+M68</f>
        <v>28800</v>
      </c>
      <c r="P68" s="192"/>
      <c r="Q68" s="192"/>
      <c r="R68" s="736"/>
    </row>
    <row r="69" spans="1:19" s="733" customFormat="1" ht="15" customHeight="1" x14ac:dyDescent="0.3">
      <c r="A69" s="684"/>
      <c r="B69" s="217" t="s">
        <v>182</v>
      </c>
      <c r="C69" s="664" t="s">
        <v>9</v>
      </c>
      <c r="D69" s="748" t="s">
        <v>161</v>
      </c>
      <c r="E69" s="734">
        <v>1</v>
      </c>
      <c r="F69" s="735">
        <v>800</v>
      </c>
      <c r="G69" s="735">
        <v>12</v>
      </c>
      <c r="H69" s="191">
        <f>E69*F69*G69</f>
        <v>9600</v>
      </c>
      <c r="I69" s="193"/>
      <c r="J69" s="734">
        <v>1</v>
      </c>
      <c r="K69" s="735">
        <v>800</v>
      </c>
      <c r="L69" s="191">
        <v>6</v>
      </c>
      <c r="M69" s="191">
        <f>J69*K69*L69</f>
        <v>4800</v>
      </c>
      <c r="N69" s="193"/>
      <c r="O69" s="199">
        <f>H69+M69</f>
        <v>14400</v>
      </c>
      <c r="P69" s="192"/>
      <c r="Q69" s="192"/>
      <c r="R69" s="736"/>
    </row>
    <row r="70" spans="1:19" s="737" customFormat="1" ht="15" customHeight="1" x14ac:dyDescent="0.3">
      <c r="B70" s="651" t="s">
        <v>301</v>
      </c>
      <c r="C70" s="738"/>
      <c r="D70" s="739"/>
      <c r="E70" s="949"/>
      <c r="F70" s="545"/>
      <c r="G70" s="949"/>
      <c r="H70" s="198"/>
      <c r="I70" s="197"/>
      <c r="J70" s="198"/>
      <c r="K70" s="198"/>
      <c r="L70" s="198"/>
      <c r="M70" s="198"/>
      <c r="N70" s="200"/>
      <c r="O70" s="199"/>
      <c r="P70" s="211"/>
      <c r="Q70" s="212"/>
      <c r="R70" s="740"/>
    </row>
    <row r="71" spans="1:19" s="741" customFormat="1" ht="15" customHeight="1" x14ac:dyDescent="0.3">
      <c r="B71" s="237" t="s">
        <v>195</v>
      </c>
      <c r="C71" s="666" t="s">
        <v>11</v>
      </c>
      <c r="D71" s="748" t="s">
        <v>161</v>
      </c>
      <c r="E71" s="545">
        <v>10</v>
      </c>
      <c r="F71" s="545">
        <v>5000</v>
      </c>
      <c r="G71" s="545">
        <v>1</v>
      </c>
      <c r="H71" s="198">
        <f>E71*F71*G71</f>
        <v>50000</v>
      </c>
      <c r="I71" s="197"/>
      <c r="J71" s="198">
        <v>0</v>
      </c>
      <c r="K71" s="198">
        <v>0</v>
      </c>
      <c r="L71" s="198">
        <v>0</v>
      </c>
      <c r="M71" s="198">
        <f>J71*K71*L71</f>
        <v>0</v>
      </c>
      <c r="N71" s="200"/>
      <c r="O71" s="199">
        <f>H71+M71</f>
        <v>50000</v>
      </c>
      <c r="P71" s="211"/>
      <c r="Q71" s="229"/>
      <c r="R71" s="685" t="s">
        <v>303</v>
      </c>
    </row>
    <row r="72" spans="1:19" s="741" customFormat="1" ht="15" customHeight="1" x14ac:dyDescent="0.3">
      <c r="B72" s="237" t="s">
        <v>304</v>
      </c>
      <c r="C72" s="691" t="s">
        <v>12</v>
      </c>
      <c r="D72" s="748" t="s">
        <v>161</v>
      </c>
      <c r="E72" s="545">
        <v>2</v>
      </c>
      <c r="F72" s="545">
        <v>30</v>
      </c>
      <c r="G72" s="545">
        <v>3</v>
      </c>
      <c r="H72" s="198">
        <f>E72*F72*G72</f>
        <v>180</v>
      </c>
      <c r="I72" s="197"/>
      <c r="J72" s="198"/>
      <c r="K72" s="198"/>
      <c r="L72" s="198"/>
      <c r="M72" s="198"/>
      <c r="N72" s="200"/>
      <c r="O72" s="199">
        <f>H72+M72</f>
        <v>180</v>
      </c>
      <c r="P72" s="211"/>
      <c r="Q72" s="229"/>
      <c r="R72" s="685" t="s">
        <v>305</v>
      </c>
    </row>
    <row r="73" spans="1:19" s="741" customFormat="1" ht="15" customHeight="1" x14ac:dyDescent="0.3">
      <c r="B73" s="237" t="s">
        <v>306</v>
      </c>
      <c r="C73" s="666" t="s">
        <v>11</v>
      </c>
      <c r="D73" s="748" t="s">
        <v>161</v>
      </c>
      <c r="E73" s="545">
        <v>10</v>
      </c>
      <c r="F73" s="545">
        <v>1200</v>
      </c>
      <c r="G73" s="545">
        <v>1</v>
      </c>
      <c r="H73" s="198">
        <f>E73*F73*G73</f>
        <v>12000</v>
      </c>
      <c r="I73" s="197"/>
      <c r="J73" s="198">
        <v>0</v>
      </c>
      <c r="K73" s="198">
        <v>0</v>
      </c>
      <c r="L73" s="198">
        <v>0</v>
      </c>
      <c r="M73" s="198">
        <f>J73*K73*L73</f>
        <v>0</v>
      </c>
      <c r="N73" s="200"/>
      <c r="O73" s="199">
        <f>H73+M73</f>
        <v>12000</v>
      </c>
      <c r="P73" s="211"/>
      <c r="Q73" s="229"/>
      <c r="R73" s="685" t="s">
        <v>307</v>
      </c>
    </row>
    <row r="74" spans="1:19" s="741" customFormat="1" ht="15" customHeight="1" x14ac:dyDescent="0.3">
      <c r="B74" s="237" t="s">
        <v>308</v>
      </c>
      <c r="C74" s="666" t="s">
        <v>11</v>
      </c>
      <c r="D74" s="748" t="s">
        <v>161</v>
      </c>
      <c r="E74" s="545">
        <v>1</v>
      </c>
      <c r="F74" s="545">
        <v>470</v>
      </c>
      <c r="G74" s="545">
        <v>1</v>
      </c>
      <c r="H74" s="198">
        <f>E74*F74*G74</f>
        <v>470</v>
      </c>
      <c r="I74" s="197"/>
      <c r="J74" s="198">
        <v>0</v>
      </c>
      <c r="K74" s="198">
        <v>0</v>
      </c>
      <c r="L74" s="198">
        <v>0</v>
      </c>
      <c r="M74" s="198">
        <f>J74*K74*L74</f>
        <v>0</v>
      </c>
      <c r="N74" s="200"/>
      <c r="O74" s="199">
        <f>H74+M74</f>
        <v>470</v>
      </c>
      <c r="P74" s="211">
        <v>0.3</v>
      </c>
      <c r="Q74" s="229">
        <f t="shared" ref="Q74" si="34">P74*O74</f>
        <v>141</v>
      </c>
      <c r="R74" s="663" t="s">
        <v>309</v>
      </c>
    </row>
    <row r="75" spans="1:19" s="741" customFormat="1" ht="15" customHeight="1" x14ac:dyDescent="0.3">
      <c r="B75" s="237" t="s">
        <v>310</v>
      </c>
      <c r="C75" s="691" t="s">
        <v>12</v>
      </c>
      <c r="D75" s="748" t="s">
        <v>161</v>
      </c>
      <c r="E75" s="545">
        <v>12</v>
      </c>
      <c r="F75" s="545">
        <v>30</v>
      </c>
      <c r="G75" s="545">
        <v>6</v>
      </c>
      <c r="H75" s="198">
        <f>E75*F75*G75</f>
        <v>2160</v>
      </c>
      <c r="I75" s="197"/>
      <c r="J75" s="198"/>
      <c r="K75" s="198"/>
      <c r="L75" s="198"/>
      <c r="M75" s="198"/>
      <c r="N75" s="200"/>
      <c r="O75" s="199">
        <f t="shared" ref="O75:O87" si="35">H75+M75</f>
        <v>2160</v>
      </c>
      <c r="P75" s="211"/>
      <c r="Q75" s="229"/>
      <c r="R75" s="685" t="s">
        <v>311</v>
      </c>
    </row>
    <row r="76" spans="1:19" s="741" customFormat="1" ht="15" customHeight="1" x14ac:dyDescent="0.3">
      <c r="B76" s="237" t="s">
        <v>336</v>
      </c>
      <c r="C76" s="666" t="s">
        <v>11</v>
      </c>
      <c r="D76" s="748" t="s">
        <v>161</v>
      </c>
      <c r="E76" s="545">
        <v>20</v>
      </c>
      <c r="F76" s="545">
        <v>500</v>
      </c>
      <c r="G76" s="529">
        <v>4</v>
      </c>
      <c r="H76" s="198">
        <f t="shared" ref="H76:H87" si="36">E76*F76*G76</f>
        <v>40000</v>
      </c>
      <c r="I76" s="197"/>
      <c r="J76" s="198">
        <v>0</v>
      </c>
      <c r="K76" s="198">
        <v>0</v>
      </c>
      <c r="L76" s="198">
        <v>0</v>
      </c>
      <c r="M76" s="198">
        <f t="shared" ref="M76:M87" si="37">J76*K76*L76</f>
        <v>0</v>
      </c>
      <c r="N76" s="200"/>
      <c r="O76" s="199">
        <f t="shared" si="35"/>
        <v>40000</v>
      </c>
      <c r="P76" s="211"/>
      <c r="Q76" s="229"/>
      <c r="R76" s="535" t="s">
        <v>312</v>
      </c>
    </row>
    <row r="77" spans="1:19" s="741" customFormat="1" ht="15" customHeight="1" x14ac:dyDescent="0.3">
      <c r="B77" s="237" t="s">
        <v>337</v>
      </c>
      <c r="C77" s="666" t="s">
        <v>10</v>
      </c>
      <c r="D77" s="748" t="s">
        <v>161</v>
      </c>
      <c r="E77" s="545">
        <v>20</v>
      </c>
      <c r="F77" s="545">
        <v>3000</v>
      </c>
      <c r="G77" s="545">
        <v>1</v>
      </c>
      <c r="H77" s="198">
        <f t="shared" si="36"/>
        <v>60000</v>
      </c>
      <c r="I77" s="197"/>
      <c r="J77" s="198">
        <v>0</v>
      </c>
      <c r="K77" s="198">
        <v>0</v>
      </c>
      <c r="L77" s="198">
        <v>0</v>
      </c>
      <c r="M77" s="198">
        <f t="shared" si="37"/>
        <v>0</v>
      </c>
      <c r="N77" s="200"/>
      <c r="O77" s="199">
        <f t="shared" si="35"/>
        <v>60000</v>
      </c>
      <c r="P77" s="211">
        <v>0.3</v>
      </c>
      <c r="Q77" s="229">
        <f t="shared" ref="Q77" si="38">P77*O77</f>
        <v>18000</v>
      </c>
      <c r="R77" s="685" t="s">
        <v>313</v>
      </c>
    </row>
    <row r="78" spans="1:19" s="741" customFormat="1" ht="15" customHeight="1" x14ac:dyDescent="0.3">
      <c r="B78" s="237" t="s">
        <v>353</v>
      </c>
      <c r="C78" s="666" t="s">
        <v>10</v>
      </c>
      <c r="D78" s="748" t="s">
        <v>161</v>
      </c>
      <c r="E78" s="545">
        <v>10</v>
      </c>
      <c r="F78" s="545">
        <v>600</v>
      </c>
      <c r="G78" s="545">
        <v>1</v>
      </c>
      <c r="H78" s="198">
        <f t="shared" ref="H78" si="39">E78*F78*G78</f>
        <v>6000</v>
      </c>
      <c r="I78" s="197"/>
      <c r="J78" s="198">
        <v>0</v>
      </c>
      <c r="K78" s="198">
        <v>0</v>
      </c>
      <c r="L78" s="198">
        <v>0</v>
      </c>
      <c r="M78" s="198">
        <f t="shared" ref="M78" si="40">J78*K78*L78</f>
        <v>0</v>
      </c>
      <c r="N78" s="200"/>
      <c r="O78" s="199">
        <f t="shared" ref="O78" si="41">H78+M78</f>
        <v>6000</v>
      </c>
      <c r="P78" s="211"/>
      <c r="Q78" s="229"/>
      <c r="R78" s="685" t="s">
        <v>354</v>
      </c>
    </row>
    <row r="79" spans="1:19" s="741" customFormat="1" ht="15" customHeight="1" x14ac:dyDescent="0.3">
      <c r="B79" s="237" t="s">
        <v>338</v>
      </c>
      <c r="C79" s="691" t="s">
        <v>12</v>
      </c>
      <c r="D79" s="748" t="s">
        <v>161</v>
      </c>
      <c r="E79" s="545">
        <v>21</v>
      </c>
      <c r="F79" s="545">
        <v>30</v>
      </c>
      <c r="G79" s="545">
        <v>16</v>
      </c>
      <c r="H79" s="198">
        <f t="shared" si="36"/>
        <v>10080</v>
      </c>
      <c r="I79" s="197"/>
      <c r="J79" s="198"/>
      <c r="K79" s="198"/>
      <c r="L79" s="198"/>
      <c r="M79" s="198"/>
      <c r="N79" s="200"/>
      <c r="O79" s="199">
        <f t="shared" si="35"/>
        <v>10080</v>
      </c>
      <c r="P79" s="211"/>
      <c r="Q79" s="229"/>
      <c r="R79" s="685" t="s">
        <v>314</v>
      </c>
    </row>
    <row r="80" spans="1:19" s="741" customFormat="1" ht="15" customHeight="1" x14ac:dyDescent="0.3">
      <c r="B80" s="237" t="s">
        <v>339</v>
      </c>
      <c r="C80" s="691" t="s">
        <v>13</v>
      </c>
      <c r="D80" s="748" t="s">
        <v>161</v>
      </c>
      <c r="E80" s="545">
        <v>600</v>
      </c>
      <c r="F80" s="545">
        <v>5</v>
      </c>
      <c r="G80" s="545">
        <v>1</v>
      </c>
      <c r="H80" s="198">
        <f t="shared" si="36"/>
        <v>3000</v>
      </c>
      <c r="I80" s="197"/>
      <c r="J80" s="198">
        <v>0</v>
      </c>
      <c r="K80" s="198">
        <v>0</v>
      </c>
      <c r="L80" s="198">
        <v>0</v>
      </c>
      <c r="M80" s="198">
        <f t="shared" si="37"/>
        <v>0</v>
      </c>
      <c r="N80" s="200"/>
      <c r="O80" s="199">
        <f t="shared" si="35"/>
        <v>3000</v>
      </c>
      <c r="P80" s="211"/>
      <c r="Q80" s="229"/>
      <c r="R80" s="685" t="s">
        <v>315</v>
      </c>
    </row>
    <row r="81" spans="1:18" s="741" customFormat="1" ht="15" customHeight="1" x14ac:dyDescent="0.3">
      <c r="B81" s="237" t="s">
        <v>340</v>
      </c>
      <c r="C81" s="691" t="s">
        <v>13</v>
      </c>
      <c r="D81" s="748" t="s">
        <v>161</v>
      </c>
      <c r="E81" s="545">
        <v>20</v>
      </c>
      <c r="F81" s="545">
        <v>75</v>
      </c>
      <c r="G81" s="545">
        <v>1</v>
      </c>
      <c r="H81" s="198">
        <f t="shared" si="36"/>
        <v>1500</v>
      </c>
      <c r="I81" s="197"/>
      <c r="J81" s="198">
        <v>0</v>
      </c>
      <c r="K81" s="198">
        <v>0</v>
      </c>
      <c r="L81" s="198">
        <v>0</v>
      </c>
      <c r="M81" s="198">
        <f t="shared" si="37"/>
        <v>0</v>
      </c>
      <c r="N81" s="200"/>
      <c r="O81" s="199">
        <f t="shared" si="35"/>
        <v>1500</v>
      </c>
      <c r="P81" s="211"/>
      <c r="Q81" s="229"/>
      <c r="R81" s="685" t="s">
        <v>316</v>
      </c>
    </row>
    <row r="82" spans="1:18" s="741" customFormat="1" ht="15" customHeight="1" x14ac:dyDescent="0.3">
      <c r="B82" s="237" t="s">
        <v>341</v>
      </c>
      <c r="C82" s="691" t="s">
        <v>13</v>
      </c>
      <c r="D82" s="748" t="s">
        <v>161</v>
      </c>
      <c r="E82" s="545">
        <v>20</v>
      </c>
      <c r="F82" s="545">
        <v>80</v>
      </c>
      <c r="G82" s="545">
        <v>1</v>
      </c>
      <c r="H82" s="198">
        <f t="shared" si="36"/>
        <v>1600</v>
      </c>
      <c r="I82" s="197"/>
      <c r="J82" s="198">
        <v>0</v>
      </c>
      <c r="K82" s="198">
        <v>0</v>
      </c>
      <c r="L82" s="198">
        <v>0</v>
      </c>
      <c r="M82" s="198">
        <f t="shared" si="37"/>
        <v>0</v>
      </c>
      <c r="N82" s="200"/>
      <c r="O82" s="199">
        <f t="shared" si="35"/>
        <v>1600</v>
      </c>
      <c r="P82" s="211"/>
      <c r="Q82" s="229"/>
      <c r="R82" s="685" t="s">
        <v>317</v>
      </c>
    </row>
    <row r="83" spans="1:18" s="741" customFormat="1" ht="15" customHeight="1" x14ac:dyDescent="0.3">
      <c r="B83" s="237" t="s">
        <v>342</v>
      </c>
      <c r="C83" s="691" t="s">
        <v>12</v>
      </c>
      <c r="D83" s="748" t="s">
        <v>161</v>
      </c>
      <c r="E83" s="545">
        <v>1</v>
      </c>
      <c r="F83" s="545">
        <v>750</v>
      </c>
      <c r="G83" s="545">
        <v>1</v>
      </c>
      <c r="H83" s="198">
        <f t="shared" si="36"/>
        <v>750</v>
      </c>
      <c r="I83" s="197"/>
      <c r="J83" s="198">
        <v>0</v>
      </c>
      <c r="K83" s="198">
        <v>0</v>
      </c>
      <c r="L83" s="198">
        <v>0</v>
      </c>
      <c r="M83" s="198">
        <f t="shared" si="37"/>
        <v>0</v>
      </c>
      <c r="N83" s="200"/>
      <c r="O83" s="199">
        <f t="shared" si="35"/>
        <v>750</v>
      </c>
      <c r="P83" s="211"/>
      <c r="Q83" s="229"/>
      <c r="R83" s="685" t="s">
        <v>318</v>
      </c>
    </row>
    <row r="84" spans="1:18" s="741" customFormat="1" ht="15" customHeight="1" x14ac:dyDescent="0.3">
      <c r="B84" s="237" t="s">
        <v>343</v>
      </c>
      <c r="C84" s="691" t="s">
        <v>14</v>
      </c>
      <c r="D84" s="748" t="s">
        <v>161</v>
      </c>
      <c r="E84" s="545">
        <v>1</v>
      </c>
      <c r="F84" s="545">
        <v>200</v>
      </c>
      <c r="G84" s="545">
        <v>1</v>
      </c>
      <c r="H84" s="198">
        <f t="shared" si="36"/>
        <v>200</v>
      </c>
      <c r="I84" s="197"/>
      <c r="J84" s="198">
        <v>0</v>
      </c>
      <c r="K84" s="198">
        <v>0</v>
      </c>
      <c r="L84" s="198">
        <v>0</v>
      </c>
      <c r="M84" s="198">
        <f t="shared" si="37"/>
        <v>0</v>
      </c>
      <c r="N84" s="200"/>
      <c r="O84" s="199">
        <f t="shared" si="35"/>
        <v>200</v>
      </c>
      <c r="P84" s="211"/>
      <c r="Q84" s="229"/>
      <c r="R84" s="685" t="s">
        <v>319</v>
      </c>
    </row>
    <row r="85" spans="1:18" s="741" customFormat="1" ht="15" customHeight="1" x14ac:dyDescent="0.3">
      <c r="B85" s="237" t="s">
        <v>344</v>
      </c>
      <c r="C85" s="666" t="s">
        <v>11</v>
      </c>
      <c r="D85" s="748" t="s">
        <v>161</v>
      </c>
      <c r="E85" s="545">
        <v>600</v>
      </c>
      <c r="F85" s="950">
        <v>2.5</v>
      </c>
      <c r="G85" s="545">
        <v>80</v>
      </c>
      <c r="H85" s="198">
        <f t="shared" si="36"/>
        <v>120000</v>
      </c>
      <c r="I85" s="197"/>
      <c r="J85" s="198">
        <v>0</v>
      </c>
      <c r="K85" s="198">
        <v>0</v>
      </c>
      <c r="L85" s="198">
        <v>0</v>
      </c>
      <c r="M85" s="198">
        <f t="shared" si="37"/>
        <v>0</v>
      </c>
      <c r="N85" s="200"/>
      <c r="O85" s="199">
        <f t="shared" si="35"/>
        <v>120000</v>
      </c>
      <c r="P85" s="211">
        <v>0.3</v>
      </c>
      <c r="Q85" s="229">
        <f t="shared" ref="Q85" si="42">P85*O85</f>
        <v>36000</v>
      </c>
      <c r="R85" s="685" t="s">
        <v>320</v>
      </c>
    </row>
    <row r="86" spans="1:18" s="741" customFormat="1" ht="15" customHeight="1" x14ac:dyDescent="0.3">
      <c r="B86" s="237" t="s">
        <v>345</v>
      </c>
      <c r="C86" s="691" t="s">
        <v>13</v>
      </c>
      <c r="D86" s="748" t="s">
        <v>161</v>
      </c>
      <c r="E86" s="545">
        <v>1</v>
      </c>
      <c r="F86" s="545">
        <v>80</v>
      </c>
      <c r="G86" s="545">
        <v>1</v>
      </c>
      <c r="H86" s="198">
        <f t="shared" si="36"/>
        <v>80</v>
      </c>
      <c r="I86" s="197"/>
      <c r="J86" s="198">
        <v>0</v>
      </c>
      <c r="K86" s="198">
        <v>0</v>
      </c>
      <c r="L86" s="198">
        <v>0</v>
      </c>
      <c r="M86" s="198">
        <f t="shared" si="37"/>
        <v>0</v>
      </c>
      <c r="N86" s="200"/>
      <c r="O86" s="199">
        <f t="shared" si="35"/>
        <v>80</v>
      </c>
      <c r="P86" s="211"/>
      <c r="Q86" s="229"/>
      <c r="R86" s="685" t="s">
        <v>321</v>
      </c>
    </row>
    <row r="87" spans="1:18" s="741" customFormat="1" ht="15" customHeight="1" x14ac:dyDescent="0.3">
      <c r="B87" s="237" t="s">
        <v>346</v>
      </c>
      <c r="C87" s="691" t="s">
        <v>12</v>
      </c>
      <c r="D87" s="748" t="s">
        <v>161</v>
      </c>
      <c r="E87" s="545">
        <v>5</v>
      </c>
      <c r="F87" s="545">
        <v>30</v>
      </c>
      <c r="G87" s="545">
        <v>2</v>
      </c>
      <c r="H87" s="198">
        <f t="shared" si="36"/>
        <v>300</v>
      </c>
      <c r="I87" s="197"/>
      <c r="J87" s="198">
        <v>0</v>
      </c>
      <c r="K87" s="198">
        <v>0</v>
      </c>
      <c r="L87" s="198">
        <v>0</v>
      </c>
      <c r="M87" s="198">
        <f t="shared" si="37"/>
        <v>0</v>
      </c>
      <c r="N87" s="200"/>
      <c r="O87" s="199">
        <f t="shared" si="35"/>
        <v>300</v>
      </c>
      <c r="P87" s="211"/>
      <c r="Q87" s="229"/>
      <c r="R87" s="685" t="s">
        <v>322</v>
      </c>
    </row>
    <row r="88" spans="1:18" s="683" customFormat="1" ht="15" customHeight="1" x14ac:dyDescent="0.3">
      <c r="A88" s="673"/>
      <c r="B88" s="800" t="s">
        <v>275</v>
      </c>
      <c r="C88" s="674"/>
      <c r="D88" s="529"/>
      <c r="E88" s="196"/>
      <c r="F88" s="196"/>
      <c r="G88" s="196"/>
      <c r="H88" s="742"/>
      <c r="I88" s="251"/>
      <c r="J88" s="196"/>
      <c r="K88" s="196"/>
      <c r="L88" s="196"/>
      <c r="M88" s="742"/>
      <c r="N88" s="252"/>
      <c r="O88" s="661">
        <f t="shared" ref="O88" si="43">H88+M88</f>
        <v>0</v>
      </c>
      <c r="P88" s="211"/>
      <c r="Q88" s="211"/>
      <c r="R88" s="531"/>
    </row>
    <row r="89" spans="1:18" s="700" customFormat="1" ht="15" customHeight="1" x14ac:dyDescent="0.3">
      <c r="B89" s="544" t="s">
        <v>276</v>
      </c>
      <c r="C89" s="698" t="s">
        <v>13</v>
      </c>
      <c r="D89" s="510" t="s">
        <v>108</v>
      </c>
      <c r="E89" s="544">
        <v>1</v>
      </c>
      <c r="F89" s="198">
        <v>4170</v>
      </c>
      <c r="G89" s="544">
        <v>1</v>
      </c>
      <c r="H89" s="659">
        <f>E89*F89*G89</f>
        <v>4170</v>
      </c>
      <c r="I89" s="583"/>
      <c r="J89" s="660"/>
      <c r="K89" s="659"/>
      <c r="L89" s="660"/>
      <c r="M89" s="659">
        <f>J89*K89*L89</f>
        <v>0</v>
      </c>
      <c r="N89" s="583"/>
      <c r="O89" s="661">
        <f>H89+M89</f>
        <v>4170</v>
      </c>
      <c r="P89" s="662">
        <v>0.3</v>
      </c>
      <c r="Q89" s="229">
        <f t="shared" ref="Q89:Q90" si="44">P89*O89</f>
        <v>1251</v>
      </c>
      <c r="R89" s="663" t="s">
        <v>111</v>
      </c>
    </row>
    <row r="90" spans="1:18" s="652" customFormat="1" ht="15" customHeight="1" x14ac:dyDescent="0.3">
      <c r="B90" s="544" t="s">
        <v>277</v>
      </c>
      <c r="C90" s="698" t="s">
        <v>13</v>
      </c>
      <c r="D90" s="510" t="s">
        <v>108</v>
      </c>
      <c r="E90" s="544">
        <v>1</v>
      </c>
      <c r="F90" s="198">
        <v>250</v>
      </c>
      <c r="G90" s="544">
        <v>12</v>
      </c>
      <c r="H90" s="659">
        <f>E90*F90*G90</f>
        <v>3000</v>
      </c>
      <c r="I90" s="583"/>
      <c r="J90" s="544">
        <v>1</v>
      </c>
      <c r="K90" s="743">
        <v>250</v>
      </c>
      <c r="L90" s="544">
        <v>6</v>
      </c>
      <c r="M90" s="659">
        <f>J90*K90*L90</f>
        <v>1500</v>
      </c>
      <c r="N90" s="583"/>
      <c r="O90" s="661">
        <f>H90+M90</f>
        <v>4500</v>
      </c>
      <c r="P90" s="662">
        <v>0.3</v>
      </c>
      <c r="Q90" s="229">
        <f t="shared" si="44"/>
        <v>1350</v>
      </c>
      <c r="R90" s="663" t="s">
        <v>169</v>
      </c>
    </row>
    <row r="91" spans="1:18" s="507" customFormat="1" ht="15" customHeight="1" x14ac:dyDescent="0.25">
      <c r="A91" s="714"/>
      <c r="B91" s="531" t="s">
        <v>374</v>
      </c>
      <c r="C91" s="666" t="s">
        <v>11</v>
      </c>
      <c r="D91" s="229" t="s">
        <v>70</v>
      </c>
      <c r="E91" s="198">
        <v>12</v>
      </c>
      <c r="F91" s="198">
        <v>1500</v>
      </c>
      <c r="G91" s="198">
        <v>1</v>
      </c>
      <c r="H91" s="198">
        <f t="shared" ref="H91:H92" si="45">E91*F91*G91</f>
        <v>18000</v>
      </c>
      <c r="I91" s="197"/>
      <c r="J91" s="198">
        <v>0</v>
      </c>
      <c r="K91" s="198">
        <v>0</v>
      </c>
      <c r="L91" s="198">
        <v>0</v>
      </c>
      <c r="M91" s="198">
        <f t="shared" ref="M91:M92" si="46">J91*K91*L91</f>
        <v>0</v>
      </c>
      <c r="N91" s="197"/>
      <c r="O91" s="221">
        <f t="shared" ref="O91" si="47">H91+M91</f>
        <v>18000</v>
      </c>
      <c r="P91" s="211">
        <v>0.3</v>
      </c>
      <c r="Q91" s="229">
        <f t="shared" ref="Q91:Q108" si="48">P91*O91</f>
        <v>5400</v>
      </c>
      <c r="R91" s="531" t="s">
        <v>355</v>
      </c>
    </row>
    <row r="92" spans="1:18" s="507" customFormat="1" ht="15" customHeight="1" x14ac:dyDescent="0.25">
      <c r="A92" s="714"/>
      <c r="B92" s="531" t="s">
        <v>375</v>
      </c>
      <c r="C92" s="666" t="s">
        <v>11</v>
      </c>
      <c r="D92" s="229" t="s">
        <v>70</v>
      </c>
      <c r="E92" s="198">
        <v>600</v>
      </c>
      <c r="F92" s="198">
        <v>92</v>
      </c>
      <c r="G92" s="198">
        <v>1</v>
      </c>
      <c r="H92" s="198">
        <f t="shared" si="45"/>
        <v>55200</v>
      </c>
      <c r="I92" s="197"/>
      <c r="J92" s="198">
        <v>600</v>
      </c>
      <c r="K92" s="198">
        <v>92</v>
      </c>
      <c r="L92" s="198">
        <v>1</v>
      </c>
      <c r="M92" s="198">
        <f t="shared" si="46"/>
        <v>55200</v>
      </c>
      <c r="N92" s="197"/>
      <c r="O92" s="221">
        <f>H92+M92</f>
        <v>110400</v>
      </c>
      <c r="P92" s="211">
        <v>0.3</v>
      </c>
      <c r="Q92" s="229">
        <f t="shared" si="48"/>
        <v>33120</v>
      </c>
      <c r="R92" s="531" t="s">
        <v>164</v>
      </c>
    </row>
    <row r="93" spans="1:18" s="683" customFormat="1" ht="15" customHeight="1" x14ac:dyDescent="0.3">
      <c r="A93" s="746"/>
      <c r="B93" s="535" t="s">
        <v>376</v>
      </c>
      <c r="C93" s="674"/>
      <c r="D93" s="529"/>
      <c r="E93" s="196"/>
      <c r="F93" s="196"/>
      <c r="G93" s="196"/>
      <c r="H93" s="742"/>
      <c r="I93" s="251"/>
      <c r="J93" s="196"/>
      <c r="K93" s="196"/>
      <c r="L93" s="196"/>
      <c r="M93" s="742"/>
      <c r="N93" s="252"/>
      <c r="O93" s="661">
        <f t="shared" ref="O93:O108" si="49">H93+M93</f>
        <v>0</v>
      </c>
      <c r="P93" s="211"/>
      <c r="Q93" s="229"/>
      <c r="R93" s="531"/>
    </row>
    <row r="94" spans="1:18" s="543" customFormat="1" ht="15" customHeight="1" x14ac:dyDescent="0.3">
      <c r="B94" s="544" t="s">
        <v>347</v>
      </c>
      <c r="C94" s="691" t="s">
        <v>13</v>
      </c>
      <c r="D94" s="510" t="s">
        <v>108</v>
      </c>
      <c r="E94" s="544">
        <v>1</v>
      </c>
      <c r="F94" s="747">
        <v>967.53</v>
      </c>
      <c r="G94" s="544">
        <v>20</v>
      </c>
      <c r="H94" s="659">
        <f t="shared" ref="H94:H108" si="50">E94*F94*G94</f>
        <v>19350.599999999999</v>
      </c>
      <c r="I94" s="583"/>
      <c r="J94" s="660"/>
      <c r="K94" s="660"/>
      <c r="L94" s="660"/>
      <c r="M94" s="659">
        <f t="shared" ref="M94:M108" si="51">J94*K94*L94</f>
        <v>0</v>
      </c>
      <c r="N94" s="583"/>
      <c r="O94" s="661">
        <f t="shared" si="49"/>
        <v>19350.599999999999</v>
      </c>
      <c r="P94" s="211">
        <v>0.3</v>
      </c>
      <c r="Q94" s="229">
        <f t="shared" si="48"/>
        <v>5805.1799999999994</v>
      </c>
      <c r="R94" s="663" t="s">
        <v>169</v>
      </c>
    </row>
    <row r="95" spans="1:18" s="652" customFormat="1" ht="15" customHeight="1" x14ac:dyDescent="0.3">
      <c r="B95" s="544" t="s">
        <v>278</v>
      </c>
      <c r="C95" s="698" t="s">
        <v>13</v>
      </c>
      <c r="D95" s="510" t="s">
        <v>108</v>
      </c>
      <c r="E95" s="544">
        <v>1</v>
      </c>
      <c r="F95" s="198">
        <v>2000</v>
      </c>
      <c r="G95" s="544">
        <v>2</v>
      </c>
      <c r="H95" s="659">
        <f t="shared" si="50"/>
        <v>4000</v>
      </c>
      <c r="I95" s="583"/>
      <c r="J95" s="660"/>
      <c r="K95" s="659"/>
      <c r="L95" s="660"/>
      <c r="M95" s="659">
        <f t="shared" si="51"/>
        <v>0</v>
      </c>
      <c r="N95" s="583"/>
      <c r="O95" s="661">
        <f t="shared" si="49"/>
        <v>4000</v>
      </c>
      <c r="P95" s="211">
        <v>0.3</v>
      </c>
      <c r="Q95" s="229">
        <f t="shared" si="48"/>
        <v>1200</v>
      </c>
      <c r="R95" s="663" t="s">
        <v>169</v>
      </c>
    </row>
    <row r="96" spans="1:18" s="652" customFormat="1" ht="15" customHeight="1" x14ac:dyDescent="0.3">
      <c r="B96" s="544" t="s">
        <v>279</v>
      </c>
      <c r="C96" s="698" t="s">
        <v>13</v>
      </c>
      <c r="D96" s="510" t="s">
        <v>108</v>
      </c>
      <c r="E96" s="544">
        <v>1</v>
      </c>
      <c r="F96" s="198">
        <v>350</v>
      </c>
      <c r="G96" s="544">
        <v>5</v>
      </c>
      <c r="H96" s="659">
        <f t="shared" si="50"/>
        <v>1750</v>
      </c>
      <c r="I96" s="583"/>
      <c r="J96" s="660"/>
      <c r="K96" s="659"/>
      <c r="L96" s="660"/>
      <c r="M96" s="659">
        <f t="shared" si="51"/>
        <v>0</v>
      </c>
      <c r="N96" s="583"/>
      <c r="O96" s="661">
        <f t="shared" si="49"/>
        <v>1750</v>
      </c>
      <c r="P96" s="211">
        <v>0.3</v>
      </c>
      <c r="Q96" s="229">
        <f t="shared" si="48"/>
        <v>525</v>
      </c>
      <c r="R96" s="663" t="s">
        <v>169</v>
      </c>
    </row>
    <row r="97" spans="1:18" s="652" customFormat="1" ht="15" customHeight="1" x14ac:dyDescent="0.3">
      <c r="B97" s="544" t="s">
        <v>280</v>
      </c>
      <c r="C97" s="698" t="s">
        <v>13</v>
      </c>
      <c r="D97" s="510" t="s">
        <v>108</v>
      </c>
      <c r="E97" s="544">
        <v>1</v>
      </c>
      <c r="F97" s="198">
        <v>6000</v>
      </c>
      <c r="G97" s="544">
        <v>5</v>
      </c>
      <c r="H97" s="659">
        <f t="shared" si="50"/>
        <v>30000</v>
      </c>
      <c r="I97" s="583"/>
      <c r="J97" s="660"/>
      <c r="K97" s="659"/>
      <c r="L97" s="660"/>
      <c r="M97" s="659">
        <f t="shared" si="51"/>
        <v>0</v>
      </c>
      <c r="N97" s="583"/>
      <c r="O97" s="661">
        <f t="shared" si="49"/>
        <v>30000</v>
      </c>
      <c r="P97" s="211">
        <v>0.3</v>
      </c>
      <c r="Q97" s="229">
        <f t="shared" si="48"/>
        <v>9000</v>
      </c>
      <c r="R97" s="663" t="s">
        <v>169</v>
      </c>
    </row>
    <row r="98" spans="1:18" s="652" customFormat="1" ht="15" customHeight="1" x14ac:dyDescent="0.3">
      <c r="B98" s="544" t="s">
        <v>281</v>
      </c>
      <c r="C98" s="698" t="s">
        <v>13</v>
      </c>
      <c r="D98" s="510" t="s">
        <v>108</v>
      </c>
      <c r="E98" s="544">
        <v>1</v>
      </c>
      <c r="F98" s="198">
        <v>6000</v>
      </c>
      <c r="G98" s="544">
        <v>5</v>
      </c>
      <c r="H98" s="659">
        <f t="shared" si="50"/>
        <v>30000</v>
      </c>
      <c r="I98" s="583"/>
      <c r="J98" s="660"/>
      <c r="K98" s="659"/>
      <c r="L98" s="660"/>
      <c r="M98" s="659">
        <f t="shared" si="51"/>
        <v>0</v>
      </c>
      <c r="N98" s="583"/>
      <c r="O98" s="661">
        <f t="shared" si="49"/>
        <v>30000</v>
      </c>
      <c r="P98" s="211">
        <v>0.3</v>
      </c>
      <c r="Q98" s="229">
        <f t="shared" si="48"/>
        <v>9000</v>
      </c>
      <c r="R98" s="663" t="s">
        <v>169</v>
      </c>
    </row>
    <row r="99" spans="1:18" s="652" customFormat="1" ht="15" customHeight="1" x14ac:dyDescent="0.3">
      <c r="B99" s="544" t="s">
        <v>282</v>
      </c>
      <c r="C99" s="698" t="s">
        <v>13</v>
      </c>
      <c r="D99" s="510" t="s">
        <v>108</v>
      </c>
      <c r="E99" s="544">
        <v>1</v>
      </c>
      <c r="F99" s="198">
        <v>750</v>
      </c>
      <c r="G99" s="544">
        <v>5</v>
      </c>
      <c r="H99" s="659">
        <f t="shared" si="50"/>
        <v>3750</v>
      </c>
      <c r="I99" s="583"/>
      <c r="J99" s="660"/>
      <c r="K99" s="659"/>
      <c r="L99" s="660"/>
      <c r="M99" s="659">
        <f t="shared" si="51"/>
        <v>0</v>
      </c>
      <c r="N99" s="583"/>
      <c r="O99" s="661">
        <f t="shared" si="49"/>
        <v>3750</v>
      </c>
      <c r="P99" s="211">
        <v>0.3</v>
      </c>
      <c r="Q99" s="229">
        <f t="shared" si="48"/>
        <v>1125</v>
      </c>
      <c r="R99" s="663" t="s">
        <v>169</v>
      </c>
    </row>
    <row r="100" spans="1:18" s="652" customFormat="1" ht="15" customHeight="1" x14ac:dyDescent="0.3">
      <c r="B100" s="544" t="s">
        <v>283</v>
      </c>
      <c r="C100" s="698" t="s">
        <v>13</v>
      </c>
      <c r="D100" s="510" t="s">
        <v>108</v>
      </c>
      <c r="E100" s="544">
        <v>1</v>
      </c>
      <c r="F100" s="198">
        <v>100</v>
      </c>
      <c r="G100" s="544">
        <v>5</v>
      </c>
      <c r="H100" s="659">
        <f t="shared" si="50"/>
        <v>500</v>
      </c>
      <c r="I100" s="583"/>
      <c r="J100" s="660"/>
      <c r="K100" s="659"/>
      <c r="L100" s="660"/>
      <c r="M100" s="659">
        <f t="shared" si="51"/>
        <v>0</v>
      </c>
      <c r="N100" s="583"/>
      <c r="O100" s="661">
        <f t="shared" si="49"/>
        <v>500</v>
      </c>
      <c r="P100" s="211">
        <v>0.3</v>
      </c>
      <c r="Q100" s="229">
        <f t="shared" si="48"/>
        <v>150</v>
      </c>
      <c r="R100" s="663" t="s">
        <v>169</v>
      </c>
    </row>
    <row r="101" spans="1:18" s="652" customFormat="1" ht="15" customHeight="1" x14ac:dyDescent="0.3">
      <c r="B101" s="544" t="s">
        <v>284</v>
      </c>
      <c r="C101" s="698" t="s">
        <v>13</v>
      </c>
      <c r="D101" s="510" t="s">
        <v>108</v>
      </c>
      <c r="E101" s="544">
        <v>1</v>
      </c>
      <c r="F101" s="198">
        <v>600</v>
      </c>
      <c r="G101" s="544">
        <v>5</v>
      </c>
      <c r="H101" s="659">
        <f t="shared" si="50"/>
        <v>3000</v>
      </c>
      <c r="I101" s="583"/>
      <c r="J101" s="660"/>
      <c r="K101" s="659"/>
      <c r="L101" s="660"/>
      <c r="M101" s="659">
        <f t="shared" si="51"/>
        <v>0</v>
      </c>
      <c r="N101" s="583"/>
      <c r="O101" s="661">
        <f t="shared" si="49"/>
        <v>3000</v>
      </c>
      <c r="P101" s="211">
        <v>0.3</v>
      </c>
      <c r="Q101" s="229">
        <f t="shared" si="48"/>
        <v>900</v>
      </c>
      <c r="R101" s="663" t="s">
        <v>169</v>
      </c>
    </row>
    <row r="102" spans="1:18" s="652" customFormat="1" ht="15" customHeight="1" x14ac:dyDescent="0.3">
      <c r="B102" s="544" t="s">
        <v>285</v>
      </c>
      <c r="C102" s="698" t="s">
        <v>13</v>
      </c>
      <c r="D102" s="510" t="s">
        <v>108</v>
      </c>
      <c r="E102" s="544">
        <v>1</v>
      </c>
      <c r="F102" s="198">
        <v>500</v>
      </c>
      <c r="G102" s="544">
        <v>20</v>
      </c>
      <c r="H102" s="659">
        <f t="shared" si="50"/>
        <v>10000</v>
      </c>
      <c r="I102" s="583"/>
      <c r="J102" s="660"/>
      <c r="K102" s="659"/>
      <c r="L102" s="660"/>
      <c r="M102" s="659">
        <f t="shared" si="51"/>
        <v>0</v>
      </c>
      <c r="N102" s="583"/>
      <c r="O102" s="661">
        <f t="shared" si="49"/>
        <v>10000</v>
      </c>
      <c r="P102" s="211">
        <v>0.3</v>
      </c>
      <c r="Q102" s="229">
        <f t="shared" si="48"/>
        <v>3000</v>
      </c>
      <c r="R102" s="663" t="s">
        <v>169</v>
      </c>
    </row>
    <row r="103" spans="1:18" s="652" customFormat="1" ht="15" customHeight="1" x14ac:dyDescent="0.3">
      <c r="B103" s="544" t="s">
        <v>286</v>
      </c>
      <c r="C103" s="698" t="s">
        <v>13</v>
      </c>
      <c r="D103" s="510" t="s">
        <v>108</v>
      </c>
      <c r="E103" s="544">
        <v>1</v>
      </c>
      <c r="F103" s="198">
        <v>50</v>
      </c>
      <c r="G103" s="544">
        <v>20</v>
      </c>
      <c r="H103" s="659">
        <f t="shared" si="50"/>
        <v>1000</v>
      </c>
      <c r="I103" s="583"/>
      <c r="J103" s="660"/>
      <c r="K103" s="659"/>
      <c r="L103" s="660"/>
      <c r="M103" s="659">
        <f t="shared" si="51"/>
        <v>0</v>
      </c>
      <c r="N103" s="583"/>
      <c r="O103" s="661">
        <f t="shared" si="49"/>
        <v>1000</v>
      </c>
      <c r="P103" s="211">
        <v>0.3</v>
      </c>
      <c r="Q103" s="229">
        <f t="shared" si="48"/>
        <v>300</v>
      </c>
      <c r="R103" s="663" t="s">
        <v>169</v>
      </c>
    </row>
    <row r="104" spans="1:18" s="652" customFormat="1" ht="15" customHeight="1" x14ac:dyDescent="0.3">
      <c r="B104" s="544" t="s">
        <v>287</v>
      </c>
      <c r="C104" s="698" t="s">
        <v>13</v>
      </c>
      <c r="D104" s="510" t="s">
        <v>108</v>
      </c>
      <c r="E104" s="544">
        <v>240</v>
      </c>
      <c r="F104" s="198">
        <v>12</v>
      </c>
      <c r="G104" s="544">
        <v>1</v>
      </c>
      <c r="H104" s="659">
        <f t="shared" si="50"/>
        <v>2880</v>
      </c>
      <c r="I104" s="583"/>
      <c r="J104" s="660"/>
      <c r="K104" s="659"/>
      <c r="L104" s="660"/>
      <c r="M104" s="659">
        <f t="shared" si="51"/>
        <v>0</v>
      </c>
      <c r="N104" s="583"/>
      <c r="O104" s="661">
        <f t="shared" si="49"/>
        <v>2880</v>
      </c>
      <c r="P104" s="211">
        <v>0.3</v>
      </c>
      <c r="Q104" s="229">
        <f t="shared" si="48"/>
        <v>864</v>
      </c>
      <c r="R104" s="663" t="s">
        <v>169</v>
      </c>
    </row>
    <row r="105" spans="1:18" s="652" customFormat="1" ht="15" customHeight="1" x14ac:dyDescent="0.3">
      <c r="B105" s="544" t="s">
        <v>288</v>
      </c>
      <c r="C105" s="698" t="s">
        <v>13</v>
      </c>
      <c r="D105" s="510" t="s">
        <v>108</v>
      </c>
      <c r="E105" s="544">
        <v>1</v>
      </c>
      <c r="F105" s="198">
        <v>300</v>
      </c>
      <c r="G105" s="544">
        <v>20</v>
      </c>
      <c r="H105" s="659">
        <f t="shared" si="50"/>
        <v>6000</v>
      </c>
      <c r="I105" s="583"/>
      <c r="J105" s="660"/>
      <c r="K105" s="659"/>
      <c r="L105" s="660"/>
      <c r="M105" s="659">
        <f t="shared" si="51"/>
        <v>0</v>
      </c>
      <c r="N105" s="583"/>
      <c r="O105" s="661">
        <f t="shared" si="49"/>
        <v>6000</v>
      </c>
      <c r="P105" s="211">
        <v>0.3</v>
      </c>
      <c r="Q105" s="229">
        <f t="shared" si="48"/>
        <v>1800</v>
      </c>
      <c r="R105" s="663" t="s">
        <v>169</v>
      </c>
    </row>
    <row r="106" spans="1:18" s="652" customFormat="1" ht="15" customHeight="1" x14ac:dyDescent="0.3">
      <c r="B106" s="544" t="s">
        <v>289</v>
      </c>
      <c r="C106" s="698" t="s">
        <v>13</v>
      </c>
      <c r="D106" s="510" t="s">
        <v>108</v>
      </c>
      <c r="E106" s="544">
        <v>1</v>
      </c>
      <c r="F106" s="198">
        <v>4500</v>
      </c>
      <c r="G106" s="544">
        <v>5</v>
      </c>
      <c r="H106" s="659">
        <f t="shared" si="50"/>
        <v>22500</v>
      </c>
      <c r="I106" s="583"/>
      <c r="J106" s="660"/>
      <c r="K106" s="659"/>
      <c r="L106" s="660"/>
      <c r="M106" s="659">
        <f t="shared" si="51"/>
        <v>0</v>
      </c>
      <c r="N106" s="583"/>
      <c r="O106" s="661">
        <f t="shared" si="49"/>
        <v>22500</v>
      </c>
      <c r="P106" s="211">
        <v>0.3</v>
      </c>
      <c r="Q106" s="229">
        <f t="shared" si="48"/>
        <v>6750</v>
      </c>
      <c r="R106" s="663" t="s">
        <v>169</v>
      </c>
    </row>
    <row r="107" spans="1:18" s="652" customFormat="1" ht="15" customHeight="1" x14ac:dyDescent="0.3">
      <c r="B107" s="544" t="s">
        <v>290</v>
      </c>
      <c r="C107" s="698" t="s">
        <v>13</v>
      </c>
      <c r="D107" s="510" t="s">
        <v>108</v>
      </c>
      <c r="E107" s="544">
        <v>1</v>
      </c>
      <c r="F107" s="198">
        <v>250</v>
      </c>
      <c r="G107" s="544">
        <v>25</v>
      </c>
      <c r="H107" s="659">
        <f t="shared" si="50"/>
        <v>6250</v>
      </c>
      <c r="I107" s="583"/>
      <c r="J107" s="660"/>
      <c r="K107" s="659"/>
      <c r="L107" s="660"/>
      <c r="M107" s="659">
        <f t="shared" si="51"/>
        <v>0</v>
      </c>
      <c r="N107" s="583"/>
      <c r="O107" s="661">
        <f t="shared" si="49"/>
        <v>6250</v>
      </c>
      <c r="P107" s="211">
        <v>0.3</v>
      </c>
      <c r="Q107" s="229">
        <f t="shared" si="48"/>
        <v>1875</v>
      </c>
      <c r="R107" s="663" t="s">
        <v>169</v>
      </c>
    </row>
    <row r="108" spans="1:18" s="700" customFormat="1" ht="15" customHeight="1" x14ac:dyDescent="0.3">
      <c r="B108" s="544" t="s">
        <v>291</v>
      </c>
      <c r="C108" s="698" t="s">
        <v>13</v>
      </c>
      <c r="D108" s="510" t="s">
        <v>108</v>
      </c>
      <c r="E108" s="544">
        <v>1</v>
      </c>
      <c r="F108" s="198">
        <v>1000</v>
      </c>
      <c r="G108" s="544">
        <v>1</v>
      </c>
      <c r="H108" s="659">
        <f t="shared" si="50"/>
        <v>1000</v>
      </c>
      <c r="I108" s="583"/>
      <c r="J108" s="544"/>
      <c r="K108" s="743"/>
      <c r="L108" s="544"/>
      <c r="M108" s="659">
        <f t="shared" si="51"/>
        <v>0</v>
      </c>
      <c r="N108" s="583"/>
      <c r="O108" s="661">
        <f t="shared" si="49"/>
        <v>1000</v>
      </c>
      <c r="P108" s="211">
        <v>0.3</v>
      </c>
      <c r="Q108" s="229">
        <f t="shared" si="48"/>
        <v>300</v>
      </c>
      <c r="R108" s="663" t="s">
        <v>169</v>
      </c>
    </row>
    <row r="109" spans="1:18" s="733" customFormat="1" ht="15" customHeight="1" x14ac:dyDescent="0.3">
      <c r="A109" s="697"/>
      <c r="B109" s="260" t="s">
        <v>377</v>
      </c>
      <c r="C109" s="494"/>
      <c r="D109" s="688"/>
      <c r="E109" s="255"/>
      <c r="F109" s="255"/>
      <c r="G109" s="255"/>
      <c r="H109" s="255"/>
      <c r="I109" s="251"/>
      <c r="J109" s="255"/>
      <c r="K109" s="255"/>
      <c r="L109" s="255"/>
      <c r="M109" s="255"/>
      <c r="N109" s="252"/>
      <c r="O109" s="572"/>
      <c r="P109" s="257"/>
      <c r="Q109" s="257"/>
      <c r="R109" s="258"/>
    </row>
    <row r="110" spans="1:18" s="507" customFormat="1" ht="15" customHeight="1" x14ac:dyDescent="0.3">
      <c r="A110" s="655"/>
      <c r="B110" s="531" t="s">
        <v>378</v>
      </c>
      <c r="C110" s="691" t="s">
        <v>12</v>
      </c>
      <c r="D110" s="229" t="s">
        <v>70</v>
      </c>
      <c r="E110" s="198">
        <v>1</v>
      </c>
      <c r="F110" s="198">
        <v>3000</v>
      </c>
      <c r="G110" s="198">
        <v>1</v>
      </c>
      <c r="H110" s="198">
        <f t="shared" ref="H110:H112" si="52">E110*F110*G110</f>
        <v>3000</v>
      </c>
      <c r="I110" s="197"/>
      <c r="J110" s="198">
        <v>1</v>
      </c>
      <c r="K110" s="198">
        <v>3000</v>
      </c>
      <c r="L110" s="198">
        <v>6</v>
      </c>
      <c r="M110" s="198">
        <f t="shared" ref="M110:M112" si="53">J110*K110*L110</f>
        <v>18000</v>
      </c>
      <c r="N110" s="197"/>
      <c r="O110" s="221">
        <f t="shared" ref="O110:O112" si="54">H110+M110</f>
        <v>21000</v>
      </c>
      <c r="P110" s="662">
        <v>0.3</v>
      </c>
      <c r="Q110" s="229">
        <f t="shared" ref="Q110:Q111" si="55">P110*O110</f>
        <v>6300</v>
      </c>
      <c r="R110" s="531" t="s">
        <v>258</v>
      </c>
    </row>
    <row r="111" spans="1:18" s="507" customFormat="1" ht="15" customHeight="1" x14ac:dyDescent="0.3">
      <c r="A111" s="714"/>
      <c r="B111" s="531" t="s">
        <v>378</v>
      </c>
      <c r="C111" s="691" t="s">
        <v>12</v>
      </c>
      <c r="D111" s="229" t="s">
        <v>161</v>
      </c>
      <c r="E111" s="545">
        <v>1</v>
      </c>
      <c r="F111" s="545">
        <v>3000</v>
      </c>
      <c r="G111" s="545">
        <v>1</v>
      </c>
      <c r="H111" s="198">
        <f t="shared" si="52"/>
        <v>3000</v>
      </c>
      <c r="I111" s="197"/>
      <c r="J111" s="545">
        <v>1</v>
      </c>
      <c r="K111" s="545">
        <v>3000</v>
      </c>
      <c r="L111" s="545">
        <v>6</v>
      </c>
      <c r="M111" s="198">
        <f t="shared" si="53"/>
        <v>18000</v>
      </c>
      <c r="N111" s="197"/>
      <c r="O111" s="221">
        <f t="shared" si="54"/>
        <v>21000</v>
      </c>
      <c r="P111" s="662">
        <v>0.3</v>
      </c>
      <c r="Q111" s="229">
        <f t="shared" si="55"/>
        <v>6300</v>
      </c>
      <c r="R111" s="685" t="s">
        <v>323</v>
      </c>
    </row>
    <row r="112" spans="1:18" s="741" customFormat="1" ht="15" customHeight="1" x14ac:dyDescent="0.3">
      <c r="B112" s="237" t="s">
        <v>324</v>
      </c>
      <c r="C112" s="691" t="s">
        <v>12</v>
      </c>
      <c r="D112" s="229" t="s">
        <v>161</v>
      </c>
      <c r="E112" s="545">
        <v>6</v>
      </c>
      <c r="F112" s="545">
        <v>30</v>
      </c>
      <c r="G112" s="545">
        <v>14</v>
      </c>
      <c r="H112" s="198">
        <f t="shared" si="52"/>
        <v>2520</v>
      </c>
      <c r="I112" s="197"/>
      <c r="J112" s="198">
        <v>30</v>
      </c>
      <c r="K112" s="198">
        <v>30</v>
      </c>
      <c r="L112" s="198">
        <v>14</v>
      </c>
      <c r="M112" s="198">
        <f t="shared" si="53"/>
        <v>12600</v>
      </c>
      <c r="N112" s="200"/>
      <c r="O112" s="199">
        <f t="shared" si="54"/>
        <v>15120</v>
      </c>
      <c r="P112" s="211"/>
      <c r="Q112" s="229"/>
      <c r="R112" s="685" t="s">
        <v>325</v>
      </c>
    </row>
    <row r="113" spans="1:18" s="543" customFormat="1" ht="15" customHeight="1" x14ac:dyDescent="0.3">
      <c r="B113" s="544" t="s">
        <v>379</v>
      </c>
      <c r="C113" s="658"/>
      <c r="D113" s="748"/>
      <c r="E113" s="749"/>
      <c r="F113" s="545"/>
      <c r="G113" s="749"/>
      <c r="H113" s="659"/>
      <c r="I113" s="167"/>
      <c r="J113" s="660"/>
      <c r="K113" s="659"/>
      <c r="L113" s="660"/>
      <c r="M113" s="659"/>
      <c r="N113" s="167"/>
      <c r="O113" s="661"/>
      <c r="P113" s="662"/>
      <c r="Q113" s="663"/>
      <c r="R113" s="663" t="s">
        <v>115</v>
      </c>
    </row>
    <row r="114" spans="1:18" s="543" customFormat="1" ht="15" customHeight="1" x14ac:dyDescent="0.3">
      <c r="B114" s="544" t="s">
        <v>292</v>
      </c>
      <c r="C114" s="691" t="s">
        <v>13</v>
      </c>
      <c r="D114" s="510" t="s">
        <v>108</v>
      </c>
      <c r="E114" s="544">
        <v>1</v>
      </c>
      <c r="F114" s="198">
        <v>5600</v>
      </c>
      <c r="G114" s="544">
        <v>1</v>
      </c>
      <c r="H114" s="659">
        <f>E114*F114*G114</f>
        <v>5600</v>
      </c>
      <c r="I114" s="583"/>
      <c r="J114" s="660">
        <v>1</v>
      </c>
      <c r="K114" s="659">
        <v>2100</v>
      </c>
      <c r="L114" s="660">
        <v>1</v>
      </c>
      <c r="M114" s="659">
        <f t="shared" ref="M114:M124" si="56">J114*K114*L114</f>
        <v>2100</v>
      </c>
      <c r="N114" s="583"/>
      <c r="O114" s="661">
        <f t="shared" ref="O114:O124" si="57">H114+M114</f>
        <v>7700</v>
      </c>
      <c r="P114" s="662">
        <v>0.3</v>
      </c>
      <c r="Q114" s="229">
        <f t="shared" ref="Q114:Q117" si="58">P114*O114</f>
        <v>2310</v>
      </c>
      <c r="R114" s="663" t="s">
        <v>172</v>
      </c>
    </row>
    <row r="115" spans="1:18" s="750" customFormat="1" ht="15" customHeight="1" x14ac:dyDescent="0.3">
      <c r="B115" s="544" t="s">
        <v>293</v>
      </c>
      <c r="C115" s="691" t="s">
        <v>13</v>
      </c>
      <c r="D115" s="510" t="s">
        <v>108</v>
      </c>
      <c r="E115" s="544">
        <v>1</v>
      </c>
      <c r="F115" s="198">
        <v>4320</v>
      </c>
      <c r="G115" s="544">
        <v>1</v>
      </c>
      <c r="H115" s="659">
        <f t="shared" ref="H115:H117" si="59">E115*F115*G115</f>
        <v>4320</v>
      </c>
      <c r="I115" s="583"/>
      <c r="J115" s="660">
        <v>1</v>
      </c>
      <c r="K115" s="659">
        <v>2160</v>
      </c>
      <c r="L115" s="660">
        <v>1</v>
      </c>
      <c r="M115" s="659">
        <f t="shared" si="56"/>
        <v>2160</v>
      </c>
      <c r="N115" s="583"/>
      <c r="O115" s="661">
        <f t="shared" si="57"/>
        <v>6480</v>
      </c>
      <c r="P115" s="662">
        <v>0.3</v>
      </c>
      <c r="Q115" s="229">
        <f t="shared" si="58"/>
        <v>1944</v>
      </c>
      <c r="R115" s="663" t="s">
        <v>173</v>
      </c>
    </row>
    <row r="116" spans="1:18" s="543" customFormat="1" ht="15" customHeight="1" x14ac:dyDescent="0.3">
      <c r="B116" s="544" t="s">
        <v>294</v>
      </c>
      <c r="C116" s="691" t="s">
        <v>13</v>
      </c>
      <c r="D116" s="510" t="s">
        <v>108</v>
      </c>
      <c r="E116" s="544">
        <v>1</v>
      </c>
      <c r="F116" s="198">
        <v>3608</v>
      </c>
      <c r="G116" s="544">
        <v>1</v>
      </c>
      <c r="H116" s="659">
        <f t="shared" si="59"/>
        <v>3608</v>
      </c>
      <c r="I116" s="583"/>
      <c r="J116" s="660"/>
      <c r="K116" s="659"/>
      <c r="L116" s="660"/>
      <c r="M116" s="659"/>
      <c r="N116" s="583"/>
      <c r="O116" s="661">
        <f t="shared" si="57"/>
        <v>3608</v>
      </c>
      <c r="P116" s="662">
        <v>0.3</v>
      </c>
      <c r="Q116" s="229">
        <f t="shared" si="58"/>
        <v>1082.3999999999999</v>
      </c>
      <c r="R116" s="663"/>
    </row>
    <row r="117" spans="1:18" s="750" customFormat="1" ht="15" customHeight="1" x14ac:dyDescent="0.3">
      <c r="B117" s="544" t="s">
        <v>295</v>
      </c>
      <c r="C117" s="691" t="s">
        <v>13</v>
      </c>
      <c r="D117" s="510" t="s">
        <v>108</v>
      </c>
      <c r="E117" s="544">
        <v>1</v>
      </c>
      <c r="F117" s="198">
        <v>4320</v>
      </c>
      <c r="G117" s="544">
        <v>1</v>
      </c>
      <c r="H117" s="659">
        <f t="shared" si="59"/>
        <v>4320</v>
      </c>
      <c r="I117" s="583"/>
      <c r="J117" s="660">
        <v>1</v>
      </c>
      <c r="K117" s="659">
        <v>2160</v>
      </c>
      <c r="L117" s="660">
        <v>1</v>
      </c>
      <c r="M117" s="659">
        <f t="shared" si="56"/>
        <v>2160</v>
      </c>
      <c r="N117" s="583"/>
      <c r="O117" s="661">
        <f t="shared" si="57"/>
        <v>6480</v>
      </c>
      <c r="P117" s="662">
        <v>0.3</v>
      </c>
      <c r="Q117" s="229">
        <f t="shared" si="58"/>
        <v>1944</v>
      </c>
      <c r="R117" s="663" t="s">
        <v>116</v>
      </c>
    </row>
    <row r="118" spans="1:18" s="543" customFormat="1" ht="15" customHeight="1" x14ac:dyDescent="0.3">
      <c r="B118" s="544" t="s">
        <v>296</v>
      </c>
      <c r="C118" s="691"/>
      <c r="D118" s="510"/>
      <c r="E118" s="544"/>
      <c r="F118" s="198"/>
      <c r="G118" s="544"/>
      <c r="H118" s="659"/>
      <c r="I118" s="583"/>
      <c r="J118" s="660"/>
      <c r="K118" s="659"/>
      <c r="L118" s="660"/>
      <c r="M118" s="659"/>
      <c r="N118" s="583"/>
      <c r="O118" s="661"/>
      <c r="P118" s="662"/>
      <c r="Q118" s="663"/>
      <c r="R118" s="663"/>
    </row>
    <row r="119" spans="1:18" s="750" customFormat="1" ht="15" customHeight="1" x14ac:dyDescent="0.3">
      <c r="B119" s="544" t="s">
        <v>356</v>
      </c>
      <c r="C119" s="691" t="s">
        <v>13</v>
      </c>
      <c r="D119" s="510" t="s">
        <v>108</v>
      </c>
      <c r="E119" s="544">
        <v>1</v>
      </c>
      <c r="F119" s="198">
        <v>5174</v>
      </c>
      <c r="G119" s="544">
        <v>1</v>
      </c>
      <c r="H119" s="659">
        <f t="shared" ref="H119:H124" si="60">E119*F119*G119</f>
        <v>5174</v>
      </c>
      <c r="I119" s="583"/>
      <c r="J119" s="660">
        <v>1</v>
      </c>
      <c r="K119" s="659">
        <v>3774</v>
      </c>
      <c r="L119" s="660">
        <v>1</v>
      </c>
      <c r="M119" s="659">
        <f t="shared" si="56"/>
        <v>3774</v>
      </c>
      <c r="N119" s="583"/>
      <c r="O119" s="661">
        <f t="shared" si="57"/>
        <v>8948</v>
      </c>
      <c r="P119" s="662">
        <v>0.3</v>
      </c>
      <c r="Q119" s="229">
        <f t="shared" ref="Q119:Q123" si="61">P119*O119</f>
        <v>2684.4</v>
      </c>
      <c r="R119" s="663" t="s">
        <v>117</v>
      </c>
    </row>
    <row r="120" spans="1:18" s="750" customFormat="1" ht="15" customHeight="1" x14ac:dyDescent="0.3">
      <c r="B120" s="544" t="s">
        <v>357</v>
      </c>
      <c r="C120" s="691" t="s">
        <v>13</v>
      </c>
      <c r="D120" s="510" t="s">
        <v>108</v>
      </c>
      <c r="E120" s="544">
        <v>1</v>
      </c>
      <c r="F120" s="198">
        <v>8540</v>
      </c>
      <c r="G120" s="544">
        <v>1</v>
      </c>
      <c r="H120" s="659">
        <f t="shared" si="60"/>
        <v>8540</v>
      </c>
      <c r="I120" s="583"/>
      <c r="J120" s="660">
        <v>1</v>
      </c>
      <c r="K120" s="659">
        <v>4270</v>
      </c>
      <c r="L120" s="660">
        <v>1</v>
      </c>
      <c r="M120" s="659">
        <f t="shared" si="56"/>
        <v>4270</v>
      </c>
      <c r="N120" s="583"/>
      <c r="O120" s="661">
        <f t="shared" si="57"/>
        <v>12810</v>
      </c>
      <c r="P120" s="662">
        <v>0.3</v>
      </c>
      <c r="Q120" s="229">
        <f t="shared" si="61"/>
        <v>3843</v>
      </c>
      <c r="R120" s="663" t="s">
        <v>111</v>
      </c>
    </row>
    <row r="121" spans="1:18" s="750" customFormat="1" ht="15" customHeight="1" x14ac:dyDescent="0.3">
      <c r="B121" s="544" t="s">
        <v>358</v>
      </c>
      <c r="C121" s="691" t="s">
        <v>13</v>
      </c>
      <c r="D121" s="510" t="s">
        <v>108</v>
      </c>
      <c r="E121" s="544">
        <v>1</v>
      </c>
      <c r="F121" s="198">
        <v>8340</v>
      </c>
      <c r="G121" s="544">
        <v>1</v>
      </c>
      <c r="H121" s="659">
        <f t="shared" si="60"/>
        <v>8340</v>
      </c>
      <c r="I121" s="583"/>
      <c r="J121" s="660">
        <v>1</v>
      </c>
      <c r="K121" s="659">
        <v>4170</v>
      </c>
      <c r="L121" s="660">
        <v>1</v>
      </c>
      <c r="M121" s="659">
        <f t="shared" si="56"/>
        <v>4170</v>
      </c>
      <c r="N121" s="583"/>
      <c r="O121" s="661">
        <f t="shared" si="57"/>
        <v>12510</v>
      </c>
      <c r="P121" s="662">
        <v>0.3</v>
      </c>
      <c r="Q121" s="229">
        <f t="shared" si="61"/>
        <v>3753</v>
      </c>
      <c r="R121" s="663" t="s">
        <v>111</v>
      </c>
    </row>
    <row r="122" spans="1:18" s="750" customFormat="1" ht="15" customHeight="1" x14ac:dyDescent="0.3">
      <c r="B122" s="544" t="s">
        <v>118</v>
      </c>
      <c r="C122" s="691" t="s">
        <v>13</v>
      </c>
      <c r="D122" s="510" t="s">
        <v>108</v>
      </c>
      <c r="E122" s="544">
        <v>1</v>
      </c>
      <c r="F122" s="198">
        <v>800</v>
      </c>
      <c r="G122" s="544">
        <v>12</v>
      </c>
      <c r="H122" s="659">
        <f t="shared" si="60"/>
        <v>9600</v>
      </c>
      <c r="I122" s="583"/>
      <c r="J122" s="660">
        <v>1</v>
      </c>
      <c r="K122" s="659">
        <f>F122*1.03</f>
        <v>824</v>
      </c>
      <c r="L122" s="660">
        <v>6</v>
      </c>
      <c r="M122" s="659">
        <f t="shared" si="56"/>
        <v>4944</v>
      </c>
      <c r="N122" s="583"/>
      <c r="O122" s="661">
        <f t="shared" si="57"/>
        <v>14544</v>
      </c>
      <c r="P122" s="662">
        <v>0.3</v>
      </c>
      <c r="Q122" s="229">
        <f t="shared" si="61"/>
        <v>4363.2</v>
      </c>
      <c r="R122" s="663" t="s">
        <v>119</v>
      </c>
    </row>
    <row r="123" spans="1:18" s="750" customFormat="1" ht="15" customHeight="1" x14ac:dyDescent="0.3">
      <c r="B123" s="544" t="s">
        <v>120</v>
      </c>
      <c r="C123" s="691" t="s">
        <v>13</v>
      </c>
      <c r="D123" s="510" t="s">
        <v>108</v>
      </c>
      <c r="E123" s="544">
        <v>4</v>
      </c>
      <c r="F123" s="198">
        <v>300</v>
      </c>
      <c r="G123" s="544">
        <v>12</v>
      </c>
      <c r="H123" s="659">
        <f t="shared" si="60"/>
        <v>14400</v>
      </c>
      <c r="I123" s="583"/>
      <c r="J123" s="660">
        <v>4</v>
      </c>
      <c r="K123" s="659">
        <f>300*1.03</f>
        <v>309</v>
      </c>
      <c r="L123" s="660">
        <v>6</v>
      </c>
      <c r="M123" s="659">
        <f t="shared" si="56"/>
        <v>7416</v>
      </c>
      <c r="N123" s="583"/>
      <c r="O123" s="661">
        <f t="shared" si="57"/>
        <v>21816</v>
      </c>
      <c r="P123" s="662">
        <v>0.3</v>
      </c>
      <c r="Q123" s="229">
        <f t="shared" si="61"/>
        <v>6544.8</v>
      </c>
      <c r="R123" s="663" t="s">
        <v>119</v>
      </c>
    </row>
    <row r="124" spans="1:18" s="543" customFormat="1" ht="15" customHeight="1" x14ac:dyDescent="0.3">
      <c r="B124" s="546" t="s">
        <v>348</v>
      </c>
      <c r="C124" s="664" t="s">
        <v>9</v>
      </c>
      <c r="D124" s="512" t="s">
        <v>108</v>
      </c>
      <c r="E124" s="512">
        <v>1</v>
      </c>
      <c r="F124" s="511">
        <f>3762.5*30%</f>
        <v>1128.75</v>
      </c>
      <c r="G124" s="512">
        <v>12</v>
      </c>
      <c r="H124" s="659">
        <f t="shared" si="60"/>
        <v>13545</v>
      </c>
      <c r="I124" s="583"/>
      <c r="J124" s="512">
        <v>1</v>
      </c>
      <c r="K124" s="520">
        <f t="shared" ref="K124" si="62">F124*1.03</f>
        <v>1162.6125</v>
      </c>
      <c r="L124" s="512">
        <v>6</v>
      </c>
      <c r="M124" s="659">
        <f t="shared" si="56"/>
        <v>6975.6749999999993</v>
      </c>
      <c r="N124" s="583"/>
      <c r="O124" s="661">
        <f t="shared" si="57"/>
        <v>20520.674999999999</v>
      </c>
      <c r="P124" s="662"/>
      <c r="Q124" s="663"/>
      <c r="R124" s="663"/>
    </row>
    <row r="125" spans="1:18" s="652" customFormat="1" ht="15" customHeight="1" x14ac:dyDescent="0.3">
      <c r="A125" s="543"/>
      <c r="B125" s="126" t="s">
        <v>178</v>
      </c>
      <c r="C125" s="656" t="s">
        <v>11</v>
      </c>
      <c r="D125" s="702" t="s">
        <v>108</v>
      </c>
      <c r="E125" s="703">
        <v>4</v>
      </c>
      <c r="F125" s="545">
        <f>70*5</f>
        <v>350</v>
      </c>
      <c r="G125" s="703">
        <v>7</v>
      </c>
      <c r="H125" s="659">
        <f>E125*F125*G125</f>
        <v>9800</v>
      </c>
      <c r="I125" s="83"/>
      <c r="J125" s="660">
        <v>4</v>
      </c>
      <c r="K125" s="659">
        <f>70*5</f>
        <v>350</v>
      </c>
      <c r="L125" s="660">
        <v>3</v>
      </c>
      <c r="M125" s="659">
        <f>J125*K125*L125</f>
        <v>4200</v>
      </c>
      <c r="N125" s="167"/>
      <c r="O125" s="661">
        <f>H125+M125</f>
        <v>14000</v>
      </c>
      <c r="P125" s="662"/>
      <c r="Q125" s="653"/>
      <c r="R125" s="653"/>
    </row>
    <row r="126" spans="1:18" s="543" customFormat="1" ht="15" customHeight="1" x14ac:dyDescent="0.3">
      <c r="B126" s="544" t="s">
        <v>174</v>
      </c>
      <c r="C126" s="691" t="s">
        <v>12</v>
      </c>
      <c r="D126" s="748" t="s">
        <v>108</v>
      </c>
      <c r="E126" s="512">
        <v>1</v>
      </c>
      <c r="F126" s="511">
        <v>300</v>
      </c>
      <c r="G126" s="512">
        <v>2</v>
      </c>
      <c r="H126" s="659">
        <f t="shared" ref="H126:H130" si="63">E126*F126*G126</f>
        <v>600</v>
      </c>
      <c r="I126" s="83"/>
      <c r="J126" s="512">
        <v>1</v>
      </c>
      <c r="K126" s="751">
        <v>300</v>
      </c>
      <c r="L126" s="512">
        <v>1</v>
      </c>
      <c r="M126" s="659">
        <f t="shared" ref="M126:M130" si="64">J126*K126*L126</f>
        <v>300</v>
      </c>
      <c r="N126" s="83"/>
      <c r="O126" s="661">
        <f t="shared" ref="O126:O130" si="65">H126+M126</f>
        <v>900</v>
      </c>
      <c r="P126" s="662"/>
      <c r="Q126" s="663"/>
      <c r="R126" s="663"/>
    </row>
    <row r="127" spans="1:18" s="543" customFormat="1" ht="15" customHeight="1" x14ac:dyDescent="0.3">
      <c r="B127" s="544" t="s">
        <v>175</v>
      </c>
      <c r="C127" s="691" t="s">
        <v>12</v>
      </c>
      <c r="D127" s="748" t="s">
        <v>108</v>
      </c>
      <c r="E127" s="512">
        <v>1</v>
      </c>
      <c r="F127" s="511">
        <v>300</v>
      </c>
      <c r="G127" s="512">
        <v>2</v>
      </c>
      <c r="H127" s="659">
        <f t="shared" si="63"/>
        <v>600</v>
      </c>
      <c r="I127" s="83"/>
      <c r="J127" s="512">
        <v>1</v>
      </c>
      <c r="K127" s="751">
        <v>300</v>
      </c>
      <c r="L127" s="512">
        <v>1</v>
      </c>
      <c r="M127" s="659">
        <f t="shared" si="64"/>
        <v>300</v>
      </c>
      <c r="N127" s="83"/>
      <c r="O127" s="661">
        <f t="shared" si="65"/>
        <v>900</v>
      </c>
      <c r="P127" s="662"/>
      <c r="Q127" s="663"/>
      <c r="R127" s="663"/>
    </row>
    <row r="128" spans="1:18" s="543" customFormat="1" ht="15" customHeight="1" x14ac:dyDescent="0.3">
      <c r="B128" s="544" t="s">
        <v>176</v>
      </c>
      <c r="C128" s="691" t="s">
        <v>12</v>
      </c>
      <c r="D128" s="748" t="s">
        <v>108</v>
      </c>
      <c r="E128" s="512">
        <v>1</v>
      </c>
      <c r="F128" s="511">
        <v>300</v>
      </c>
      <c r="G128" s="512">
        <v>2</v>
      </c>
      <c r="H128" s="659">
        <f t="shared" si="63"/>
        <v>600</v>
      </c>
      <c r="I128" s="83"/>
      <c r="J128" s="512">
        <v>1</v>
      </c>
      <c r="K128" s="751">
        <v>300</v>
      </c>
      <c r="L128" s="512">
        <v>1</v>
      </c>
      <c r="M128" s="659">
        <f t="shared" si="64"/>
        <v>300</v>
      </c>
      <c r="N128" s="83"/>
      <c r="O128" s="661">
        <f t="shared" si="65"/>
        <v>900</v>
      </c>
      <c r="P128" s="662"/>
      <c r="Q128" s="663"/>
      <c r="R128" s="663"/>
    </row>
    <row r="129" spans="1:18" s="543" customFormat="1" ht="15" customHeight="1" x14ac:dyDescent="0.3">
      <c r="B129" s="544" t="s">
        <v>177</v>
      </c>
      <c r="C129" s="691" t="s">
        <v>12</v>
      </c>
      <c r="D129" s="748" t="s">
        <v>108</v>
      </c>
      <c r="E129" s="512">
        <v>6</v>
      </c>
      <c r="F129" s="511">
        <v>30</v>
      </c>
      <c r="G129" s="512">
        <v>12</v>
      </c>
      <c r="H129" s="659">
        <f t="shared" si="63"/>
        <v>2160</v>
      </c>
      <c r="I129" s="83"/>
      <c r="J129" s="512">
        <v>6</v>
      </c>
      <c r="K129" s="751">
        <v>30</v>
      </c>
      <c r="L129" s="512">
        <v>6</v>
      </c>
      <c r="M129" s="659">
        <f t="shared" si="64"/>
        <v>1080</v>
      </c>
      <c r="N129" s="167"/>
      <c r="O129" s="661">
        <f t="shared" si="65"/>
        <v>3240</v>
      </c>
      <c r="P129" s="662"/>
      <c r="Q129" s="663"/>
      <c r="R129" s="663"/>
    </row>
    <row r="130" spans="1:18" s="543" customFormat="1" ht="15" customHeight="1" x14ac:dyDescent="0.3">
      <c r="B130" s="544" t="s">
        <v>218</v>
      </c>
      <c r="C130" s="691" t="s">
        <v>12</v>
      </c>
      <c r="D130" s="748" t="s">
        <v>108</v>
      </c>
      <c r="E130" s="512">
        <v>3</v>
      </c>
      <c r="F130" s="511">
        <v>30</v>
      </c>
      <c r="G130" s="512">
        <v>12</v>
      </c>
      <c r="H130" s="659">
        <f t="shared" si="63"/>
        <v>1080</v>
      </c>
      <c r="I130" s="83"/>
      <c r="J130" s="512">
        <v>3</v>
      </c>
      <c r="K130" s="751">
        <v>30</v>
      </c>
      <c r="L130" s="512">
        <v>6</v>
      </c>
      <c r="M130" s="659">
        <f t="shared" si="64"/>
        <v>540</v>
      </c>
      <c r="N130" s="167"/>
      <c r="O130" s="661">
        <f t="shared" si="65"/>
        <v>1620</v>
      </c>
      <c r="P130" s="662"/>
      <c r="Q130" s="663"/>
      <c r="R130" s="663"/>
    </row>
    <row r="131" spans="1:18" s="543" customFormat="1" ht="15" customHeight="1" x14ac:dyDescent="0.3">
      <c r="B131" s="544" t="s">
        <v>349</v>
      </c>
      <c r="C131" s="691" t="s">
        <v>13</v>
      </c>
      <c r="D131" s="510" t="s">
        <v>108</v>
      </c>
      <c r="E131" s="182">
        <v>0.7</v>
      </c>
      <c r="F131" s="171">
        <v>1275.7142857142858</v>
      </c>
      <c r="G131" s="182">
        <v>12</v>
      </c>
      <c r="H131" s="338">
        <f>E131*F131*G131</f>
        <v>10716</v>
      </c>
      <c r="I131" s="424"/>
      <c r="J131" s="396">
        <v>0.7</v>
      </c>
      <c r="K131" s="441">
        <f>F131*1.03</f>
        <v>1313.9857142857145</v>
      </c>
      <c r="L131" s="396">
        <v>6</v>
      </c>
      <c r="M131" s="338">
        <f>J131*K131*L131</f>
        <v>5518.7400000000007</v>
      </c>
      <c r="N131" s="395"/>
      <c r="O131" s="339">
        <f>H131+M131</f>
        <v>16234.740000000002</v>
      </c>
      <c r="P131" s="323"/>
      <c r="Q131" s="392"/>
      <c r="R131" s="392"/>
    </row>
    <row r="132" spans="1:18" s="652" customFormat="1" ht="15" customHeight="1" x14ac:dyDescent="0.3">
      <c r="B132" s="546" t="s">
        <v>352</v>
      </c>
      <c r="C132" s="664" t="s">
        <v>9</v>
      </c>
      <c r="D132" s="512" t="s">
        <v>108</v>
      </c>
      <c r="E132" s="512">
        <v>0.1</v>
      </c>
      <c r="F132" s="511">
        <f>5157</f>
        <v>5157</v>
      </c>
      <c r="G132" s="512">
        <v>12</v>
      </c>
      <c r="H132" s="659">
        <f t="shared" ref="H132" si="66">E132*F132*G132</f>
        <v>6188.4000000000005</v>
      </c>
      <c r="I132" s="167"/>
      <c r="J132" s="512">
        <v>0.5</v>
      </c>
      <c r="K132" s="751">
        <f>5157*20%</f>
        <v>1031.4000000000001</v>
      </c>
      <c r="L132" s="512">
        <v>6</v>
      </c>
      <c r="M132" s="659">
        <f t="shared" ref="M132" si="67">J132*K132*L132</f>
        <v>3094.2000000000003</v>
      </c>
      <c r="N132" s="167"/>
      <c r="O132" s="661">
        <f t="shared" ref="O132" si="68">H132+M132</f>
        <v>9282.6</v>
      </c>
      <c r="P132" s="662"/>
      <c r="Q132" s="663"/>
      <c r="R132" s="663"/>
    </row>
    <row r="133" spans="1:18" s="733" customFormat="1" ht="15" customHeight="1" thickBot="1" x14ac:dyDescent="0.35">
      <c r="A133" s="238"/>
      <c r="B133" s="705" t="s">
        <v>103</v>
      </c>
      <c r="C133" s="752"/>
      <c r="D133" s="891"/>
      <c r="E133" s="641"/>
      <c r="F133" s="641"/>
      <c r="G133" s="641"/>
      <c r="H133" s="640">
        <f>SUM(H55:H132)</f>
        <v>917362</v>
      </c>
      <c r="I133" s="632"/>
      <c r="J133" s="538"/>
      <c r="K133" s="538"/>
      <c r="L133" s="538"/>
      <c r="M133" s="538">
        <f>SUM(M55:M132)</f>
        <v>224084.965</v>
      </c>
      <c r="N133" s="632"/>
      <c r="O133" s="539">
        <f>H133+M133</f>
        <v>1141446.9650000001</v>
      </c>
      <c r="P133" s="539"/>
      <c r="Q133" s="539">
        <f>SUM(Q55:Q131)</f>
        <v>212461.97999999998</v>
      </c>
      <c r="R133" s="201"/>
    </row>
    <row r="134" spans="1:18" s="733" customFormat="1" ht="15" customHeight="1" thickBot="1" x14ac:dyDescent="0.35">
      <c r="A134" s="238"/>
      <c r="B134" s="890" t="s">
        <v>36</v>
      </c>
      <c r="C134" s="892"/>
      <c r="D134" s="489"/>
      <c r="E134" s="458"/>
      <c r="F134" s="458"/>
      <c r="G134" s="458"/>
      <c r="H134" s="893">
        <f>H53+H133+H26</f>
        <v>1506157.3333333333</v>
      </c>
      <c r="I134" s="635"/>
      <c r="J134" s="540">
        <f>J53+J133+J26</f>
        <v>0</v>
      </c>
      <c r="K134" s="540"/>
      <c r="L134" s="540"/>
      <c r="M134" s="457">
        <f>M53+M133+M26</f>
        <v>291729.66166666668</v>
      </c>
      <c r="N134" s="635"/>
      <c r="O134" s="458">
        <f>H134+M134</f>
        <v>1797886.9949999999</v>
      </c>
      <c r="P134" s="216"/>
      <c r="Q134" s="457">
        <f>Q53+Q133+Q26</f>
        <v>399163.23800000001</v>
      </c>
      <c r="R134" s="284">
        <f>Q134/O134</f>
        <v>0.2220179795004302</v>
      </c>
    </row>
    <row r="135" spans="1:18" s="697" customFormat="1" ht="15" customHeight="1" thickBot="1" x14ac:dyDescent="0.35">
      <c r="A135" s="238"/>
      <c r="B135" s="128"/>
      <c r="C135" s="495"/>
      <c r="D135" s="231"/>
      <c r="E135" s="754"/>
      <c r="F135" s="754"/>
      <c r="G135" s="754"/>
      <c r="H135" s="754"/>
      <c r="I135" s="755"/>
      <c r="J135" s="754"/>
      <c r="K135" s="754"/>
      <c r="L135" s="754"/>
      <c r="M135" s="754"/>
      <c r="N135" s="755"/>
      <c r="O135" s="231"/>
      <c r="P135" s="231"/>
      <c r="Q135" s="231"/>
      <c r="R135" s="207"/>
    </row>
    <row r="136" spans="1:18" s="652" customFormat="1" ht="15" customHeight="1" x14ac:dyDescent="0.3">
      <c r="B136" s="756" t="s">
        <v>162</v>
      </c>
      <c r="C136" s="757"/>
      <c r="D136" s="757"/>
      <c r="E136" s="757"/>
      <c r="F136" s="757"/>
      <c r="G136" s="757"/>
      <c r="H136" s="758"/>
      <c r="I136" s="632"/>
      <c r="J136" s="756"/>
      <c r="K136" s="757"/>
      <c r="L136" s="757"/>
      <c r="M136" s="758"/>
      <c r="N136" s="632"/>
      <c r="O136" s="756"/>
      <c r="P136" s="757"/>
      <c r="Q136" s="757"/>
      <c r="R136" s="758"/>
    </row>
    <row r="137" spans="1:18" s="683" customFormat="1" ht="15" customHeight="1" x14ac:dyDescent="0.3">
      <c r="A137" s="673"/>
      <c r="B137" s="674" t="s">
        <v>250</v>
      </c>
      <c r="C137" s="664" t="s">
        <v>9</v>
      </c>
      <c r="D137" s="675" t="s">
        <v>70</v>
      </c>
      <c r="E137" s="676">
        <v>0.25</v>
      </c>
      <c r="F137" s="677">
        <v>14400</v>
      </c>
      <c r="G137" s="514">
        <v>12</v>
      </c>
      <c r="H137" s="677">
        <f>E137*F137*G137</f>
        <v>43200</v>
      </c>
      <c r="I137" s="679"/>
      <c r="J137" s="676">
        <v>0.25</v>
      </c>
      <c r="K137" s="677">
        <v>14500</v>
      </c>
      <c r="L137" s="678">
        <v>6</v>
      </c>
      <c r="M137" s="677">
        <f>J137*K137*L137</f>
        <v>21750</v>
      </c>
      <c r="N137" s="680"/>
      <c r="O137" s="681">
        <f>H137+M137</f>
        <v>64950</v>
      </c>
      <c r="P137" s="514"/>
      <c r="Q137" s="681"/>
      <c r="R137" s="682"/>
    </row>
    <row r="138" spans="1:18" s="683" customFormat="1" ht="15" customHeight="1" x14ac:dyDescent="0.3">
      <c r="B138" s="759" t="s">
        <v>235</v>
      </c>
      <c r="C138" s="664" t="s">
        <v>9</v>
      </c>
      <c r="D138" s="675" t="s">
        <v>70</v>
      </c>
      <c r="E138" s="760">
        <v>1</v>
      </c>
      <c r="F138" s="677">
        <v>1900</v>
      </c>
      <c r="G138" s="514">
        <v>12</v>
      </c>
      <c r="H138" s="761">
        <f>E138*F138*G138</f>
        <v>22800</v>
      </c>
      <c r="I138" s="679"/>
      <c r="J138" s="677">
        <v>1</v>
      </c>
      <c r="K138" s="677">
        <v>2000</v>
      </c>
      <c r="L138" s="678">
        <v>6</v>
      </c>
      <c r="M138" s="677">
        <f>J138*K138*L138</f>
        <v>12000</v>
      </c>
      <c r="N138" s="680"/>
      <c r="O138" s="681">
        <f>H138+M138</f>
        <v>34800</v>
      </c>
      <c r="P138" s="514"/>
      <c r="Q138" s="681"/>
      <c r="R138" s="682"/>
    </row>
    <row r="139" spans="1:18" s="750" customFormat="1" ht="15" customHeight="1" x14ac:dyDescent="0.3">
      <c r="B139" s="544" t="s">
        <v>121</v>
      </c>
      <c r="C139" s="664" t="s">
        <v>9</v>
      </c>
      <c r="D139" s="512" t="s">
        <v>108</v>
      </c>
      <c r="E139" s="396">
        <v>0.4</v>
      </c>
      <c r="F139" s="397">
        <v>4202</v>
      </c>
      <c r="G139" s="396">
        <v>12</v>
      </c>
      <c r="H139" s="338">
        <f>E139*F139*G139</f>
        <v>20169.600000000002</v>
      </c>
      <c r="I139" s="516"/>
      <c r="J139" s="396">
        <v>0.4</v>
      </c>
      <c r="K139" s="441">
        <f>F139</f>
        <v>4202</v>
      </c>
      <c r="L139" s="396">
        <v>6</v>
      </c>
      <c r="M139" s="338">
        <f>J139*K139*L139</f>
        <v>10084.800000000001</v>
      </c>
      <c r="N139" s="516"/>
      <c r="O139" s="339">
        <f>H139+M139</f>
        <v>30254.400000000001</v>
      </c>
      <c r="P139" s="323"/>
      <c r="Q139" s="392"/>
      <c r="R139" s="392"/>
    </row>
    <row r="140" spans="1:18" s="686" customFormat="1" ht="15" customHeight="1" x14ac:dyDescent="0.3">
      <c r="B140" s="237" t="s">
        <v>185</v>
      </c>
      <c r="C140" s="664" t="s">
        <v>9</v>
      </c>
      <c r="D140" s="510" t="s">
        <v>161</v>
      </c>
      <c r="E140" s="762">
        <v>0.5</v>
      </c>
      <c r="F140" s="763">
        <v>750</v>
      </c>
      <c r="G140" s="763">
        <v>12</v>
      </c>
      <c r="H140" s="511">
        <f>E140*F140*G140</f>
        <v>4500</v>
      </c>
      <c r="I140" s="193"/>
      <c r="J140" s="762">
        <v>0.5</v>
      </c>
      <c r="K140" s="763">
        <v>750</v>
      </c>
      <c r="L140" s="511">
        <v>6</v>
      </c>
      <c r="M140" s="511">
        <f>J140*K140*L140</f>
        <v>2250</v>
      </c>
      <c r="N140" s="193"/>
      <c r="O140" s="199">
        <f t="shared" ref="O140:O147" si="69">H140+M140</f>
        <v>6750</v>
      </c>
      <c r="P140" s="512"/>
      <c r="Q140" s="512"/>
      <c r="R140" s="764"/>
    </row>
    <row r="141" spans="1:18" s="683" customFormat="1" ht="15" customHeight="1" x14ac:dyDescent="0.3">
      <c r="A141" s="744"/>
      <c r="B141" s="674" t="s">
        <v>91</v>
      </c>
      <c r="C141" s="666" t="s">
        <v>11</v>
      </c>
      <c r="D141" s="675" t="s">
        <v>70</v>
      </c>
      <c r="E141" s="765">
        <v>1</v>
      </c>
      <c r="F141" s="766">
        <v>18000</v>
      </c>
      <c r="G141" s="766">
        <v>1</v>
      </c>
      <c r="H141" s="674">
        <f t="shared" ref="H141:H147" si="70">E141*F141*G141</f>
        <v>18000</v>
      </c>
      <c r="I141" s="767"/>
      <c r="J141" s="678">
        <v>0</v>
      </c>
      <c r="K141" s="678"/>
      <c r="L141" s="678">
        <v>0</v>
      </c>
      <c r="M141" s="678">
        <f t="shared" ref="M141:M147" si="71">J141*K141*L141</f>
        <v>0</v>
      </c>
      <c r="N141" s="767"/>
      <c r="O141" s="681">
        <f t="shared" si="69"/>
        <v>18000</v>
      </c>
      <c r="P141" s="514"/>
      <c r="Q141" s="768"/>
      <c r="R141" s="769"/>
    </row>
    <row r="142" spans="1:18" s="683" customFormat="1" ht="15" customHeight="1" x14ac:dyDescent="0.3">
      <c r="A142" s="744"/>
      <c r="B142" s="674" t="s">
        <v>92</v>
      </c>
      <c r="C142" s="666" t="s">
        <v>11</v>
      </c>
      <c r="D142" s="675" t="s">
        <v>70</v>
      </c>
      <c r="E142" s="765">
        <v>1</v>
      </c>
      <c r="F142" s="766">
        <v>10000</v>
      </c>
      <c r="G142" s="766">
        <v>1</v>
      </c>
      <c r="H142" s="678">
        <f t="shared" si="70"/>
        <v>10000</v>
      </c>
      <c r="I142" s="767"/>
      <c r="J142" s="678">
        <v>0</v>
      </c>
      <c r="K142" s="678">
        <v>0</v>
      </c>
      <c r="L142" s="678">
        <v>0</v>
      </c>
      <c r="M142" s="678"/>
      <c r="N142" s="767"/>
      <c r="O142" s="681">
        <f t="shared" si="69"/>
        <v>10000</v>
      </c>
      <c r="P142" s="514"/>
      <c r="Q142" s="768"/>
      <c r="R142" s="769"/>
    </row>
    <row r="143" spans="1:18" s="683" customFormat="1" ht="15" customHeight="1" x14ac:dyDescent="0.3">
      <c r="A143" s="744"/>
      <c r="B143" s="674" t="s">
        <v>93</v>
      </c>
      <c r="C143" s="666" t="s">
        <v>11</v>
      </c>
      <c r="D143" s="675" t="s">
        <v>70</v>
      </c>
      <c r="E143" s="765">
        <v>1</v>
      </c>
      <c r="F143" s="674">
        <v>5000</v>
      </c>
      <c r="G143" s="766">
        <v>1</v>
      </c>
      <c r="H143" s="678">
        <f t="shared" si="70"/>
        <v>5000</v>
      </c>
      <c r="I143" s="767"/>
      <c r="J143" s="678">
        <v>0</v>
      </c>
      <c r="K143" s="678">
        <v>0</v>
      </c>
      <c r="L143" s="678">
        <v>0</v>
      </c>
      <c r="M143" s="678">
        <f t="shared" si="71"/>
        <v>0</v>
      </c>
      <c r="N143" s="767"/>
      <c r="O143" s="681">
        <f t="shared" si="69"/>
        <v>5000</v>
      </c>
      <c r="P143" s="514"/>
      <c r="Q143" s="768"/>
      <c r="R143" s="769"/>
    </row>
    <row r="144" spans="1:18" s="683" customFormat="1" ht="15" customHeight="1" x14ac:dyDescent="0.3">
      <c r="A144" s="744"/>
      <c r="B144" s="674" t="s">
        <v>94</v>
      </c>
      <c r="C144" s="691" t="s">
        <v>12</v>
      </c>
      <c r="D144" s="675" t="s">
        <v>70</v>
      </c>
      <c r="E144" s="765">
        <v>1</v>
      </c>
      <c r="F144" s="766">
        <v>1500</v>
      </c>
      <c r="G144" s="766">
        <v>1</v>
      </c>
      <c r="H144" s="678">
        <f t="shared" si="70"/>
        <v>1500</v>
      </c>
      <c r="I144" s="767"/>
      <c r="J144" s="678">
        <v>0</v>
      </c>
      <c r="K144" s="678">
        <v>0</v>
      </c>
      <c r="L144" s="678">
        <v>0</v>
      </c>
      <c r="M144" s="678">
        <f t="shared" si="71"/>
        <v>0</v>
      </c>
      <c r="N144" s="767"/>
      <c r="O144" s="681">
        <f t="shared" si="69"/>
        <v>1500</v>
      </c>
      <c r="P144" s="514"/>
      <c r="Q144" s="768"/>
      <c r="R144" s="769"/>
    </row>
    <row r="145" spans="1:18" s="683" customFormat="1" ht="15" customHeight="1" x14ac:dyDescent="0.3">
      <c r="A145" s="744"/>
      <c r="B145" s="674" t="s">
        <v>95</v>
      </c>
      <c r="C145" s="691" t="s">
        <v>12</v>
      </c>
      <c r="D145" s="675" t="s">
        <v>70</v>
      </c>
      <c r="E145" s="770">
        <v>1</v>
      </c>
      <c r="F145" s="674">
        <v>2500</v>
      </c>
      <c r="G145" s="674">
        <v>1</v>
      </c>
      <c r="H145" s="678">
        <f t="shared" si="70"/>
        <v>2500</v>
      </c>
      <c r="I145" s="767"/>
      <c r="J145" s="678">
        <v>1</v>
      </c>
      <c r="K145" s="678">
        <v>1500</v>
      </c>
      <c r="L145" s="678">
        <v>1</v>
      </c>
      <c r="M145" s="678">
        <f t="shared" si="71"/>
        <v>1500</v>
      </c>
      <c r="N145" s="767"/>
      <c r="O145" s="681">
        <f t="shared" si="69"/>
        <v>4000</v>
      </c>
      <c r="P145" s="514"/>
      <c r="Q145" s="768"/>
      <c r="R145" s="769"/>
    </row>
    <row r="146" spans="1:18" s="683" customFormat="1" ht="15" customHeight="1" x14ac:dyDescent="0.3">
      <c r="A146" s="744"/>
      <c r="B146" s="674" t="s">
        <v>96</v>
      </c>
      <c r="C146" s="666" t="s">
        <v>11</v>
      </c>
      <c r="D146" s="675" t="s">
        <v>70</v>
      </c>
      <c r="E146" s="675">
        <v>0</v>
      </c>
      <c r="F146" s="771">
        <v>0</v>
      </c>
      <c r="G146" s="766">
        <v>0</v>
      </c>
      <c r="H146" s="678">
        <f t="shared" si="70"/>
        <v>0</v>
      </c>
      <c r="I146" s="767"/>
      <c r="J146" s="678">
        <v>1</v>
      </c>
      <c r="K146" s="678">
        <v>10000</v>
      </c>
      <c r="L146" s="678">
        <v>1</v>
      </c>
      <c r="M146" s="678">
        <f t="shared" si="71"/>
        <v>10000</v>
      </c>
      <c r="N146" s="767"/>
      <c r="O146" s="681">
        <f t="shared" si="69"/>
        <v>10000</v>
      </c>
      <c r="P146" s="514"/>
      <c r="Q146" s="768"/>
      <c r="R146" s="769"/>
    </row>
    <row r="147" spans="1:18" s="683" customFormat="1" ht="15" customHeight="1" x14ac:dyDescent="0.3">
      <c r="A147" s="744"/>
      <c r="B147" s="674" t="s">
        <v>97</v>
      </c>
      <c r="C147" s="666" t="s">
        <v>11</v>
      </c>
      <c r="D147" s="675" t="s">
        <v>70</v>
      </c>
      <c r="E147" s="675">
        <v>0</v>
      </c>
      <c r="F147" s="766">
        <v>0</v>
      </c>
      <c r="G147" s="766">
        <v>0</v>
      </c>
      <c r="H147" s="678">
        <f t="shared" si="70"/>
        <v>0</v>
      </c>
      <c r="I147" s="767"/>
      <c r="J147" s="678">
        <v>1</v>
      </c>
      <c r="K147" s="678">
        <v>15000</v>
      </c>
      <c r="L147" s="678">
        <v>1</v>
      </c>
      <c r="M147" s="678">
        <f t="shared" si="71"/>
        <v>15000</v>
      </c>
      <c r="N147" s="767"/>
      <c r="O147" s="681">
        <f t="shared" si="69"/>
        <v>15000</v>
      </c>
      <c r="P147" s="514"/>
      <c r="Q147" s="768"/>
      <c r="R147" s="769"/>
    </row>
    <row r="148" spans="1:18" s="737" customFormat="1" ht="15" customHeight="1" x14ac:dyDescent="0.3">
      <c r="A148" s="772"/>
      <c r="B148" s="773" t="s">
        <v>101</v>
      </c>
      <c r="C148" s="942"/>
      <c r="D148" s="774"/>
      <c r="E148" s="775"/>
      <c r="F148" s="775"/>
      <c r="G148" s="775"/>
      <c r="H148" s="775">
        <f>SUM(H137:H147)</f>
        <v>127669.6</v>
      </c>
      <c r="I148" s="680"/>
      <c r="J148" s="943"/>
      <c r="K148" s="775"/>
      <c r="L148" s="775"/>
      <c r="M148" s="775">
        <f>SUM(M137:M147)</f>
        <v>72584.800000000003</v>
      </c>
      <c r="N148" s="680"/>
      <c r="O148" s="776">
        <f>H148+M148</f>
        <v>200254.40000000002</v>
      </c>
      <c r="P148" s="514"/>
      <c r="Q148" s="777"/>
      <c r="R148" s="740"/>
    </row>
    <row r="149" spans="1:18" s="745" customFormat="1" ht="15" customHeight="1" x14ac:dyDescent="0.3">
      <c r="A149" s="1060"/>
      <c r="B149" s="674" t="s">
        <v>98</v>
      </c>
      <c r="C149" s="656" t="s">
        <v>11</v>
      </c>
      <c r="D149" s="777" t="s">
        <v>70</v>
      </c>
      <c r="E149" s="777">
        <v>1</v>
      </c>
      <c r="F149" s="738">
        <v>18000</v>
      </c>
      <c r="G149" s="738">
        <v>1</v>
      </c>
      <c r="H149" s="674">
        <f>E149*F149*G149</f>
        <v>18000</v>
      </c>
      <c r="I149" s="778"/>
      <c r="J149" s="674">
        <v>1</v>
      </c>
      <c r="K149" s="674">
        <v>5000</v>
      </c>
      <c r="L149" s="674">
        <v>1</v>
      </c>
      <c r="M149" s="674">
        <f>J149*K149*L149</f>
        <v>5000</v>
      </c>
      <c r="N149" s="767"/>
      <c r="O149" s="681">
        <f>H149+M149</f>
        <v>23000</v>
      </c>
      <c r="P149" s="768"/>
      <c r="Q149" s="768"/>
      <c r="R149" s="779">
        <f>O149/3200000</f>
        <v>7.1875000000000003E-3</v>
      </c>
    </row>
    <row r="150" spans="1:18" s="745" customFormat="1" ht="15" customHeight="1" x14ac:dyDescent="0.3">
      <c r="A150" s="1061"/>
      <c r="B150" s="674" t="s">
        <v>99</v>
      </c>
      <c r="C150" s="656" t="s">
        <v>11</v>
      </c>
      <c r="D150" s="777" t="s">
        <v>70</v>
      </c>
      <c r="E150" s="738"/>
      <c r="F150" s="738"/>
      <c r="G150" s="738"/>
      <c r="H150" s="678"/>
      <c r="I150" s="767"/>
      <c r="J150" s="678">
        <v>1</v>
      </c>
      <c r="K150" s="678">
        <v>25000</v>
      </c>
      <c r="L150" s="678">
        <v>1</v>
      </c>
      <c r="M150" s="678">
        <f>J150*K150*L150</f>
        <v>25000</v>
      </c>
      <c r="N150" s="767"/>
      <c r="O150" s="681">
        <f>H150+M150</f>
        <v>25000</v>
      </c>
      <c r="P150" s="768"/>
      <c r="Q150" s="768"/>
      <c r="R150" s="769"/>
    </row>
    <row r="151" spans="1:18" s="737" customFormat="1" ht="15" customHeight="1" thickBot="1" x14ac:dyDescent="0.35">
      <c r="B151" s="780" t="s">
        <v>102</v>
      </c>
      <c r="C151" s="781"/>
      <c r="D151" s="782"/>
      <c r="E151" s="783"/>
      <c r="F151" s="783"/>
      <c r="G151" s="783"/>
      <c r="H151" s="881">
        <f>SUM(H149:H150)</f>
        <v>18000</v>
      </c>
      <c r="I151" s="632"/>
      <c r="J151" s="882"/>
      <c r="K151" s="783"/>
      <c r="L151" s="783"/>
      <c r="M151" s="881">
        <f>SUM(M149:M150)</f>
        <v>30000</v>
      </c>
      <c r="N151" s="632"/>
      <c r="O151" s="948">
        <f>SUM(O149:O150)</f>
        <v>48000</v>
      </c>
      <c r="P151" s="229"/>
      <c r="Q151" s="212"/>
      <c r="R151" s="740"/>
    </row>
    <row r="152" spans="1:18" s="737" customFormat="1" ht="15" customHeight="1" thickBot="1" x14ac:dyDescent="0.35">
      <c r="B152" s="92" t="s">
        <v>100</v>
      </c>
      <c r="C152" s="753"/>
      <c r="D152" s="784"/>
      <c r="E152" s="642"/>
      <c r="F152" s="642"/>
      <c r="G152" s="642"/>
      <c r="H152" s="457">
        <f>H148+H151</f>
        <v>145669.6</v>
      </c>
      <c r="I152" s="635"/>
      <c r="J152" s="643"/>
      <c r="K152" s="642"/>
      <c r="L152" s="642"/>
      <c r="M152" s="457">
        <f>M148+M151</f>
        <v>102584.8</v>
      </c>
      <c r="N152" s="635"/>
      <c r="O152" s="944">
        <f>O148+O151</f>
        <v>248254.40000000002</v>
      </c>
      <c r="P152" s="945"/>
      <c r="Q152" s="946">
        <f>Q148+Q151</f>
        <v>0</v>
      </c>
      <c r="R152" s="947">
        <f>O152/3200000</f>
        <v>7.757950000000001E-2</v>
      </c>
    </row>
    <row r="153" spans="1:18" s="737" customFormat="1" ht="15" customHeight="1" thickBot="1" x14ac:dyDescent="0.35">
      <c r="B153" s="129"/>
      <c r="C153" s="496"/>
      <c r="D153" s="234"/>
      <c r="E153" s="684"/>
      <c r="F153" s="786"/>
      <c r="G153" s="684"/>
      <c r="H153" s="786"/>
      <c r="I153" s="787"/>
      <c r="J153" s="786"/>
      <c r="K153" s="786"/>
      <c r="L153" s="786"/>
      <c r="M153" s="786"/>
      <c r="N153" s="787"/>
      <c r="O153" s="233"/>
      <c r="P153" s="234"/>
      <c r="Q153" s="234"/>
      <c r="R153" s="208"/>
    </row>
    <row r="154" spans="1:18" s="737" customFormat="1" ht="15" customHeight="1" thickBot="1" x14ac:dyDescent="0.35">
      <c r="B154" s="894" t="s">
        <v>48</v>
      </c>
      <c r="C154" s="895"/>
      <c r="D154" s="896"/>
      <c r="E154" s="897"/>
      <c r="F154" s="897"/>
      <c r="G154" s="897"/>
      <c r="H154" s="906"/>
      <c r="I154" s="870"/>
      <c r="J154" s="894"/>
      <c r="K154" s="897"/>
      <c r="L154" s="897"/>
      <c r="M154" s="906"/>
      <c r="N154" s="870"/>
      <c r="O154" s="894"/>
      <c r="P154" s="897"/>
      <c r="Q154" s="897"/>
      <c r="R154" s="906"/>
    </row>
    <row r="155" spans="1:18" s="737" customFormat="1" ht="15" customHeight="1" x14ac:dyDescent="0.3">
      <c r="B155" s="936" t="s">
        <v>41</v>
      </c>
      <c r="C155" s="927"/>
      <c r="D155" s="928"/>
      <c r="E155" s="937"/>
      <c r="F155" s="938"/>
      <c r="G155" s="937"/>
      <c r="H155" s="939"/>
      <c r="I155" s="167"/>
      <c r="J155" s="940"/>
      <c r="K155" s="938"/>
      <c r="L155" s="938"/>
      <c r="M155" s="939"/>
      <c r="N155" s="167"/>
      <c r="O155" s="932"/>
      <c r="P155" s="928"/>
      <c r="Q155" s="928"/>
      <c r="R155" s="941"/>
    </row>
    <row r="156" spans="1:18" s="733" customFormat="1" ht="15" customHeight="1" x14ac:dyDescent="0.3">
      <c r="A156" s="697"/>
      <c r="B156" s="237" t="s">
        <v>73</v>
      </c>
      <c r="C156" s="664" t="s">
        <v>9</v>
      </c>
      <c r="D156" s="453" t="s">
        <v>70</v>
      </c>
      <c r="E156" s="126">
        <v>0.05</v>
      </c>
      <c r="F156" s="704">
        <v>22500</v>
      </c>
      <c r="G156" s="126">
        <v>12</v>
      </c>
      <c r="H156" s="695">
        <f t="shared" ref="H156:H165" si="72">E156*F156*G156</f>
        <v>13500</v>
      </c>
      <c r="I156" s="788"/>
      <c r="J156" s="126">
        <v>0.05</v>
      </c>
      <c r="K156" s="704">
        <v>22500</v>
      </c>
      <c r="L156" s="695">
        <v>6</v>
      </c>
      <c r="M156" s="695">
        <f>J156*K156*L156</f>
        <v>6750</v>
      </c>
      <c r="N156" s="789"/>
      <c r="O156" s="221">
        <f t="shared" ref="O156:O165" si="73">H156+M156</f>
        <v>20250</v>
      </c>
      <c r="P156" s="235"/>
      <c r="Q156" s="236"/>
      <c r="R156" s="209"/>
    </row>
    <row r="157" spans="1:18" s="733" customFormat="1" ht="15" customHeight="1" x14ac:dyDescent="0.3">
      <c r="A157" s="697"/>
      <c r="B157" s="237" t="s">
        <v>251</v>
      </c>
      <c r="C157" s="664" t="s">
        <v>9</v>
      </c>
      <c r="D157" s="510" t="s">
        <v>70</v>
      </c>
      <c r="E157" s="544">
        <v>0.15</v>
      </c>
      <c r="F157" s="198">
        <v>14000</v>
      </c>
      <c r="G157" s="544">
        <v>12</v>
      </c>
      <c r="H157" s="695">
        <f t="shared" si="72"/>
        <v>25200</v>
      </c>
      <c r="I157" s="788"/>
      <c r="J157" s="544">
        <v>0.15</v>
      </c>
      <c r="K157" s="198">
        <v>14000</v>
      </c>
      <c r="L157" s="695">
        <v>6</v>
      </c>
      <c r="M157" s="695">
        <f t="shared" ref="M157:M165" si="74">J157*K157*L157</f>
        <v>12600</v>
      </c>
      <c r="N157" s="789"/>
      <c r="O157" s="221">
        <f t="shared" si="73"/>
        <v>37800</v>
      </c>
      <c r="P157" s="235"/>
      <c r="Q157" s="236"/>
      <c r="R157" s="209"/>
    </row>
    <row r="158" spans="1:18" s="686" customFormat="1" ht="15" customHeight="1" x14ac:dyDescent="0.3">
      <c r="A158" s="787"/>
      <c r="B158" s="237" t="s">
        <v>350</v>
      </c>
      <c r="C158" s="664" t="s">
        <v>9</v>
      </c>
      <c r="D158" s="510" t="s">
        <v>70</v>
      </c>
      <c r="E158" s="544">
        <v>0.05</v>
      </c>
      <c r="F158" s="198">
        <v>15000</v>
      </c>
      <c r="G158" s="544">
        <v>12</v>
      </c>
      <c r="H158" s="695">
        <f t="shared" si="72"/>
        <v>9000</v>
      </c>
      <c r="I158" s="788"/>
      <c r="J158" s="544">
        <v>0.1</v>
      </c>
      <c r="K158" s="198">
        <v>15000</v>
      </c>
      <c r="L158" s="695">
        <v>6</v>
      </c>
      <c r="M158" s="695">
        <f t="shared" si="74"/>
        <v>9000</v>
      </c>
      <c r="N158" s="789"/>
      <c r="O158" s="221">
        <f t="shared" si="73"/>
        <v>18000</v>
      </c>
      <c r="P158" s="235"/>
      <c r="Q158" s="236"/>
      <c r="R158" s="506"/>
    </row>
    <row r="159" spans="1:18" s="686" customFormat="1" ht="15" customHeight="1" x14ac:dyDescent="0.3">
      <c r="A159" s="787"/>
      <c r="B159" s="237" t="s">
        <v>262</v>
      </c>
      <c r="C159" s="664" t="s">
        <v>9</v>
      </c>
      <c r="D159" s="510" t="s">
        <v>70</v>
      </c>
      <c r="E159" s="544">
        <v>0.05</v>
      </c>
      <c r="F159" s="198">
        <v>14000</v>
      </c>
      <c r="G159" s="544">
        <v>12</v>
      </c>
      <c r="H159" s="695">
        <f t="shared" si="72"/>
        <v>8400</v>
      </c>
      <c r="I159" s="788"/>
      <c r="J159" s="544">
        <v>0.05</v>
      </c>
      <c r="K159" s="198">
        <v>14000</v>
      </c>
      <c r="L159" s="695">
        <v>6</v>
      </c>
      <c r="M159" s="695">
        <f t="shared" si="74"/>
        <v>4200</v>
      </c>
      <c r="N159" s="789"/>
      <c r="O159" s="221">
        <f t="shared" si="73"/>
        <v>12600</v>
      </c>
      <c r="P159" s="235"/>
      <c r="Q159" s="236"/>
      <c r="R159" s="506"/>
    </row>
    <row r="160" spans="1:18" s="686" customFormat="1" ht="15" customHeight="1" x14ac:dyDescent="0.3">
      <c r="A160" s="787"/>
      <c r="B160" s="674" t="s">
        <v>250</v>
      </c>
      <c r="C160" s="664" t="s">
        <v>9</v>
      </c>
      <c r="D160" s="510" t="s">
        <v>70</v>
      </c>
      <c r="E160" s="544">
        <v>0.25</v>
      </c>
      <c r="F160" s="198">
        <v>14400</v>
      </c>
      <c r="G160" s="544">
        <v>12</v>
      </c>
      <c r="H160" s="695">
        <f t="shared" si="72"/>
        <v>43200</v>
      </c>
      <c r="I160" s="788"/>
      <c r="J160" s="790">
        <v>0.25</v>
      </c>
      <c r="K160" s="677">
        <v>14500</v>
      </c>
      <c r="L160" s="695">
        <v>6</v>
      </c>
      <c r="M160" s="695">
        <f t="shared" si="74"/>
        <v>21750</v>
      </c>
      <c r="N160" s="789"/>
      <c r="O160" s="221">
        <f t="shared" si="73"/>
        <v>64950</v>
      </c>
      <c r="P160" s="235"/>
      <c r="Q160" s="236"/>
      <c r="R160" s="506"/>
    </row>
    <row r="161" spans="1:19" s="686" customFormat="1" ht="15" customHeight="1" x14ac:dyDescent="0.3">
      <c r="A161" s="787"/>
      <c r="B161" s="237" t="s">
        <v>263</v>
      </c>
      <c r="C161" s="664" t="s">
        <v>9</v>
      </c>
      <c r="D161" s="510" t="s">
        <v>70</v>
      </c>
      <c r="E161" s="544">
        <v>0.3</v>
      </c>
      <c r="F161" s="198">
        <v>2500</v>
      </c>
      <c r="G161" s="544">
        <v>12</v>
      </c>
      <c r="H161" s="695">
        <f t="shared" si="72"/>
        <v>9000</v>
      </c>
      <c r="I161" s="788"/>
      <c r="J161" s="791">
        <v>0.7</v>
      </c>
      <c r="K161" s="198">
        <v>2500</v>
      </c>
      <c r="L161" s="695">
        <v>6</v>
      </c>
      <c r="M161" s="695">
        <f t="shared" si="74"/>
        <v>10500</v>
      </c>
      <c r="N161" s="789"/>
      <c r="O161" s="221">
        <f t="shared" si="73"/>
        <v>19500</v>
      </c>
      <c r="P161" s="235"/>
      <c r="Q161" s="236"/>
      <c r="R161" s="506"/>
    </row>
    <row r="162" spans="1:19" s="686" customFormat="1" ht="15" customHeight="1" x14ac:dyDescent="0.3">
      <c r="A162" s="787"/>
      <c r="B162" s="237" t="s">
        <v>237</v>
      </c>
      <c r="C162" s="664" t="s">
        <v>9</v>
      </c>
      <c r="D162" s="510" t="s">
        <v>70</v>
      </c>
      <c r="E162" s="544">
        <v>1</v>
      </c>
      <c r="F162" s="198">
        <v>2000</v>
      </c>
      <c r="G162" s="544">
        <v>12</v>
      </c>
      <c r="H162" s="695">
        <f t="shared" si="72"/>
        <v>24000</v>
      </c>
      <c r="I162" s="788"/>
      <c r="J162" s="544">
        <v>1</v>
      </c>
      <c r="K162" s="198">
        <v>2000</v>
      </c>
      <c r="L162" s="695">
        <v>6</v>
      </c>
      <c r="M162" s="695">
        <f t="shared" si="74"/>
        <v>12000</v>
      </c>
      <c r="N162" s="789"/>
      <c r="O162" s="221">
        <f t="shared" si="73"/>
        <v>36000</v>
      </c>
      <c r="P162" s="235"/>
      <c r="Q162" s="236"/>
      <c r="R162" s="506"/>
    </row>
    <row r="163" spans="1:19" s="686" customFormat="1" ht="15" customHeight="1" x14ac:dyDescent="0.3">
      <c r="A163" s="787"/>
      <c r="B163" s="237" t="s">
        <v>74</v>
      </c>
      <c r="C163" s="664" t="s">
        <v>9</v>
      </c>
      <c r="D163" s="510" t="s">
        <v>70</v>
      </c>
      <c r="E163" s="544">
        <v>1</v>
      </c>
      <c r="F163" s="198">
        <v>1800</v>
      </c>
      <c r="G163" s="544">
        <v>12</v>
      </c>
      <c r="H163" s="695">
        <f t="shared" si="72"/>
        <v>21600</v>
      </c>
      <c r="I163" s="788"/>
      <c r="J163" s="198">
        <v>1</v>
      </c>
      <c r="K163" s="198">
        <v>1800</v>
      </c>
      <c r="L163" s="695">
        <v>6</v>
      </c>
      <c r="M163" s="695">
        <f t="shared" si="74"/>
        <v>10800</v>
      </c>
      <c r="N163" s="789"/>
      <c r="O163" s="221">
        <f t="shared" si="73"/>
        <v>32400</v>
      </c>
      <c r="P163" s="235"/>
      <c r="Q163" s="236"/>
      <c r="R163" s="506"/>
    </row>
    <row r="164" spans="1:19" s="686" customFormat="1" ht="15" customHeight="1" x14ac:dyDescent="0.3">
      <c r="A164" s="787"/>
      <c r="B164" s="237" t="s">
        <v>351</v>
      </c>
      <c r="C164" s="664" t="s">
        <v>9</v>
      </c>
      <c r="D164" s="510" t="s">
        <v>70</v>
      </c>
      <c r="E164" s="544">
        <v>7.0000000000000007E-2</v>
      </c>
      <c r="F164" s="198">
        <v>10000</v>
      </c>
      <c r="G164" s="544">
        <v>12</v>
      </c>
      <c r="H164" s="695">
        <f t="shared" si="72"/>
        <v>8400.0000000000018</v>
      </c>
      <c r="I164" s="788"/>
      <c r="J164" s="544">
        <v>7.0000000000000007E-2</v>
      </c>
      <c r="K164" s="198">
        <v>10000</v>
      </c>
      <c r="L164" s="695">
        <v>6</v>
      </c>
      <c r="M164" s="695">
        <f t="shared" si="74"/>
        <v>4200.0000000000009</v>
      </c>
      <c r="N164" s="789"/>
      <c r="O164" s="221">
        <f t="shared" si="73"/>
        <v>12600.000000000004</v>
      </c>
      <c r="P164" s="235"/>
      <c r="Q164" s="236"/>
      <c r="R164" s="506"/>
    </row>
    <row r="165" spans="1:19" s="543" customFormat="1" ht="15" customHeight="1" x14ac:dyDescent="0.3">
      <c r="B165" s="546" t="s">
        <v>352</v>
      </c>
      <c r="C165" s="664" t="s">
        <v>9</v>
      </c>
      <c r="D165" s="512" t="s">
        <v>108</v>
      </c>
      <c r="E165" s="512">
        <v>0.1</v>
      </c>
      <c r="F165" s="511">
        <f>5157</f>
        <v>5157</v>
      </c>
      <c r="G165" s="512">
        <v>12</v>
      </c>
      <c r="H165" s="659">
        <f t="shared" si="72"/>
        <v>6188.4000000000005</v>
      </c>
      <c r="I165" s="583"/>
      <c r="J165" s="512">
        <v>0.5</v>
      </c>
      <c r="K165" s="751">
        <f>5157*20%</f>
        <v>1031.4000000000001</v>
      </c>
      <c r="L165" s="512">
        <v>6</v>
      </c>
      <c r="M165" s="659">
        <f t="shared" si="74"/>
        <v>3094.2000000000003</v>
      </c>
      <c r="N165" s="167"/>
      <c r="O165" s="661">
        <f t="shared" si="73"/>
        <v>9282.6</v>
      </c>
      <c r="P165" s="662"/>
      <c r="Q165" s="663"/>
      <c r="R165" s="663"/>
    </row>
    <row r="166" spans="1:19" s="543" customFormat="1" ht="15" customHeight="1" x14ac:dyDescent="0.3">
      <c r="B166" s="544" t="s">
        <v>236</v>
      </c>
      <c r="C166" s="664" t="s">
        <v>9</v>
      </c>
      <c r="D166" s="510" t="s">
        <v>108</v>
      </c>
      <c r="E166" s="544">
        <v>0.5</v>
      </c>
      <c r="F166" s="198">
        <v>3815</v>
      </c>
      <c r="G166" s="544">
        <v>12</v>
      </c>
      <c r="H166" s="659">
        <f>E166*F166*G166</f>
        <v>22890</v>
      </c>
      <c r="I166" s="885"/>
      <c r="J166" s="660">
        <v>0.5</v>
      </c>
      <c r="K166" s="659">
        <f>F166*1.03</f>
        <v>3929.4500000000003</v>
      </c>
      <c r="L166" s="660">
        <v>6</v>
      </c>
      <c r="M166" s="659">
        <f>J166*K166*L166</f>
        <v>11788.35</v>
      </c>
      <c r="N166" s="885"/>
      <c r="O166" s="661">
        <f>H166+M166</f>
        <v>34678.35</v>
      </c>
      <c r="P166" s="792"/>
      <c r="Q166" s="546"/>
      <c r="R166" s="546" t="s">
        <v>168</v>
      </c>
      <c r="S166" s="793"/>
    </row>
    <row r="167" spans="1:19" s="794" customFormat="1" ht="15" customHeight="1" x14ac:dyDescent="0.3">
      <c r="B167" s="546" t="s">
        <v>220</v>
      </c>
      <c r="C167" s="664" t="s">
        <v>9</v>
      </c>
      <c r="D167" s="512" t="s">
        <v>108</v>
      </c>
      <c r="E167" s="512">
        <v>1</v>
      </c>
      <c r="F167" s="511">
        <f>3000</f>
        <v>3000</v>
      </c>
      <c r="G167" s="512">
        <v>12</v>
      </c>
      <c r="H167" s="751">
        <f t="shared" ref="H167:H170" si="75">G167*E167*F167</f>
        <v>36000</v>
      </c>
      <c r="I167" s="193"/>
      <c r="J167" s="512">
        <v>1</v>
      </c>
      <c r="K167" s="751">
        <f>F167*1.03</f>
        <v>3090</v>
      </c>
      <c r="L167" s="512">
        <v>6</v>
      </c>
      <c r="M167" s="751">
        <f>J167*K167*L167</f>
        <v>18540</v>
      </c>
      <c r="N167" s="886"/>
      <c r="O167" s="795">
        <f>H167+M167</f>
        <v>54540</v>
      </c>
      <c r="P167" s="796"/>
      <c r="Q167" s="81"/>
      <c r="R167" s="546" t="s">
        <v>122</v>
      </c>
    </row>
    <row r="168" spans="1:19" s="794" customFormat="1" ht="15" customHeight="1" x14ac:dyDescent="0.3">
      <c r="B168" s="546" t="s">
        <v>244</v>
      </c>
      <c r="C168" s="664" t="s">
        <v>9</v>
      </c>
      <c r="D168" s="512" t="s">
        <v>108</v>
      </c>
      <c r="E168" s="396">
        <v>0.3</v>
      </c>
      <c r="F168" s="397">
        <v>843</v>
      </c>
      <c r="G168" s="396">
        <v>12</v>
      </c>
      <c r="H168" s="441">
        <f t="shared" si="75"/>
        <v>3034.7999999999997</v>
      </c>
      <c r="I168" s="509"/>
      <c r="J168" s="396">
        <v>0.3</v>
      </c>
      <c r="K168" s="441">
        <v>723.57500000000005</v>
      </c>
      <c r="L168" s="396">
        <v>6</v>
      </c>
      <c r="M168" s="441">
        <f t="shared" ref="M168:M170" si="76">J168*K168*L168</f>
        <v>1302.4350000000002</v>
      </c>
      <c r="N168" s="508"/>
      <c r="O168" s="442">
        <f t="shared" ref="O168:O170" si="77">H168+M168</f>
        <v>4337.2349999999997</v>
      </c>
      <c r="P168" s="443"/>
      <c r="Q168" s="423"/>
      <c r="R168" s="247" t="s">
        <v>122</v>
      </c>
    </row>
    <row r="169" spans="1:19" s="794" customFormat="1" ht="15" customHeight="1" x14ac:dyDescent="0.3">
      <c r="B169" s="546" t="s">
        <v>245</v>
      </c>
      <c r="C169" s="664" t="s">
        <v>9</v>
      </c>
      <c r="D169" s="512" t="s">
        <v>108</v>
      </c>
      <c r="E169" s="396">
        <v>0.2</v>
      </c>
      <c r="F169" s="397">
        <v>1425.9999999999998</v>
      </c>
      <c r="G169" s="396">
        <v>12</v>
      </c>
      <c r="H169" s="441">
        <f t="shared" si="75"/>
        <v>3422.4</v>
      </c>
      <c r="I169" s="509"/>
      <c r="J169" s="396">
        <v>0.2</v>
      </c>
      <c r="K169" s="441">
        <f t="shared" ref="K169:K170" si="78">F169*1.03</f>
        <v>1468.7799999999997</v>
      </c>
      <c r="L169" s="396">
        <v>6</v>
      </c>
      <c r="M169" s="441">
        <f t="shared" si="76"/>
        <v>1762.5359999999998</v>
      </c>
      <c r="N169" s="508"/>
      <c r="O169" s="442">
        <f t="shared" si="77"/>
        <v>5184.9359999999997</v>
      </c>
      <c r="P169" s="443"/>
      <c r="Q169" s="423"/>
      <c r="R169" s="247" t="s">
        <v>122</v>
      </c>
    </row>
    <row r="170" spans="1:19" s="794" customFormat="1" ht="15" customHeight="1" x14ac:dyDescent="0.3">
      <c r="B170" s="546" t="s">
        <v>246</v>
      </c>
      <c r="C170" s="664" t="s">
        <v>9</v>
      </c>
      <c r="D170" s="512" t="s">
        <v>108</v>
      </c>
      <c r="E170" s="396">
        <v>0.2</v>
      </c>
      <c r="F170" s="397">
        <v>2344</v>
      </c>
      <c r="G170" s="396">
        <v>12</v>
      </c>
      <c r="H170" s="441">
        <f t="shared" si="75"/>
        <v>5625.6000000000013</v>
      </c>
      <c r="I170" s="509"/>
      <c r="J170" s="396">
        <v>0.2</v>
      </c>
      <c r="K170" s="441">
        <f t="shared" si="78"/>
        <v>2414.3200000000002</v>
      </c>
      <c r="L170" s="396">
        <v>6</v>
      </c>
      <c r="M170" s="441">
        <f t="shared" si="76"/>
        <v>2897.1840000000002</v>
      </c>
      <c r="N170" s="508"/>
      <c r="O170" s="442">
        <f t="shared" si="77"/>
        <v>8522.7840000000015</v>
      </c>
      <c r="P170" s="443"/>
      <c r="Q170" s="423"/>
      <c r="R170" s="247" t="s">
        <v>122</v>
      </c>
    </row>
    <row r="171" spans="1:19" s="733" customFormat="1" ht="15" customHeight="1" x14ac:dyDescent="0.3">
      <c r="A171" s="684"/>
      <c r="B171" s="217" t="s">
        <v>184</v>
      </c>
      <c r="C171" s="664" t="s">
        <v>9</v>
      </c>
      <c r="D171" s="453" t="s">
        <v>161</v>
      </c>
      <c r="E171" s="734">
        <v>1</v>
      </c>
      <c r="F171" s="735">
        <v>1000</v>
      </c>
      <c r="G171" s="735">
        <v>12</v>
      </c>
      <c r="H171" s="191">
        <f>E171*F171*G171</f>
        <v>12000</v>
      </c>
      <c r="I171" s="193"/>
      <c r="J171" s="734">
        <v>1</v>
      </c>
      <c r="K171" s="735">
        <v>1000</v>
      </c>
      <c r="L171" s="191">
        <v>6</v>
      </c>
      <c r="M171" s="191">
        <f>J171*K171*L171</f>
        <v>6000</v>
      </c>
      <c r="N171" s="193"/>
      <c r="O171" s="199">
        <f t="shared" ref="O171:O177" si="79">H171+M171</f>
        <v>18000</v>
      </c>
      <c r="P171" s="192"/>
      <c r="Q171" s="192"/>
      <c r="R171" s="736"/>
    </row>
    <row r="172" spans="1:19" s="733" customFormat="1" ht="15" customHeight="1" x14ac:dyDescent="0.3">
      <c r="A172" s="684"/>
      <c r="B172" s="217" t="s">
        <v>186</v>
      </c>
      <c r="C172" s="664" t="s">
        <v>9</v>
      </c>
      <c r="D172" s="453" t="s">
        <v>161</v>
      </c>
      <c r="E172" s="734">
        <v>0.5</v>
      </c>
      <c r="F172" s="735">
        <v>1000</v>
      </c>
      <c r="G172" s="735">
        <v>12</v>
      </c>
      <c r="H172" s="191">
        <f>E172*F172*G172</f>
        <v>6000</v>
      </c>
      <c r="I172" s="193"/>
      <c r="J172" s="734">
        <v>0.5</v>
      </c>
      <c r="K172" s="735">
        <v>1000</v>
      </c>
      <c r="L172" s="191">
        <v>6</v>
      </c>
      <c r="M172" s="191">
        <f>J172*K172*L172</f>
        <v>3000</v>
      </c>
      <c r="N172" s="193"/>
      <c r="O172" s="199">
        <f t="shared" si="79"/>
        <v>9000</v>
      </c>
      <c r="P172" s="192"/>
      <c r="Q172" s="192"/>
      <c r="R172" s="736"/>
    </row>
    <row r="173" spans="1:19" s="733" customFormat="1" ht="15" customHeight="1" x14ac:dyDescent="0.3">
      <c r="A173" s="684"/>
      <c r="B173" s="217" t="s">
        <v>187</v>
      </c>
      <c r="C173" s="664" t="s">
        <v>9</v>
      </c>
      <c r="D173" s="453" t="s">
        <v>161</v>
      </c>
      <c r="E173" s="734">
        <v>0.5</v>
      </c>
      <c r="F173" s="735">
        <v>850</v>
      </c>
      <c r="G173" s="735">
        <v>12</v>
      </c>
      <c r="H173" s="191">
        <f t="shared" ref="H173:H177" si="80">E173*F173*G173</f>
        <v>5100</v>
      </c>
      <c r="I173" s="193"/>
      <c r="J173" s="734">
        <v>0.5</v>
      </c>
      <c r="K173" s="735">
        <v>850</v>
      </c>
      <c r="L173" s="191">
        <v>6</v>
      </c>
      <c r="M173" s="191">
        <f t="shared" ref="M173:M177" si="81">J173*K173*L173</f>
        <v>2550</v>
      </c>
      <c r="N173" s="193"/>
      <c r="O173" s="199">
        <f t="shared" si="79"/>
        <v>7650</v>
      </c>
      <c r="P173" s="192"/>
      <c r="Q173" s="192"/>
      <c r="R173" s="736"/>
    </row>
    <row r="174" spans="1:19" s="733" customFormat="1" ht="15" customHeight="1" x14ac:dyDescent="0.3">
      <c r="A174" s="684"/>
      <c r="B174" s="217" t="s">
        <v>188</v>
      </c>
      <c r="C174" s="664" t="s">
        <v>9</v>
      </c>
      <c r="D174" s="453" t="s">
        <v>161</v>
      </c>
      <c r="E174" s="734">
        <v>0.5</v>
      </c>
      <c r="F174" s="735">
        <v>800</v>
      </c>
      <c r="G174" s="735">
        <v>12</v>
      </c>
      <c r="H174" s="191">
        <f t="shared" si="80"/>
        <v>4800</v>
      </c>
      <c r="I174" s="193"/>
      <c r="J174" s="734">
        <v>0.5</v>
      </c>
      <c r="K174" s="735">
        <v>800</v>
      </c>
      <c r="L174" s="191">
        <v>6</v>
      </c>
      <c r="M174" s="191">
        <f t="shared" si="81"/>
        <v>2400</v>
      </c>
      <c r="N174" s="193"/>
      <c r="O174" s="199">
        <f t="shared" si="79"/>
        <v>7200</v>
      </c>
      <c r="P174" s="192"/>
      <c r="Q174" s="192"/>
      <c r="R174" s="736"/>
    </row>
    <row r="175" spans="1:19" s="733" customFormat="1" ht="15" customHeight="1" x14ac:dyDescent="0.3">
      <c r="A175" s="684"/>
      <c r="B175" s="217" t="s">
        <v>189</v>
      </c>
      <c r="C175" s="664" t="s">
        <v>9</v>
      </c>
      <c r="D175" s="453" t="s">
        <v>161</v>
      </c>
      <c r="E175" s="734">
        <v>1</v>
      </c>
      <c r="F175" s="735">
        <v>750</v>
      </c>
      <c r="G175" s="735">
        <v>12</v>
      </c>
      <c r="H175" s="191">
        <f t="shared" si="80"/>
        <v>9000</v>
      </c>
      <c r="I175" s="193"/>
      <c r="J175" s="734">
        <v>1</v>
      </c>
      <c r="K175" s="735">
        <v>750</v>
      </c>
      <c r="L175" s="191">
        <v>6</v>
      </c>
      <c r="M175" s="191">
        <f t="shared" si="81"/>
        <v>4500</v>
      </c>
      <c r="N175" s="193"/>
      <c r="O175" s="199">
        <f t="shared" si="79"/>
        <v>13500</v>
      </c>
      <c r="P175" s="192"/>
      <c r="Q175" s="192"/>
      <c r="R175" s="736"/>
    </row>
    <row r="176" spans="1:19" s="733" customFormat="1" ht="15" customHeight="1" x14ac:dyDescent="0.3">
      <c r="A176" s="684"/>
      <c r="B176" s="217" t="s">
        <v>190</v>
      </c>
      <c r="C176" s="664" t="s">
        <v>9</v>
      </c>
      <c r="D176" s="453" t="s">
        <v>161</v>
      </c>
      <c r="E176" s="734">
        <v>1</v>
      </c>
      <c r="F176" s="735">
        <v>750</v>
      </c>
      <c r="G176" s="735">
        <v>12</v>
      </c>
      <c r="H176" s="191">
        <f t="shared" si="80"/>
        <v>9000</v>
      </c>
      <c r="I176" s="193"/>
      <c r="J176" s="734">
        <v>1</v>
      </c>
      <c r="K176" s="735">
        <v>750</v>
      </c>
      <c r="L176" s="191">
        <v>6</v>
      </c>
      <c r="M176" s="191">
        <f t="shared" si="81"/>
        <v>4500</v>
      </c>
      <c r="N176" s="193"/>
      <c r="O176" s="199">
        <f t="shared" si="79"/>
        <v>13500</v>
      </c>
      <c r="P176" s="192"/>
      <c r="Q176" s="192"/>
      <c r="R176" s="736"/>
    </row>
    <row r="177" spans="1:18" s="733" customFormat="1" ht="15" customHeight="1" x14ac:dyDescent="0.3">
      <c r="A177" s="684"/>
      <c r="B177" s="217" t="s">
        <v>191</v>
      </c>
      <c r="C177" s="664" t="s">
        <v>9</v>
      </c>
      <c r="D177" s="453" t="s">
        <v>161</v>
      </c>
      <c r="E177" s="734">
        <v>0.5</v>
      </c>
      <c r="F177" s="735">
        <v>600</v>
      </c>
      <c r="G177" s="735">
        <v>12</v>
      </c>
      <c r="H177" s="191">
        <f t="shared" si="80"/>
        <v>3600</v>
      </c>
      <c r="I177" s="193"/>
      <c r="J177" s="734">
        <v>0.5</v>
      </c>
      <c r="K177" s="735">
        <v>600</v>
      </c>
      <c r="L177" s="191">
        <v>6</v>
      </c>
      <c r="M177" s="191">
        <f t="shared" si="81"/>
        <v>1800</v>
      </c>
      <c r="N177" s="193"/>
      <c r="O177" s="199">
        <f t="shared" si="79"/>
        <v>5400</v>
      </c>
      <c r="P177" s="192"/>
      <c r="Q177" s="192"/>
      <c r="R177" s="736"/>
    </row>
    <row r="178" spans="1:18" s="737" customFormat="1" ht="15" customHeight="1" x14ac:dyDescent="0.3">
      <c r="B178" s="929" t="s">
        <v>42</v>
      </c>
      <c r="C178" s="898"/>
      <c r="D178" s="899"/>
      <c r="E178" s="917"/>
      <c r="F178" s="918"/>
      <c r="G178" s="917"/>
      <c r="H178" s="930"/>
      <c r="I178" s="167"/>
      <c r="J178" s="931"/>
      <c r="K178" s="918"/>
      <c r="L178" s="918"/>
      <c r="M178" s="930"/>
      <c r="N178" s="167"/>
      <c r="O178" s="933"/>
      <c r="P178" s="899"/>
      <c r="Q178" s="899"/>
      <c r="R178" s="934"/>
    </row>
    <row r="179" spans="1:18" s="700" customFormat="1" ht="15" customHeight="1" x14ac:dyDescent="0.3">
      <c r="B179" s="713" t="s">
        <v>232</v>
      </c>
      <c r="C179" s="656" t="s">
        <v>10</v>
      </c>
      <c r="D179" s="192" t="s">
        <v>108</v>
      </c>
      <c r="E179" s="192">
        <v>3</v>
      </c>
      <c r="F179" s="191">
        <v>2000</v>
      </c>
      <c r="G179" s="192">
        <v>1</v>
      </c>
      <c r="H179" s="659">
        <f t="shared" ref="H179:H181" si="82">E179*F179*G179</f>
        <v>6000</v>
      </c>
      <c r="I179" s="167"/>
      <c r="J179" s="192"/>
      <c r="K179" s="797"/>
      <c r="L179" s="192"/>
      <c r="M179" s="659">
        <f t="shared" ref="M179:M181" si="83">J179*K179*L179</f>
        <v>0</v>
      </c>
      <c r="N179" s="167"/>
      <c r="O179" s="661">
        <f t="shared" ref="O179:O181" si="84">H179+M179</f>
        <v>6000</v>
      </c>
      <c r="P179" s="662"/>
      <c r="Q179" s="653"/>
      <c r="R179" s="653"/>
    </row>
    <row r="180" spans="1:18" s="652" customFormat="1" ht="15" customHeight="1" x14ac:dyDescent="0.3">
      <c r="B180" s="217" t="s">
        <v>260</v>
      </c>
      <c r="C180" s="656" t="s">
        <v>10</v>
      </c>
      <c r="D180" s="453" t="s">
        <v>161</v>
      </c>
      <c r="E180" s="798">
        <v>1</v>
      </c>
      <c r="F180" s="799">
        <v>4000</v>
      </c>
      <c r="G180" s="798">
        <v>1</v>
      </c>
      <c r="H180" s="191">
        <f t="shared" si="82"/>
        <v>4000</v>
      </c>
      <c r="I180" s="193"/>
      <c r="J180" s="191">
        <v>0</v>
      </c>
      <c r="K180" s="191">
        <v>0</v>
      </c>
      <c r="L180" s="191">
        <v>0</v>
      </c>
      <c r="M180" s="191">
        <f t="shared" si="83"/>
        <v>0</v>
      </c>
      <c r="N180" s="193"/>
      <c r="O180" s="199">
        <f t="shared" si="84"/>
        <v>4000</v>
      </c>
      <c r="P180" s="192"/>
      <c r="Q180" s="192"/>
      <c r="R180" s="736"/>
    </row>
    <row r="181" spans="1:18" s="543" customFormat="1" ht="15" customHeight="1" x14ac:dyDescent="0.3">
      <c r="B181" s="237" t="s">
        <v>326</v>
      </c>
      <c r="C181" s="666" t="s">
        <v>10</v>
      </c>
      <c r="D181" s="510" t="s">
        <v>161</v>
      </c>
      <c r="E181" s="799">
        <v>2</v>
      </c>
      <c r="F181" s="799">
        <v>2000</v>
      </c>
      <c r="G181" s="799">
        <v>1</v>
      </c>
      <c r="H181" s="511">
        <f t="shared" si="82"/>
        <v>4000</v>
      </c>
      <c r="I181" s="193"/>
      <c r="J181" s="511">
        <v>1</v>
      </c>
      <c r="K181" s="511">
        <v>2000</v>
      </c>
      <c r="L181" s="511">
        <v>1</v>
      </c>
      <c r="M181" s="511">
        <f t="shared" si="83"/>
        <v>2000</v>
      </c>
      <c r="N181" s="193"/>
      <c r="O181" s="199">
        <f t="shared" si="84"/>
        <v>6000</v>
      </c>
      <c r="P181" s="512"/>
      <c r="Q181" s="512"/>
      <c r="R181" s="546"/>
    </row>
    <row r="182" spans="1:18" s="737" customFormat="1" ht="15" customHeight="1" x14ac:dyDescent="0.3">
      <c r="B182" s="929" t="s">
        <v>43</v>
      </c>
      <c r="C182" s="898"/>
      <c r="D182" s="899"/>
      <c r="E182" s="917"/>
      <c r="F182" s="918"/>
      <c r="G182" s="917"/>
      <c r="H182" s="930"/>
      <c r="I182" s="167"/>
      <c r="J182" s="931"/>
      <c r="K182" s="918"/>
      <c r="L182" s="918"/>
      <c r="M182" s="930"/>
      <c r="N182" s="167"/>
      <c r="O182" s="933"/>
      <c r="P182" s="899"/>
      <c r="Q182" s="899"/>
      <c r="R182" s="934"/>
    </row>
    <row r="183" spans="1:18" s="686" customFormat="1" ht="15" customHeight="1" x14ac:dyDescent="0.3">
      <c r="A183" s="132"/>
      <c r="B183" s="237" t="s">
        <v>75</v>
      </c>
      <c r="C183" s="666" t="s">
        <v>30</v>
      </c>
      <c r="D183" s="510" t="s">
        <v>70</v>
      </c>
      <c r="E183" s="544">
        <v>1</v>
      </c>
      <c r="F183" s="198">
        <v>7000</v>
      </c>
      <c r="G183" s="544">
        <v>1</v>
      </c>
      <c r="H183" s="695">
        <f t="shared" ref="H183:H185" si="85">E183*F183*G183</f>
        <v>7000</v>
      </c>
      <c r="I183" s="788"/>
      <c r="J183" s="695">
        <v>0</v>
      </c>
      <c r="K183" s="695">
        <v>0</v>
      </c>
      <c r="L183" s="695">
        <v>0</v>
      </c>
      <c r="M183" s="695">
        <f>J183*K183*L183</f>
        <v>0</v>
      </c>
      <c r="N183" s="789"/>
      <c r="O183" s="221">
        <f>H183+M183</f>
        <v>7000</v>
      </c>
      <c r="P183" s="235"/>
      <c r="Q183" s="236"/>
      <c r="R183" s="506"/>
    </row>
    <row r="184" spans="1:18" s="733" customFormat="1" ht="15" customHeight="1" x14ac:dyDescent="0.3">
      <c r="A184" s="238"/>
      <c r="B184" s="237" t="s">
        <v>76</v>
      </c>
      <c r="C184" s="656" t="s">
        <v>30</v>
      </c>
      <c r="D184" s="453" t="s">
        <v>70</v>
      </c>
      <c r="E184" s="126">
        <v>1</v>
      </c>
      <c r="F184" s="704">
        <v>2200</v>
      </c>
      <c r="G184" s="126">
        <v>1</v>
      </c>
      <c r="H184" s="695">
        <f t="shared" si="85"/>
        <v>2200</v>
      </c>
      <c r="I184" s="788"/>
      <c r="J184" s="695">
        <v>1</v>
      </c>
      <c r="K184" s="695">
        <v>1000</v>
      </c>
      <c r="L184" s="695">
        <v>1</v>
      </c>
      <c r="M184" s="695">
        <f>J184*K184*L184</f>
        <v>1000</v>
      </c>
      <c r="N184" s="789"/>
      <c r="O184" s="221">
        <f>H184+M184</f>
        <v>3200</v>
      </c>
      <c r="P184" s="235"/>
      <c r="Q184" s="236"/>
      <c r="R184" s="209"/>
    </row>
    <row r="185" spans="1:18" s="733" customFormat="1" ht="15" customHeight="1" x14ac:dyDescent="0.3">
      <c r="A185" s="238"/>
      <c r="B185" s="237" t="s">
        <v>77</v>
      </c>
      <c r="C185" s="656" t="s">
        <v>30</v>
      </c>
      <c r="D185" s="453" t="s">
        <v>70</v>
      </c>
      <c r="E185" s="126">
        <v>1</v>
      </c>
      <c r="F185" s="704">
        <v>10000</v>
      </c>
      <c r="G185" s="126">
        <v>1</v>
      </c>
      <c r="H185" s="695">
        <f t="shared" si="85"/>
        <v>10000</v>
      </c>
      <c r="I185" s="788"/>
      <c r="J185" s="695">
        <v>1</v>
      </c>
      <c r="K185" s="695">
        <v>5000</v>
      </c>
      <c r="L185" s="695">
        <v>1</v>
      </c>
      <c r="M185" s="695">
        <f>J185*K185*L185</f>
        <v>5000</v>
      </c>
      <c r="N185" s="789"/>
      <c r="O185" s="221">
        <f>H185+M185</f>
        <v>15000</v>
      </c>
      <c r="P185" s="235"/>
      <c r="Q185" s="236"/>
      <c r="R185" s="209"/>
    </row>
    <row r="186" spans="1:18" s="733" customFormat="1" ht="15" customHeight="1" x14ac:dyDescent="0.3">
      <c r="B186" s="800" t="s">
        <v>139</v>
      </c>
      <c r="C186" s="656" t="s">
        <v>30</v>
      </c>
      <c r="D186" s="192" t="s">
        <v>108</v>
      </c>
      <c r="E186" s="192">
        <v>1</v>
      </c>
      <c r="F186" s="191">
        <v>1200</v>
      </c>
      <c r="G186" s="192">
        <v>1</v>
      </c>
      <c r="H186" s="797">
        <f>E186*F186*G186</f>
        <v>1200</v>
      </c>
      <c r="I186" s="193"/>
      <c r="J186" s="192"/>
      <c r="K186" s="797"/>
      <c r="L186" s="192"/>
      <c r="M186" s="797">
        <f>J186*K186*L186</f>
        <v>0</v>
      </c>
      <c r="N186" s="193"/>
      <c r="O186" s="801">
        <f>H186+M186</f>
        <v>1200</v>
      </c>
      <c r="P186" s="802"/>
      <c r="Q186" s="192"/>
      <c r="R186" s="713" t="s">
        <v>140</v>
      </c>
    </row>
    <row r="187" spans="1:18" s="733" customFormat="1" ht="15" customHeight="1" x14ac:dyDescent="0.3">
      <c r="B187" s="800" t="s">
        <v>141</v>
      </c>
      <c r="C187" s="656" t="s">
        <v>30</v>
      </c>
      <c r="D187" s="192" t="s">
        <v>108</v>
      </c>
      <c r="E187" s="192">
        <v>2</v>
      </c>
      <c r="F187" s="191">
        <v>80</v>
      </c>
      <c r="G187" s="192">
        <v>1</v>
      </c>
      <c r="H187" s="797">
        <f t="shared" ref="H187:H195" si="86">E187*F187*G187</f>
        <v>160</v>
      </c>
      <c r="I187" s="193"/>
      <c r="J187" s="192"/>
      <c r="K187" s="797"/>
      <c r="L187" s="192"/>
      <c r="M187" s="797">
        <f t="shared" ref="M187:M195" si="87">J187*K187*L187</f>
        <v>0</v>
      </c>
      <c r="N187" s="193"/>
      <c r="O187" s="801">
        <f t="shared" ref="O187:O195" si="88">H187+M187</f>
        <v>160</v>
      </c>
      <c r="P187" s="802"/>
      <c r="Q187" s="192"/>
      <c r="R187" s="713" t="s">
        <v>140</v>
      </c>
    </row>
    <row r="188" spans="1:18" s="733" customFormat="1" ht="15" customHeight="1" x14ac:dyDescent="0.3">
      <c r="B188" s="800" t="s">
        <v>142</v>
      </c>
      <c r="C188" s="656" t="s">
        <v>30</v>
      </c>
      <c r="D188" s="192" t="s">
        <v>108</v>
      </c>
      <c r="E188" s="192">
        <v>2</v>
      </c>
      <c r="F188" s="191">
        <v>120</v>
      </c>
      <c r="G188" s="192">
        <v>1</v>
      </c>
      <c r="H188" s="797">
        <f t="shared" si="86"/>
        <v>240</v>
      </c>
      <c r="I188" s="193"/>
      <c r="J188" s="192"/>
      <c r="K188" s="797"/>
      <c r="L188" s="192"/>
      <c r="M188" s="797">
        <f t="shared" si="87"/>
        <v>0</v>
      </c>
      <c r="N188" s="193"/>
      <c r="O188" s="801">
        <f t="shared" si="88"/>
        <v>240</v>
      </c>
      <c r="P188" s="802"/>
      <c r="Q188" s="192"/>
      <c r="R188" s="713" t="s">
        <v>140</v>
      </c>
    </row>
    <row r="189" spans="1:18" s="803" customFormat="1" ht="15" customHeight="1" x14ac:dyDescent="0.3">
      <c r="B189" s="800" t="s">
        <v>225</v>
      </c>
      <c r="C189" s="656" t="s">
        <v>30</v>
      </c>
      <c r="D189" s="192" t="s">
        <v>108</v>
      </c>
      <c r="E189" s="192">
        <v>1</v>
      </c>
      <c r="F189" s="191">
        <v>3000</v>
      </c>
      <c r="G189" s="192">
        <v>1</v>
      </c>
      <c r="H189" s="797">
        <f t="shared" si="86"/>
        <v>3000</v>
      </c>
      <c r="I189" s="886"/>
      <c r="J189" s="192">
        <v>1</v>
      </c>
      <c r="K189" s="797">
        <v>1500</v>
      </c>
      <c r="L189" s="192">
        <v>1</v>
      </c>
      <c r="M189" s="797">
        <f t="shared" si="87"/>
        <v>1500</v>
      </c>
      <c r="N189" s="886"/>
      <c r="O189" s="801">
        <f t="shared" si="88"/>
        <v>4500</v>
      </c>
      <c r="P189" s="802"/>
      <c r="Q189" s="192"/>
      <c r="R189" s="713" t="s">
        <v>140</v>
      </c>
    </row>
    <row r="190" spans="1:18" s="652" customFormat="1" ht="15" customHeight="1" x14ac:dyDescent="0.3">
      <c r="B190" s="217" t="s">
        <v>153</v>
      </c>
      <c r="C190" s="656" t="s">
        <v>30</v>
      </c>
      <c r="D190" s="453" t="s">
        <v>161</v>
      </c>
      <c r="E190" s="798">
        <v>3</v>
      </c>
      <c r="F190" s="798">
        <v>800</v>
      </c>
      <c r="G190" s="798">
        <v>1</v>
      </c>
      <c r="H190" s="191">
        <f t="shared" si="86"/>
        <v>2400</v>
      </c>
      <c r="I190" s="193"/>
      <c r="J190" s="191">
        <v>0</v>
      </c>
      <c r="K190" s="191">
        <v>0</v>
      </c>
      <c r="L190" s="191">
        <v>0</v>
      </c>
      <c r="M190" s="191">
        <f t="shared" si="87"/>
        <v>0</v>
      </c>
      <c r="N190" s="193"/>
      <c r="O190" s="199">
        <f t="shared" si="88"/>
        <v>2400</v>
      </c>
      <c r="P190" s="192"/>
      <c r="Q190" s="192"/>
      <c r="R190" s="736"/>
    </row>
    <row r="191" spans="1:18" s="652" customFormat="1" ht="15" customHeight="1" x14ac:dyDescent="0.3">
      <c r="B191" s="217" t="s">
        <v>151</v>
      </c>
      <c r="C191" s="656" t="s">
        <v>30</v>
      </c>
      <c r="D191" s="453" t="s">
        <v>161</v>
      </c>
      <c r="E191" s="804">
        <v>1</v>
      </c>
      <c r="F191" s="798">
        <v>300</v>
      </c>
      <c r="G191" s="798">
        <v>1</v>
      </c>
      <c r="H191" s="191">
        <f t="shared" si="86"/>
        <v>300</v>
      </c>
      <c r="I191" s="193"/>
      <c r="J191" s="191">
        <v>0</v>
      </c>
      <c r="K191" s="191">
        <v>0</v>
      </c>
      <c r="L191" s="191">
        <v>0</v>
      </c>
      <c r="M191" s="191">
        <f t="shared" si="87"/>
        <v>0</v>
      </c>
      <c r="N191" s="193"/>
      <c r="O191" s="199">
        <f t="shared" si="88"/>
        <v>300</v>
      </c>
      <c r="P191" s="192"/>
      <c r="Q191" s="192"/>
      <c r="R191" s="736"/>
    </row>
    <row r="192" spans="1:18" s="652" customFormat="1" ht="15" customHeight="1" x14ac:dyDescent="0.3">
      <c r="B192" s="217" t="s">
        <v>152</v>
      </c>
      <c r="C192" s="656" t="s">
        <v>30</v>
      </c>
      <c r="D192" s="453" t="s">
        <v>161</v>
      </c>
      <c r="E192" s="804">
        <v>20</v>
      </c>
      <c r="F192" s="798">
        <v>30</v>
      </c>
      <c r="G192" s="798">
        <v>1</v>
      </c>
      <c r="H192" s="191">
        <f t="shared" si="86"/>
        <v>600</v>
      </c>
      <c r="I192" s="193"/>
      <c r="J192" s="191">
        <v>0</v>
      </c>
      <c r="K192" s="191">
        <v>0</v>
      </c>
      <c r="L192" s="191">
        <v>0</v>
      </c>
      <c r="M192" s="191">
        <f t="shared" si="87"/>
        <v>0</v>
      </c>
      <c r="N192" s="193"/>
      <c r="O192" s="199">
        <f t="shared" si="88"/>
        <v>600</v>
      </c>
      <c r="P192" s="192"/>
      <c r="Q192" s="192"/>
      <c r="R192" s="736"/>
    </row>
    <row r="193" spans="1:18" s="733" customFormat="1" ht="15" customHeight="1" x14ac:dyDescent="0.3">
      <c r="B193" s="800" t="s">
        <v>193</v>
      </c>
      <c r="C193" s="656" t="s">
        <v>30</v>
      </c>
      <c r="D193" s="453" t="s">
        <v>161</v>
      </c>
      <c r="E193" s="192">
        <v>3</v>
      </c>
      <c r="F193" s="192">
        <v>600</v>
      </c>
      <c r="G193" s="192">
        <v>1</v>
      </c>
      <c r="H193" s="935">
        <f t="shared" si="86"/>
        <v>1800</v>
      </c>
      <c r="I193" s="132"/>
      <c r="J193" s="192">
        <v>0</v>
      </c>
      <c r="K193" s="192">
        <v>0</v>
      </c>
      <c r="L193" s="192">
        <v>0</v>
      </c>
      <c r="M193" s="192">
        <f t="shared" si="87"/>
        <v>0</v>
      </c>
      <c r="N193" s="132"/>
      <c r="O193" s="727">
        <f t="shared" si="88"/>
        <v>1800</v>
      </c>
      <c r="P193" s="727"/>
      <c r="Q193" s="727"/>
      <c r="R193" s="713"/>
    </row>
    <row r="194" spans="1:18" s="733" customFormat="1" ht="15" customHeight="1" x14ac:dyDescent="0.3">
      <c r="B194" s="713" t="s">
        <v>194</v>
      </c>
      <c r="C194" s="656" t="s">
        <v>30</v>
      </c>
      <c r="D194" s="453" t="s">
        <v>161</v>
      </c>
      <c r="E194" s="192">
        <v>2</v>
      </c>
      <c r="F194" s="192">
        <v>80</v>
      </c>
      <c r="G194" s="192">
        <v>1</v>
      </c>
      <c r="H194" s="935">
        <f t="shared" si="86"/>
        <v>160</v>
      </c>
      <c r="I194" s="132"/>
      <c r="J194" s="192">
        <v>0</v>
      </c>
      <c r="K194" s="192">
        <v>0</v>
      </c>
      <c r="L194" s="192">
        <v>0</v>
      </c>
      <c r="M194" s="192">
        <f t="shared" si="87"/>
        <v>0</v>
      </c>
      <c r="N194" s="132"/>
      <c r="O194" s="727">
        <f t="shared" si="88"/>
        <v>160</v>
      </c>
      <c r="P194" s="727"/>
      <c r="Q194" s="727"/>
      <c r="R194" s="713"/>
    </row>
    <row r="195" spans="1:18" s="733" customFormat="1" ht="15" customHeight="1" x14ac:dyDescent="0.3">
      <c r="B195" s="713" t="s">
        <v>192</v>
      </c>
      <c r="C195" s="656" t="s">
        <v>30</v>
      </c>
      <c r="D195" s="453" t="s">
        <v>161</v>
      </c>
      <c r="E195" s="192">
        <v>2</v>
      </c>
      <c r="F195" s="192">
        <v>120</v>
      </c>
      <c r="G195" s="192">
        <v>1</v>
      </c>
      <c r="H195" s="935">
        <f t="shared" si="86"/>
        <v>240</v>
      </c>
      <c r="I195" s="132"/>
      <c r="J195" s="192">
        <v>0</v>
      </c>
      <c r="K195" s="192">
        <v>0</v>
      </c>
      <c r="L195" s="192">
        <v>0</v>
      </c>
      <c r="M195" s="192">
        <f t="shared" si="87"/>
        <v>0</v>
      </c>
      <c r="N195" s="132"/>
      <c r="O195" s="727">
        <f t="shared" si="88"/>
        <v>240</v>
      </c>
      <c r="P195" s="727"/>
      <c r="Q195" s="727"/>
      <c r="R195" s="713"/>
    </row>
    <row r="196" spans="1:18" s="737" customFormat="1" ht="15" customHeight="1" x14ac:dyDescent="0.3">
      <c r="B196" s="929" t="s">
        <v>44</v>
      </c>
      <c r="C196" s="898"/>
      <c r="D196" s="899"/>
      <c r="E196" s="917"/>
      <c r="F196" s="918"/>
      <c r="G196" s="917"/>
      <c r="H196" s="930"/>
      <c r="I196" s="167"/>
      <c r="J196" s="931"/>
      <c r="K196" s="918"/>
      <c r="L196" s="918"/>
      <c r="M196" s="930"/>
      <c r="N196" s="167"/>
      <c r="O196" s="933"/>
      <c r="P196" s="899"/>
      <c r="Q196" s="899"/>
      <c r="R196" s="934"/>
    </row>
    <row r="197" spans="1:18" s="733" customFormat="1" ht="15" customHeight="1" x14ac:dyDescent="0.3">
      <c r="B197" s="217" t="s">
        <v>154</v>
      </c>
      <c r="C197" s="656" t="s">
        <v>11</v>
      </c>
      <c r="D197" s="453" t="s">
        <v>161</v>
      </c>
      <c r="E197" s="798">
        <v>4</v>
      </c>
      <c r="F197" s="798">
        <v>100</v>
      </c>
      <c r="G197" s="798">
        <v>12</v>
      </c>
      <c r="H197" s="191">
        <f t="shared" ref="H197" si="89">E197*F197*G197</f>
        <v>4800</v>
      </c>
      <c r="I197" s="193"/>
      <c r="J197" s="798">
        <v>4</v>
      </c>
      <c r="K197" s="798">
        <v>100</v>
      </c>
      <c r="L197" s="798">
        <v>6</v>
      </c>
      <c r="M197" s="191">
        <f t="shared" ref="M197" si="90">J197*K197*L197</f>
        <v>2400</v>
      </c>
      <c r="N197" s="193"/>
      <c r="O197" s="199">
        <f t="shared" ref="O197" si="91">H197+M197</f>
        <v>7200</v>
      </c>
      <c r="P197" s="192"/>
      <c r="Q197" s="192"/>
      <c r="R197" s="736"/>
    </row>
    <row r="198" spans="1:18" s="737" customFormat="1" ht="15" customHeight="1" x14ac:dyDescent="0.3">
      <c r="B198" s="929" t="s">
        <v>46</v>
      </c>
      <c r="C198" s="898"/>
      <c r="D198" s="899"/>
      <c r="E198" s="917"/>
      <c r="F198" s="918"/>
      <c r="G198" s="917"/>
      <c r="H198" s="930"/>
      <c r="I198" s="167"/>
      <c r="J198" s="931"/>
      <c r="K198" s="918"/>
      <c r="L198" s="918"/>
      <c r="M198" s="930"/>
      <c r="N198" s="167"/>
      <c r="O198" s="933"/>
      <c r="P198" s="899"/>
      <c r="Q198" s="899"/>
      <c r="R198" s="934"/>
    </row>
    <row r="199" spans="1:18" s="733" customFormat="1" ht="15" customHeight="1" x14ac:dyDescent="0.3">
      <c r="A199" s="238"/>
      <c r="B199" s="237" t="s">
        <v>78</v>
      </c>
      <c r="C199" s="698" t="s">
        <v>12</v>
      </c>
      <c r="D199" s="453" t="s">
        <v>70</v>
      </c>
      <c r="E199" s="126">
        <v>1</v>
      </c>
      <c r="F199" s="704">
        <v>710</v>
      </c>
      <c r="G199" s="126">
        <v>12</v>
      </c>
      <c r="H199" s="695">
        <f t="shared" ref="H199:H200" si="92">E199*F199*G199</f>
        <v>8520</v>
      </c>
      <c r="I199" s="788"/>
      <c r="J199" s="704">
        <v>1</v>
      </c>
      <c r="K199" s="704">
        <v>710</v>
      </c>
      <c r="L199" s="704">
        <v>6</v>
      </c>
      <c r="M199" s="695">
        <f>J199*K199*L199</f>
        <v>4260</v>
      </c>
      <c r="N199" s="789"/>
      <c r="O199" s="221">
        <f>H199+M199</f>
        <v>12780</v>
      </c>
      <c r="P199" s="235"/>
      <c r="Q199" s="236"/>
      <c r="R199" s="506"/>
    </row>
    <row r="200" spans="1:18" s="686" customFormat="1" ht="15" customHeight="1" x14ac:dyDescent="0.3">
      <c r="A200" s="132"/>
      <c r="B200" s="237" t="s">
        <v>79</v>
      </c>
      <c r="C200" s="691" t="s">
        <v>12</v>
      </c>
      <c r="D200" s="510" t="s">
        <v>70</v>
      </c>
      <c r="E200" s="544">
        <v>1</v>
      </c>
      <c r="F200" s="198">
        <v>2250</v>
      </c>
      <c r="G200" s="544">
        <v>12</v>
      </c>
      <c r="H200" s="695">
        <f t="shared" si="92"/>
        <v>27000</v>
      </c>
      <c r="I200" s="788"/>
      <c r="J200" s="198">
        <v>1</v>
      </c>
      <c r="K200" s="198">
        <v>2250</v>
      </c>
      <c r="L200" s="198">
        <v>6</v>
      </c>
      <c r="M200" s="695">
        <f>J200*K200*L200</f>
        <v>13500</v>
      </c>
      <c r="N200" s="789"/>
      <c r="O200" s="221">
        <f>H200+M200</f>
        <v>40500</v>
      </c>
      <c r="P200" s="235"/>
      <c r="Q200" s="236"/>
      <c r="R200" s="506"/>
    </row>
    <row r="201" spans="1:18" s="794" customFormat="1" ht="15" customHeight="1" x14ac:dyDescent="0.3">
      <c r="B201" s="546" t="s">
        <v>144</v>
      </c>
      <c r="C201" s="691" t="s">
        <v>12</v>
      </c>
      <c r="D201" s="512" t="s">
        <v>108</v>
      </c>
      <c r="E201" s="512">
        <v>1200</v>
      </c>
      <c r="F201" s="805">
        <f>1.5*0.2</f>
        <v>0.30000000000000004</v>
      </c>
      <c r="G201" s="512">
        <v>12</v>
      </c>
      <c r="H201" s="751">
        <f>E201*F201*G201</f>
        <v>4320.0000000000009</v>
      </c>
      <c r="I201" s="886"/>
      <c r="J201" s="512">
        <v>1200</v>
      </c>
      <c r="K201" s="751">
        <f>1.5*0.2</f>
        <v>0.30000000000000004</v>
      </c>
      <c r="L201" s="512">
        <v>6</v>
      </c>
      <c r="M201" s="751">
        <f>J201*K201*L201</f>
        <v>2160.0000000000005</v>
      </c>
      <c r="N201" s="886"/>
      <c r="O201" s="795">
        <f>H201+M201</f>
        <v>6480.0000000000018</v>
      </c>
      <c r="P201" s="796"/>
      <c r="Q201" s="512"/>
      <c r="R201" s="546" t="s">
        <v>140</v>
      </c>
    </row>
    <row r="202" spans="1:18" s="686" customFormat="1" ht="15" customHeight="1" x14ac:dyDescent="0.3">
      <c r="B202" s="546" t="s">
        <v>145</v>
      </c>
      <c r="C202" s="691" t="s">
        <v>12</v>
      </c>
      <c r="D202" s="512" t="s">
        <v>108</v>
      </c>
      <c r="E202" s="512">
        <v>1</v>
      </c>
      <c r="F202" s="511">
        <v>300</v>
      </c>
      <c r="G202" s="512">
        <v>12</v>
      </c>
      <c r="H202" s="751">
        <f t="shared" ref="H202:H205" si="93">E202*F202*G202</f>
        <v>3600</v>
      </c>
      <c r="I202" s="193"/>
      <c r="J202" s="512">
        <v>1</v>
      </c>
      <c r="K202" s="751">
        <v>300</v>
      </c>
      <c r="L202" s="512">
        <v>6</v>
      </c>
      <c r="M202" s="751">
        <f t="shared" ref="M202:M205" si="94">J202*K202*L202</f>
        <v>1800</v>
      </c>
      <c r="N202" s="193"/>
      <c r="O202" s="795">
        <f t="shared" ref="O202:O205" si="95">H202+M202</f>
        <v>5400</v>
      </c>
      <c r="P202" s="796"/>
      <c r="Q202" s="512"/>
      <c r="R202" s="546" t="s">
        <v>140</v>
      </c>
    </row>
    <row r="203" spans="1:18" s="686" customFormat="1" ht="15" customHeight="1" x14ac:dyDescent="0.3">
      <c r="B203" s="237" t="s">
        <v>155</v>
      </c>
      <c r="C203" s="691" t="s">
        <v>12</v>
      </c>
      <c r="D203" s="510" t="s">
        <v>161</v>
      </c>
      <c r="E203" s="799">
        <v>1</v>
      </c>
      <c r="F203" s="799">
        <v>2500</v>
      </c>
      <c r="G203" s="799">
        <v>1</v>
      </c>
      <c r="H203" s="511">
        <f t="shared" si="93"/>
        <v>2500</v>
      </c>
      <c r="I203" s="193"/>
      <c r="J203" s="511">
        <v>0</v>
      </c>
      <c r="K203" s="511">
        <v>0</v>
      </c>
      <c r="L203" s="511">
        <v>0</v>
      </c>
      <c r="M203" s="511">
        <f t="shared" si="94"/>
        <v>0</v>
      </c>
      <c r="N203" s="193"/>
      <c r="O203" s="199">
        <f t="shared" si="95"/>
        <v>2500</v>
      </c>
      <c r="P203" s="512"/>
      <c r="Q203" s="512"/>
      <c r="R203" s="764"/>
    </row>
    <row r="204" spans="1:18" s="686" customFormat="1" ht="15" customHeight="1" x14ac:dyDescent="0.3">
      <c r="B204" s="237" t="s">
        <v>156</v>
      </c>
      <c r="C204" s="691" t="s">
        <v>12</v>
      </c>
      <c r="D204" s="510" t="s">
        <v>161</v>
      </c>
      <c r="E204" s="799">
        <v>1</v>
      </c>
      <c r="F204" s="799">
        <v>3000</v>
      </c>
      <c r="G204" s="799">
        <v>1</v>
      </c>
      <c r="H204" s="511">
        <f t="shared" si="93"/>
        <v>3000</v>
      </c>
      <c r="I204" s="193"/>
      <c r="J204" s="511">
        <v>0</v>
      </c>
      <c r="K204" s="511">
        <v>0</v>
      </c>
      <c r="L204" s="511">
        <v>0</v>
      </c>
      <c r="M204" s="511">
        <f t="shared" si="94"/>
        <v>0</v>
      </c>
      <c r="N204" s="193"/>
      <c r="O204" s="199">
        <f t="shared" si="95"/>
        <v>3000</v>
      </c>
      <c r="P204" s="512"/>
      <c r="Q204" s="512"/>
      <c r="R204" s="764"/>
    </row>
    <row r="205" spans="1:18" s="686" customFormat="1" ht="15" customHeight="1" x14ac:dyDescent="0.3">
      <c r="B205" s="237" t="s">
        <v>157</v>
      </c>
      <c r="C205" s="691" t="s">
        <v>12</v>
      </c>
      <c r="D205" s="510" t="s">
        <v>161</v>
      </c>
      <c r="E205" s="799">
        <v>1</v>
      </c>
      <c r="F205" s="799">
        <v>1000</v>
      </c>
      <c r="G205" s="799">
        <v>2</v>
      </c>
      <c r="H205" s="511">
        <f t="shared" si="93"/>
        <v>2000</v>
      </c>
      <c r="I205" s="193"/>
      <c r="J205" s="511">
        <v>0</v>
      </c>
      <c r="K205" s="511">
        <v>0</v>
      </c>
      <c r="L205" s="511">
        <v>0</v>
      </c>
      <c r="M205" s="511">
        <f t="shared" si="94"/>
        <v>0</v>
      </c>
      <c r="N205" s="193"/>
      <c r="O205" s="199">
        <f t="shared" si="95"/>
        <v>2000</v>
      </c>
      <c r="P205" s="512"/>
      <c r="Q205" s="512"/>
      <c r="R205" s="764"/>
    </row>
    <row r="206" spans="1:18" s="543" customFormat="1" ht="15" customHeight="1" x14ac:dyDescent="0.3">
      <c r="B206" s="237" t="s">
        <v>240</v>
      </c>
      <c r="C206" s="691" t="s">
        <v>12</v>
      </c>
      <c r="D206" s="510" t="s">
        <v>161</v>
      </c>
      <c r="E206" s="799">
        <v>2</v>
      </c>
      <c r="F206" s="799">
        <v>5000</v>
      </c>
      <c r="G206" s="799">
        <v>1</v>
      </c>
      <c r="H206" s="511">
        <f>E206*F206*G206</f>
        <v>10000</v>
      </c>
      <c r="I206" s="193"/>
      <c r="J206" s="511">
        <v>0</v>
      </c>
      <c r="K206" s="511">
        <v>0</v>
      </c>
      <c r="L206" s="511">
        <v>0</v>
      </c>
      <c r="M206" s="511">
        <f>J206*K206*L206</f>
        <v>0</v>
      </c>
      <c r="N206" s="193"/>
      <c r="O206" s="199">
        <f>H206+M206</f>
        <v>10000</v>
      </c>
      <c r="P206" s="512"/>
      <c r="Q206" s="512"/>
      <c r="R206" s="764"/>
    </row>
    <row r="207" spans="1:18" s="686" customFormat="1" ht="15" customHeight="1" x14ac:dyDescent="0.3">
      <c r="B207" s="237" t="s">
        <v>327</v>
      </c>
      <c r="C207" s="691" t="s">
        <v>12</v>
      </c>
      <c r="D207" s="510" t="s">
        <v>161</v>
      </c>
      <c r="E207" s="799">
        <v>1</v>
      </c>
      <c r="F207" s="799">
        <v>500</v>
      </c>
      <c r="G207" s="799">
        <v>12</v>
      </c>
      <c r="H207" s="229">
        <f>E207*F207*G207</f>
        <v>6000</v>
      </c>
      <c r="I207" s="193"/>
      <c r="J207" s="799">
        <v>1</v>
      </c>
      <c r="K207" s="799">
        <v>500</v>
      </c>
      <c r="L207" s="799">
        <v>6</v>
      </c>
      <c r="M207" s="229">
        <f>J207*K207*L207</f>
        <v>3000</v>
      </c>
      <c r="N207" s="193"/>
      <c r="O207" s="199">
        <f>H207+M207</f>
        <v>9000</v>
      </c>
      <c r="P207" s="512"/>
      <c r="Q207" s="512"/>
      <c r="R207" s="546" t="s">
        <v>328</v>
      </c>
    </row>
    <row r="208" spans="1:18" s="737" customFormat="1" ht="15" customHeight="1" x14ac:dyDescent="0.3">
      <c r="B208" s="929" t="s">
        <v>47</v>
      </c>
      <c r="C208" s="898"/>
      <c r="D208" s="899"/>
      <c r="E208" s="917"/>
      <c r="F208" s="918"/>
      <c r="G208" s="917"/>
      <c r="H208" s="930"/>
      <c r="I208" s="167"/>
      <c r="J208" s="931"/>
      <c r="K208" s="918"/>
      <c r="L208" s="918"/>
      <c r="M208" s="930"/>
      <c r="N208" s="167"/>
      <c r="O208" s="933"/>
      <c r="P208" s="899"/>
      <c r="Q208" s="899"/>
      <c r="R208" s="934"/>
    </row>
    <row r="209" spans="2:18" s="686" customFormat="1" ht="15" customHeight="1" x14ac:dyDescent="0.3">
      <c r="B209" s="546" t="s">
        <v>132</v>
      </c>
      <c r="C209" s="691" t="s">
        <v>13</v>
      </c>
      <c r="D209" s="512" t="s">
        <v>108</v>
      </c>
      <c r="E209" s="396">
        <v>0.2</v>
      </c>
      <c r="F209" s="397">
        <v>2000</v>
      </c>
      <c r="G209" s="396">
        <v>12</v>
      </c>
      <c r="H209" s="441">
        <f t="shared" ref="H209:H219" si="96">G209*E209*F209</f>
        <v>4800.0000000000009</v>
      </c>
      <c r="I209" s="509"/>
      <c r="J209" s="396">
        <v>0.2</v>
      </c>
      <c r="K209" s="441">
        <f t="shared" ref="K209:K219" si="97">F209*1.03</f>
        <v>2060</v>
      </c>
      <c r="L209" s="396">
        <v>6</v>
      </c>
      <c r="M209" s="441">
        <f t="shared" ref="M209:M219" si="98">J209*K209*L209</f>
        <v>2472</v>
      </c>
      <c r="N209" s="509"/>
      <c r="O209" s="442">
        <f t="shared" ref="O209:O219" si="99">H209+M209</f>
        <v>7272.0000000000009</v>
      </c>
      <c r="P209" s="443"/>
      <c r="Q209" s="423"/>
      <c r="R209" s="247" t="s">
        <v>122</v>
      </c>
    </row>
    <row r="210" spans="2:18" s="686" customFormat="1" ht="15" customHeight="1" x14ac:dyDescent="0.3">
      <c r="B210" s="546" t="s">
        <v>133</v>
      </c>
      <c r="C210" s="691" t="s">
        <v>13</v>
      </c>
      <c r="D210" s="512" t="s">
        <v>108</v>
      </c>
      <c r="E210" s="396">
        <v>0.2</v>
      </c>
      <c r="F210" s="397">
        <v>1375</v>
      </c>
      <c r="G210" s="396">
        <v>12</v>
      </c>
      <c r="H210" s="441">
        <f t="shared" si="96"/>
        <v>3300.0000000000005</v>
      </c>
      <c r="I210" s="509"/>
      <c r="J210" s="396">
        <v>0.2</v>
      </c>
      <c r="K210" s="441">
        <f t="shared" si="97"/>
        <v>1416.25</v>
      </c>
      <c r="L210" s="396">
        <v>6</v>
      </c>
      <c r="M210" s="441">
        <f t="shared" si="98"/>
        <v>1699.5</v>
      </c>
      <c r="N210" s="509"/>
      <c r="O210" s="442">
        <f t="shared" si="99"/>
        <v>4999.5</v>
      </c>
      <c r="P210" s="443"/>
      <c r="Q210" s="423"/>
      <c r="R210" s="247" t="s">
        <v>122</v>
      </c>
    </row>
    <row r="211" spans="2:18" s="794" customFormat="1" ht="15" customHeight="1" x14ac:dyDescent="0.3">
      <c r="B211" s="546" t="s">
        <v>221</v>
      </c>
      <c r="C211" s="691" t="s">
        <v>13</v>
      </c>
      <c r="D211" s="512" t="s">
        <v>108</v>
      </c>
      <c r="E211" s="396">
        <v>0.5</v>
      </c>
      <c r="F211" s="397">
        <v>892</v>
      </c>
      <c r="G211" s="396">
        <v>12</v>
      </c>
      <c r="H211" s="441">
        <f t="shared" si="96"/>
        <v>5352</v>
      </c>
      <c r="I211" s="508"/>
      <c r="J211" s="396">
        <v>0.5</v>
      </c>
      <c r="K211" s="441">
        <f t="shared" si="97"/>
        <v>918.76</v>
      </c>
      <c r="L211" s="396">
        <v>6</v>
      </c>
      <c r="M211" s="441">
        <f t="shared" si="98"/>
        <v>2756.2799999999997</v>
      </c>
      <c r="N211" s="508"/>
      <c r="O211" s="442">
        <f t="shared" si="99"/>
        <v>8108.28</v>
      </c>
      <c r="P211" s="443"/>
      <c r="Q211" s="423"/>
      <c r="R211" s="247" t="s">
        <v>122</v>
      </c>
    </row>
    <row r="212" spans="2:18" s="794" customFormat="1" ht="15" customHeight="1" x14ac:dyDescent="0.3">
      <c r="B212" s="546" t="s">
        <v>222</v>
      </c>
      <c r="C212" s="691" t="s">
        <v>13</v>
      </c>
      <c r="D212" s="512" t="s">
        <v>108</v>
      </c>
      <c r="E212" s="396">
        <v>1</v>
      </c>
      <c r="F212" s="397">
        <v>600</v>
      </c>
      <c r="G212" s="396">
        <v>12</v>
      </c>
      <c r="H212" s="441">
        <f t="shared" si="96"/>
        <v>7200</v>
      </c>
      <c r="I212" s="508"/>
      <c r="J212" s="396">
        <v>1</v>
      </c>
      <c r="K212" s="441">
        <f t="shared" si="97"/>
        <v>618</v>
      </c>
      <c r="L212" s="396">
        <v>6</v>
      </c>
      <c r="M212" s="441">
        <f t="shared" si="98"/>
        <v>3708</v>
      </c>
      <c r="N212" s="508"/>
      <c r="O212" s="442">
        <f t="shared" si="99"/>
        <v>10908</v>
      </c>
      <c r="P212" s="443"/>
      <c r="Q212" s="423"/>
      <c r="R212" s="247" t="s">
        <v>122</v>
      </c>
    </row>
    <row r="213" spans="2:18" s="686" customFormat="1" ht="15" customHeight="1" x14ac:dyDescent="0.3">
      <c r="B213" s="546" t="s">
        <v>134</v>
      </c>
      <c r="C213" s="691" t="s">
        <v>13</v>
      </c>
      <c r="D213" s="512" t="s">
        <v>108</v>
      </c>
      <c r="E213" s="396">
        <v>0.2</v>
      </c>
      <c r="F213" s="397">
        <v>1300</v>
      </c>
      <c r="G213" s="396">
        <v>12</v>
      </c>
      <c r="H213" s="441">
        <f t="shared" si="96"/>
        <v>3120.0000000000005</v>
      </c>
      <c r="I213" s="509"/>
      <c r="J213" s="396">
        <v>0.2</v>
      </c>
      <c r="K213" s="441">
        <f t="shared" si="97"/>
        <v>1339</v>
      </c>
      <c r="L213" s="396">
        <v>6</v>
      </c>
      <c r="M213" s="441">
        <f t="shared" si="98"/>
        <v>1606.8000000000002</v>
      </c>
      <c r="N213" s="509"/>
      <c r="O213" s="442">
        <f t="shared" si="99"/>
        <v>4726.8000000000011</v>
      </c>
      <c r="P213" s="443"/>
      <c r="Q213" s="423"/>
      <c r="R213" s="247" t="s">
        <v>122</v>
      </c>
    </row>
    <row r="214" spans="2:18" s="794" customFormat="1" ht="15" customHeight="1" x14ac:dyDescent="0.3">
      <c r="B214" s="546" t="s">
        <v>223</v>
      </c>
      <c r="C214" s="691" t="s">
        <v>13</v>
      </c>
      <c r="D214" s="512" t="s">
        <v>108</v>
      </c>
      <c r="E214" s="396">
        <v>0.3</v>
      </c>
      <c r="F214" s="397">
        <v>1333.3333333333335</v>
      </c>
      <c r="G214" s="396">
        <v>12</v>
      </c>
      <c r="H214" s="441">
        <f t="shared" si="96"/>
        <v>4800</v>
      </c>
      <c r="I214" s="508"/>
      <c r="J214" s="396">
        <v>0.3</v>
      </c>
      <c r="K214" s="441">
        <f t="shared" si="97"/>
        <v>1373.3333333333335</v>
      </c>
      <c r="L214" s="396">
        <v>6</v>
      </c>
      <c r="M214" s="441">
        <f t="shared" si="98"/>
        <v>2472.0000000000005</v>
      </c>
      <c r="N214" s="508"/>
      <c r="O214" s="442">
        <f t="shared" si="99"/>
        <v>7272</v>
      </c>
      <c r="P214" s="443"/>
      <c r="Q214" s="423"/>
      <c r="R214" s="247" t="s">
        <v>122</v>
      </c>
    </row>
    <row r="215" spans="2:18" s="686" customFormat="1" ht="15" customHeight="1" x14ac:dyDescent="0.3">
      <c r="B215" s="546" t="s">
        <v>135</v>
      </c>
      <c r="C215" s="691" t="s">
        <v>13</v>
      </c>
      <c r="D215" s="512" t="s">
        <v>108</v>
      </c>
      <c r="E215" s="396">
        <v>0.25</v>
      </c>
      <c r="F215" s="397">
        <v>1400</v>
      </c>
      <c r="G215" s="396">
        <v>12</v>
      </c>
      <c r="H215" s="441">
        <f t="shared" si="96"/>
        <v>4200</v>
      </c>
      <c r="I215" s="509"/>
      <c r="J215" s="396">
        <v>0.25</v>
      </c>
      <c r="K215" s="441">
        <f t="shared" si="97"/>
        <v>1442</v>
      </c>
      <c r="L215" s="396">
        <v>6</v>
      </c>
      <c r="M215" s="441">
        <f t="shared" si="98"/>
        <v>2163</v>
      </c>
      <c r="N215" s="509"/>
      <c r="O215" s="442">
        <f t="shared" si="99"/>
        <v>6363</v>
      </c>
      <c r="P215" s="443"/>
      <c r="Q215" s="423"/>
      <c r="R215" s="247" t="s">
        <v>122</v>
      </c>
    </row>
    <row r="216" spans="2:18" s="686" customFormat="1" ht="15" customHeight="1" x14ac:dyDescent="0.3">
      <c r="B216" s="546" t="s">
        <v>136</v>
      </c>
      <c r="C216" s="691" t="s">
        <v>13</v>
      </c>
      <c r="D216" s="512" t="s">
        <v>108</v>
      </c>
      <c r="E216" s="396">
        <v>0.25</v>
      </c>
      <c r="F216" s="397">
        <v>1703.92</v>
      </c>
      <c r="G216" s="396">
        <v>12</v>
      </c>
      <c r="H216" s="441">
        <f t="shared" si="96"/>
        <v>5111.76</v>
      </c>
      <c r="I216" s="509"/>
      <c r="J216" s="396">
        <v>0.25</v>
      </c>
      <c r="K216" s="441">
        <f t="shared" si="97"/>
        <v>1755.0376000000001</v>
      </c>
      <c r="L216" s="396">
        <v>6</v>
      </c>
      <c r="M216" s="441">
        <f t="shared" si="98"/>
        <v>2632.5564000000004</v>
      </c>
      <c r="N216" s="509"/>
      <c r="O216" s="442">
        <f t="shared" si="99"/>
        <v>7744.3164000000006</v>
      </c>
      <c r="P216" s="443"/>
      <c r="Q216" s="423"/>
      <c r="R216" s="247" t="s">
        <v>122</v>
      </c>
    </row>
    <row r="217" spans="2:18" s="686" customFormat="1" ht="15" customHeight="1" x14ac:dyDescent="0.3">
      <c r="B217" s="546" t="s">
        <v>137</v>
      </c>
      <c r="C217" s="691" t="s">
        <v>13</v>
      </c>
      <c r="D217" s="512" t="s">
        <v>108</v>
      </c>
      <c r="E217" s="396">
        <v>0.25</v>
      </c>
      <c r="F217" s="397">
        <v>1540</v>
      </c>
      <c r="G217" s="396">
        <v>12</v>
      </c>
      <c r="H217" s="441">
        <f t="shared" si="96"/>
        <v>4620</v>
      </c>
      <c r="I217" s="509"/>
      <c r="J217" s="396">
        <v>0.25</v>
      </c>
      <c r="K217" s="441">
        <f t="shared" si="97"/>
        <v>1586.2</v>
      </c>
      <c r="L217" s="396">
        <v>6</v>
      </c>
      <c r="M217" s="441">
        <f t="shared" si="98"/>
        <v>2379.3000000000002</v>
      </c>
      <c r="N217" s="509"/>
      <c r="O217" s="442">
        <f t="shared" si="99"/>
        <v>6999.3</v>
      </c>
      <c r="P217" s="443"/>
      <c r="Q217" s="423"/>
      <c r="R217" s="247" t="s">
        <v>122</v>
      </c>
    </row>
    <row r="218" spans="2:18" s="794" customFormat="1" ht="15" customHeight="1" x14ac:dyDescent="0.3">
      <c r="B218" s="546" t="s">
        <v>224</v>
      </c>
      <c r="C218" s="691" t="s">
        <v>13</v>
      </c>
      <c r="D218" s="512" t="s">
        <v>108</v>
      </c>
      <c r="E218" s="396">
        <v>1</v>
      </c>
      <c r="F218" s="397">
        <v>600</v>
      </c>
      <c r="G218" s="396">
        <v>12</v>
      </c>
      <c r="H218" s="441">
        <f t="shared" si="96"/>
        <v>7200</v>
      </c>
      <c r="I218" s="508"/>
      <c r="J218" s="396">
        <v>1</v>
      </c>
      <c r="K218" s="441">
        <f t="shared" si="97"/>
        <v>618</v>
      </c>
      <c r="L218" s="396">
        <v>6</v>
      </c>
      <c r="M218" s="441">
        <f t="shared" si="98"/>
        <v>3708</v>
      </c>
      <c r="N218" s="508"/>
      <c r="O218" s="442">
        <f t="shared" si="99"/>
        <v>10908</v>
      </c>
      <c r="P218" s="443"/>
      <c r="Q218" s="423"/>
      <c r="R218" s="247" t="s">
        <v>122</v>
      </c>
    </row>
    <row r="219" spans="2:18" s="686" customFormat="1" ht="15" customHeight="1" x14ac:dyDescent="0.3">
      <c r="B219" s="546" t="s">
        <v>138</v>
      </c>
      <c r="C219" s="691" t="s">
        <v>13</v>
      </c>
      <c r="D219" s="512" t="s">
        <v>108</v>
      </c>
      <c r="E219" s="396">
        <v>0.4</v>
      </c>
      <c r="F219" s="397">
        <v>1125</v>
      </c>
      <c r="G219" s="396">
        <v>12</v>
      </c>
      <c r="H219" s="441">
        <f t="shared" si="96"/>
        <v>5400.0000000000009</v>
      </c>
      <c r="I219" s="509"/>
      <c r="J219" s="396">
        <v>0.4</v>
      </c>
      <c r="K219" s="441">
        <f t="shared" si="97"/>
        <v>1158.75</v>
      </c>
      <c r="L219" s="396">
        <v>6</v>
      </c>
      <c r="M219" s="441">
        <f t="shared" si="98"/>
        <v>2781</v>
      </c>
      <c r="N219" s="509"/>
      <c r="O219" s="442">
        <f t="shared" si="99"/>
        <v>8181.0000000000009</v>
      </c>
      <c r="P219" s="443"/>
      <c r="Q219" s="423"/>
      <c r="R219" s="247" t="s">
        <v>122</v>
      </c>
    </row>
    <row r="220" spans="2:18" s="794" customFormat="1" ht="15" customHeight="1" x14ac:dyDescent="0.3">
      <c r="B220" s="546" t="s">
        <v>148</v>
      </c>
      <c r="C220" s="691" t="s">
        <v>13</v>
      </c>
      <c r="D220" s="512" t="s">
        <v>108</v>
      </c>
      <c r="E220" s="512">
        <v>1</v>
      </c>
      <c r="F220" s="511">
        <v>721</v>
      </c>
      <c r="G220" s="512">
        <v>12</v>
      </c>
      <c r="H220" s="751">
        <f t="shared" ref="H220:H226" si="100">E220*F220*G220</f>
        <v>8652</v>
      </c>
      <c r="I220" s="886"/>
      <c r="J220" s="512">
        <v>1</v>
      </c>
      <c r="K220" s="751">
        <v>721</v>
      </c>
      <c r="L220" s="512">
        <v>6</v>
      </c>
      <c r="M220" s="751">
        <f>L220*J220*K220</f>
        <v>4326</v>
      </c>
      <c r="N220" s="889"/>
      <c r="O220" s="795">
        <f t="shared" ref="O220:O226" si="101">H220+M220</f>
        <v>12978</v>
      </c>
      <c r="P220" s="806"/>
      <c r="Q220" s="81"/>
      <c r="R220" s="546" t="s">
        <v>147</v>
      </c>
    </row>
    <row r="221" spans="2:18" s="803" customFormat="1" ht="15" customHeight="1" x14ac:dyDescent="0.3">
      <c r="B221" s="713" t="s">
        <v>149</v>
      </c>
      <c r="C221" s="698" t="s">
        <v>13</v>
      </c>
      <c r="D221" s="192" t="s">
        <v>108</v>
      </c>
      <c r="E221" s="192">
        <v>1</v>
      </c>
      <c r="F221" s="191">
        <v>885</v>
      </c>
      <c r="G221" s="192">
        <v>12</v>
      </c>
      <c r="H221" s="797">
        <f t="shared" si="100"/>
        <v>10620</v>
      </c>
      <c r="I221" s="886"/>
      <c r="J221" s="192">
        <v>1</v>
      </c>
      <c r="K221" s="797">
        <v>885</v>
      </c>
      <c r="L221" s="192">
        <v>6</v>
      </c>
      <c r="M221" s="797">
        <f>L221*J221*K221</f>
        <v>5310</v>
      </c>
      <c r="N221" s="889"/>
      <c r="O221" s="801">
        <f t="shared" si="101"/>
        <v>15930</v>
      </c>
      <c r="P221" s="807"/>
      <c r="Q221" s="727"/>
      <c r="R221" s="713" t="s">
        <v>147</v>
      </c>
    </row>
    <row r="222" spans="2:18" s="803" customFormat="1" ht="15" customHeight="1" x14ac:dyDescent="0.3">
      <c r="B222" s="800" t="s">
        <v>247</v>
      </c>
      <c r="C222" s="698" t="s">
        <v>13</v>
      </c>
      <c r="D222" s="192" t="s">
        <v>108</v>
      </c>
      <c r="E222" s="192">
        <v>3</v>
      </c>
      <c r="F222" s="511">
        <v>5000</v>
      </c>
      <c r="G222" s="192">
        <v>1</v>
      </c>
      <c r="H222" s="797">
        <f t="shared" si="100"/>
        <v>15000</v>
      </c>
      <c r="I222" s="886"/>
      <c r="J222" s="192"/>
      <c r="K222" s="797"/>
      <c r="L222" s="192"/>
      <c r="M222" s="797">
        <f>J222*K222*L222</f>
        <v>0</v>
      </c>
      <c r="N222" s="886"/>
      <c r="O222" s="801">
        <f t="shared" si="101"/>
        <v>15000</v>
      </c>
      <c r="P222" s="796"/>
      <c r="Q222" s="192"/>
      <c r="R222" s="713" t="s">
        <v>140</v>
      </c>
    </row>
    <row r="223" spans="2:18" s="733" customFormat="1" ht="15" customHeight="1" x14ac:dyDescent="0.3">
      <c r="B223" s="800" t="s">
        <v>254</v>
      </c>
      <c r="C223" s="698" t="s">
        <v>13</v>
      </c>
      <c r="D223" s="192" t="s">
        <v>108</v>
      </c>
      <c r="E223" s="192">
        <v>4</v>
      </c>
      <c r="F223" s="191">
        <v>600</v>
      </c>
      <c r="G223" s="192">
        <v>1</v>
      </c>
      <c r="H223" s="797">
        <f t="shared" si="100"/>
        <v>2400</v>
      </c>
      <c r="I223" s="193"/>
      <c r="J223" s="192"/>
      <c r="K223" s="797"/>
      <c r="L223" s="192"/>
      <c r="M223" s="797">
        <f>J223*K223*L223</f>
        <v>0</v>
      </c>
      <c r="N223" s="193"/>
      <c r="O223" s="801">
        <f t="shared" si="101"/>
        <v>2400</v>
      </c>
      <c r="P223" s="802"/>
      <c r="Q223" s="192"/>
      <c r="R223" s="713" t="s">
        <v>140</v>
      </c>
    </row>
    <row r="224" spans="2:18" s="733" customFormat="1" ht="15" customHeight="1" x14ac:dyDescent="0.3">
      <c r="B224" s="800" t="s">
        <v>143</v>
      </c>
      <c r="C224" s="698" t="s">
        <v>13</v>
      </c>
      <c r="D224" s="192" t="s">
        <v>108</v>
      </c>
      <c r="E224" s="192">
        <v>1</v>
      </c>
      <c r="F224" s="191">
        <v>250</v>
      </c>
      <c r="G224" s="192">
        <v>1</v>
      </c>
      <c r="H224" s="797">
        <f t="shared" si="100"/>
        <v>250</v>
      </c>
      <c r="I224" s="193"/>
      <c r="J224" s="192"/>
      <c r="K224" s="797"/>
      <c r="L224" s="192"/>
      <c r="M224" s="797">
        <f>J224*K224*L224</f>
        <v>0</v>
      </c>
      <c r="N224" s="193"/>
      <c r="O224" s="801">
        <f t="shared" si="101"/>
        <v>250</v>
      </c>
      <c r="P224" s="802"/>
      <c r="Q224" s="192"/>
      <c r="R224" s="713" t="s">
        <v>140</v>
      </c>
    </row>
    <row r="225" spans="1:18" s="733" customFormat="1" ht="15" customHeight="1" x14ac:dyDescent="0.3">
      <c r="B225" s="800" t="s">
        <v>255</v>
      </c>
      <c r="C225" s="698" t="s">
        <v>13</v>
      </c>
      <c r="D225" s="192" t="s">
        <v>108</v>
      </c>
      <c r="E225" s="192">
        <v>3</v>
      </c>
      <c r="F225" s="191">
        <v>80</v>
      </c>
      <c r="G225" s="192">
        <v>1</v>
      </c>
      <c r="H225" s="797">
        <f t="shared" si="100"/>
        <v>240</v>
      </c>
      <c r="I225" s="193"/>
      <c r="J225" s="192"/>
      <c r="K225" s="797"/>
      <c r="L225" s="192"/>
      <c r="M225" s="797">
        <f>J225*K225*L225</f>
        <v>0</v>
      </c>
      <c r="N225" s="193"/>
      <c r="O225" s="801">
        <f t="shared" si="101"/>
        <v>240</v>
      </c>
      <c r="P225" s="802"/>
      <c r="Q225" s="192"/>
      <c r="R225" s="713" t="s">
        <v>140</v>
      </c>
    </row>
    <row r="226" spans="1:18" s="733" customFormat="1" ht="15" customHeight="1" x14ac:dyDescent="0.3">
      <c r="B226" s="800" t="s">
        <v>256</v>
      </c>
      <c r="C226" s="698" t="s">
        <v>13</v>
      </c>
      <c r="D226" s="192" t="s">
        <v>108</v>
      </c>
      <c r="E226" s="192">
        <v>3</v>
      </c>
      <c r="F226" s="191">
        <v>120</v>
      </c>
      <c r="G226" s="192">
        <v>1</v>
      </c>
      <c r="H226" s="797">
        <f t="shared" si="100"/>
        <v>360</v>
      </c>
      <c r="I226" s="193"/>
      <c r="J226" s="192"/>
      <c r="K226" s="797"/>
      <c r="L226" s="192"/>
      <c r="M226" s="797">
        <f>J226*K226*L226</f>
        <v>0</v>
      </c>
      <c r="N226" s="193"/>
      <c r="O226" s="801">
        <f t="shared" si="101"/>
        <v>360</v>
      </c>
      <c r="P226" s="802"/>
      <c r="Q226" s="192"/>
      <c r="R226" s="713" t="s">
        <v>140</v>
      </c>
    </row>
    <row r="227" spans="1:18" s="737" customFormat="1" ht="15" customHeight="1" x14ac:dyDescent="0.3">
      <c r="B227" s="929" t="s">
        <v>45</v>
      </c>
      <c r="C227" s="898"/>
      <c r="D227" s="899"/>
      <c r="E227" s="917"/>
      <c r="F227" s="918"/>
      <c r="G227" s="917"/>
      <c r="H227" s="930"/>
      <c r="I227" s="167"/>
      <c r="J227" s="931"/>
      <c r="K227" s="918"/>
      <c r="L227" s="918"/>
      <c r="M227" s="930"/>
      <c r="N227" s="167"/>
      <c r="O227" s="933"/>
      <c r="P227" s="899"/>
      <c r="Q227" s="899"/>
      <c r="R227" s="934"/>
    </row>
    <row r="228" spans="1:18" s="733" customFormat="1" ht="15" customHeight="1" x14ac:dyDescent="0.3">
      <c r="A228" s="238"/>
      <c r="B228" s="237" t="s">
        <v>80</v>
      </c>
      <c r="C228" s="698" t="s">
        <v>14</v>
      </c>
      <c r="D228" s="510" t="s">
        <v>70</v>
      </c>
      <c r="E228" s="544">
        <v>1</v>
      </c>
      <c r="F228" s="198">
        <v>2000</v>
      </c>
      <c r="G228" s="544">
        <v>12</v>
      </c>
      <c r="H228" s="695">
        <f t="shared" ref="H228:H235" si="102">E228*F228*G228</f>
        <v>24000</v>
      </c>
      <c r="I228" s="788"/>
      <c r="J228" s="198">
        <v>1</v>
      </c>
      <c r="K228" s="198">
        <v>2000</v>
      </c>
      <c r="L228" s="198">
        <v>6</v>
      </c>
      <c r="M228" s="695">
        <f t="shared" ref="M228:M235" si="103">J228*K228*L228</f>
        <v>12000</v>
      </c>
      <c r="N228" s="789"/>
      <c r="O228" s="221">
        <f t="shared" ref="O228:O235" si="104">H228+M228</f>
        <v>36000</v>
      </c>
      <c r="P228" s="235"/>
      <c r="Q228" s="236"/>
      <c r="R228" s="209"/>
    </row>
    <row r="229" spans="1:18" s="733" customFormat="1" ht="15" customHeight="1" x14ac:dyDescent="0.3">
      <c r="A229" s="238"/>
      <c r="B229" s="237" t="s">
        <v>81</v>
      </c>
      <c r="C229" s="698" t="s">
        <v>14</v>
      </c>
      <c r="D229" s="510" t="s">
        <v>70</v>
      </c>
      <c r="E229" s="544">
        <v>1</v>
      </c>
      <c r="F229" s="198">
        <v>180</v>
      </c>
      <c r="G229" s="544">
        <v>12</v>
      </c>
      <c r="H229" s="695">
        <f t="shared" si="102"/>
        <v>2160</v>
      </c>
      <c r="I229" s="788"/>
      <c r="J229" s="198">
        <v>1</v>
      </c>
      <c r="K229" s="198">
        <v>180</v>
      </c>
      <c r="L229" s="198">
        <v>6</v>
      </c>
      <c r="M229" s="695">
        <f t="shared" si="103"/>
        <v>1080</v>
      </c>
      <c r="N229" s="789"/>
      <c r="O229" s="221">
        <f t="shared" si="104"/>
        <v>3240</v>
      </c>
      <c r="P229" s="235"/>
      <c r="Q229" s="236"/>
      <c r="R229" s="209"/>
    </row>
    <row r="230" spans="1:18" s="733" customFormat="1" ht="15" customHeight="1" x14ac:dyDescent="0.3">
      <c r="A230" s="238"/>
      <c r="B230" s="237" t="s">
        <v>82</v>
      </c>
      <c r="C230" s="698" t="s">
        <v>14</v>
      </c>
      <c r="D230" s="510" t="s">
        <v>70</v>
      </c>
      <c r="E230" s="544">
        <v>1</v>
      </c>
      <c r="F230" s="198">
        <v>400</v>
      </c>
      <c r="G230" s="544">
        <v>12</v>
      </c>
      <c r="H230" s="695">
        <f t="shared" si="102"/>
        <v>4800</v>
      </c>
      <c r="I230" s="788"/>
      <c r="J230" s="198">
        <v>1</v>
      </c>
      <c r="K230" s="198">
        <v>400</v>
      </c>
      <c r="L230" s="198">
        <v>6</v>
      </c>
      <c r="M230" s="695">
        <f t="shared" si="103"/>
        <v>2400</v>
      </c>
      <c r="N230" s="789"/>
      <c r="O230" s="221">
        <f t="shared" si="104"/>
        <v>7200</v>
      </c>
      <c r="P230" s="235"/>
      <c r="Q230" s="236"/>
      <c r="R230" s="209"/>
    </row>
    <row r="231" spans="1:18" s="733" customFormat="1" ht="15" customHeight="1" x14ac:dyDescent="0.3">
      <c r="A231" s="238"/>
      <c r="B231" s="237" t="s">
        <v>83</v>
      </c>
      <c r="C231" s="698" t="s">
        <v>14</v>
      </c>
      <c r="D231" s="510" t="s">
        <v>70</v>
      </c>
      <c r="E231" s="544">
        <v>1</v>
      </c>
      <c r="F231" s="198">
        <v>900</v>
      </c>
      <c r="G231" s="544">
        <v>12</v>
      </c>
      <c r="H231" s="695">
        <f t="shared" si="102"/>
        <v>10800</v>
      </c>
      <c r="I231" s="788"/>
      <c r="J231" s="198">
        <v>1</v>
      </c>
      <c r="K231" s="198">
        <v>900</v>
      </c>
      <c r="L231" s="198">
        <v>6</v>
      </c>
      <c r="M231" s="695">
        <f t="shared" si="103"/>
        <v>5400</v>
      </c>
      <c r="N231" s="789"/>
      <c r="O231" s="221">
        <f t="shared" si="104"/>
        <v>16200</v>
      </c>
      <c r="P231" s="235"/>
      <c r="Q231" s="236"/>
      <c r="R231" s="209"/>
    </row>
    <row r="232" spans="1:18" s="733" customFormat="1" ht="15" customHeight="1" x14ac:dyDescent="0.3">
      <c r="A232" s="238"/>
      <c r="B232" s="237" t="s">
        <v>84</v>
      </c>
      <c r="C232" s="698" t="s">
        <v>14</v>
      </c>
      <c r="D232" s="510" t="s">
        <v>70</v>
      </c>
      <c r="E232" s="544">
        <v>1</v>
      </c>
      <c r="F232" s="198">
        <v>800</v>
      </c>
      <c r="G232" s="544">
        <v>12</v>
      </c>
      <c r="H232" s="695">
        <f t="shared" si="102"/>
        <v>9600</v>
      </c>
      <c r="I232" s="788"/>
      <c r="J232" s="198">
        <v>1</v>
      </c>
      <c r="K232" s="198">
        <v>800</v>
      </c>
      <c r="L232" s="198">
        <v>6</v>
      </c>
      <c r="M232" s="695">
        <f t="shared" si="103"/>
        <v>4800</v>
      </c>
      <c r="N232" s="789"/>
      <c r="O232" s="221">
        <f t="shared" si="104"/>
        <v>14400</v>
      </c>
      <c r="P232" s="235"/>
      <c r="Q232" s="236"/>
      <c r="R232" s="209"/>
    </row>
    <row r="233" spans="1:18" s="686" customFormat="1" ht="15" customHeight="1" x14ac:dyDescent="0.3">
      <c r="A233" s="132"/>
      <c r="B233" s="237" t="s">
        <v>85</v>
      </c>
      <c r="C233" s="691" t="s">
        <v>14</v>
      </c>
      <c r="D233" s="510" t="s">
        <v>70</v>
      </c>
      <c r="E233" s="544">
        <v>1</v>
      </c>
      <c r="F233" s="198">
        <v>500</v>
      </c>
      <c r="G233" s="544">
        <v>12</v>
      </c>
      <c r="H233" s="695">
        <f t="shared" si="102"/>
        <v>6000</v>
      </c>
      <c r="I233" s="788"/>
      <c r="J233" s="198">
        <v>1</v>
      </c>
      <c r="K233" s="198">
        <v>500</v>
      </c>
      <c r="L233" s="198">
        <v>6</v>
      </c>
      <c r="M233" s="695">
        <f t="shared" si="103"/>
        <v>3000</v>
      </c>
      <c r="N233" s="789"/>
      <c r="O233" s="221">
        <f t="shared" si="104"/>
        <v>9000</v>
      </c>
      <c r="P233" s="235"/>
      <c r="Q233" s="236"/>
      <c r="R233" s="506"/>
    </row>
    <row r="234" spans="1:18" s="686" customFormat="1" ht="15" customHeight="1" x14ac:dyDescent="0.3">
      <c r="A234" s="132"/>
      <c r="B234" s="237" t="s">
        <v>86</v>
      </c>
      <c r="C234" s="691" t="s">
        <v>14</v>
      </c>
      <c r="D234" s="510" t="s">
        <v>70</v>
      </c>
      <c r="E234" s="544">
        <v>1</v>
      </c>
      <c r="F234" s="198">
        <v>1700</v>
      </c>
      <c r="G234" s="544">
        <v>12</v>
      </c>
      <c r="H234" s="695">
        <f t="shared" si="102"/>
        <v>20400</v>
      </c>
      <c r="I234" s="788"/>
      <c r="J234" s="198">
        <v>1</v>
      </c>
      <c r="K234" s="198">
        <v>1700</v>
      </c>
      <c r="L234" s="198">
        <v>6</v>
      </c>
      <c r="M234" s="695">
        <f t="shared" si="103"/>
        <v>10200</v>
      </c>
      <c r="N234" s="789"/>
      <c r="O234" s="221">
        <f t="shared" si="104"/>
        <v>30600</v>
      </c>
      <c r="P234" s="235"/>
      <c r="Q234" s="236"/>
      <c r="R234" s="506"/>
    </row>
    <row r="235" spans="1:18" s="686" customFormat="1" ht="15" customHeight="1" x14ac:dyDescent="0.3">
      <c r="A235" s="132"/>
      <c r="B235" s="237" t="s">
        <v>87</v>
      </c>
      <c r="C235" s="691" t="s">
        <v>14</v>
      </c>
      <c r="D235" s="510" t="s">
        <v>70</v>
      </c>
      <c r="E235" s="544">
        <v>1</v>
      </c>
      <c r="F235" s="198">
        <v>900</v>
      </c>
      <c r="G235" s="544">
        <v>12</v>
      </c>
      <c r="H235" s="695">
        <f t="shared" si="102"/>
        <v>10800</v>
      </c>
      <c r="I235" s="788"/>
      <c r="J235" s="198">
        <v>1</v>
      </c>
      <c r="K235" s="198">
        <v>900</v>
      </c>
      <c r="L235" s="198">
        <v>6</v>
      </c>
      <c r="M235" s="695">
        <f t="shared" si="103"/>
        <v>5400</v>
      </c>
      <c r="N235" s="789"/>
      <c r="O235" s="221">
        <f t="shared" si="104"/>
        <v>16200</v>
      </c>
      <c r="P235" s="235"/>
      <c r="Q235" s="236"/>
      <c r="R235" s="506"/>
    </row>
    <row r="236" spans="1:18" s="794" customFormat="1" ht="15" customHeight="1" x14ac:dyDescent="0.3">
      <c r="B236" s="546" t="s">
        <v>146</v>
      </c>
      <c r="C236" s="691" t="s">
        <v>14</v>
      </c>
      <c r="D236" s="512" t="s">
        <v>108</v>
      </c>
      <c r="E236" s="512">
        <v>1</v>
      </c>
      <c r="F236" s="511">
        <v>2400</v>
      </c>
      <c r="G236" s="512">
        <v>12</v>
      </c>
      <c r="H236" s="751">
        <f>E236*F236*G236</f>
        <v>28800</v>
      </c>
      <c r="I236" s="886"/>
      <c r="J236" s="512">
        <v>1</v>
      </c>
      <c r="K236" s="751">
        <v>2400</v>
      </c>
      <c r="L236" s="512">
        <v>6</v>
      </c>
      <c r="M236" s="751">
        <f>L236*J236*K236</f>
        <v>14400</v>
      </c>
      <c r="N236" s="886"/>
      <c r="O236" s="795">
        <f>H236+M236</f>
        <v>43200</v>
      </c>
      <c r="P236" s="806"/>
      <c r="Q236" s="81"/>
      <c r="R236" s="546" t="s">
        <v>147</v>
      </c>
    </row>
    <row r="237" spans="1:18" s="686" customFormat="1" ht="15" customHeight="1" x14ac:dyDescent="0.3">
      <c r="B237" s="546" t="s">
        <v>179</v>
      </c>
      <c r="C237" s="691" t="s">
        <v>14</v>
      </c>
      <c r="D237" s="512" t="s">
        <v>108</v>
      </c>
      <c r="E237" s="512">
        <v>1</v>
      </c>
      <c r="F237" s="511">
        <f>(2200+640)*0.2</f>
        <v>568</v>
      </c>
      <c r="G237" s="512">
        <v>12</v>
      </c>
      <c r="H237" s="751">
        <f t="shared" ref="H237" si="105">E237*F237*G237</f>
        <v>6816</v>
      </c>
      <c r="I237" s="193"/>
      <c r="J237" s="512">
        <v>1</v>
      </c>
      <c r="K237" s="751">
        <f>(2200+640)*0.2</f>
        <v>568</v>
      </c>
      <c r="L237" s="512">
        <v>6</v>
      </c>
      <c r="M237" s="751">
        <f t="shared" ref="M237:M238" si="106">L237*J237*K237</f>
        <v>3408</v>
      </c>
      <c r="N237" s="193"/>
      <c r="O237" s="795">
        <f t="shared" ref="O237" si="107">H237+M237</f>
        <v>10224</v>
      </c>
      <c r="P237" s="806"/>
      <c r="Q237" s="81"/>
      <c r="R237" s="546" t="s">
        <v>147</v>
      </c>
    </row>
    <row r="238" spans="1:18" s="794" customFormat="1" ht="15" customHeight="1" x14ac:dyDescent="0.3">
      <c r="B238" s="546" t="s">
        <v>248</v>
      </c>
      <c r="C238" s="691" t="s">
        <v>14</v>
      </c>
      <c r="D238" s="512" t="s">
        <v>108</v>
      </c>
      <c r="E238" s="512">
        <v>1</v>
      </c>
      <c r="F238" s="511">
        <v>12372.899418500001</v>
      </c>
      <c r="G238" s="512">
        <v>1</v>
      </c>
      <c r="H238" s="751">
        <f>E238*F238*G238</f>
        <v>12372.899418500001</v>
      </c>
      <c r="I238" s="886"/>
      <c r="J238" s="512">
        <v>1</v>
      </c>
      <c r="K238" s="751">
        <v>3179.5246735000001</v>
      </c>
      <c r="L238" s="512">
        <v>1</v>
      </c>
      <c r="M238" s="751">
        <f t="shared" si="106"/>
        <v>3179.5246735000001</v>
      </c>
      <c r="N238" s="886"/>
      <c r="O238" s="795">
        <f>H238+M238</f>
        <v>15552.424092000001</v>
      </c>
      <c r="P238" s="806"/>
      <c r="Q238" s="81"/>
      <c r="R238" s="546" t="s">
        <v>147</v>
      </c>
    </row>
    <row r="239" spans="1:18" s="686" customFormat="1" ht="15" customHeight="1" x14ac:dyDescent="0.3">
      <c r="B239" s="237" t="s">
        <v>158</v>
      </c>
      <c r="C239" s="691" t="s">
        <v>14</v>
      </c>
      <c r="D239" s="510" t="s">
        <v>161</v>
      </c>
      <c r="E239" s="799">
        <v>1</v>
      </c>
      <c r="F239" s="799">
        <v>900</v>
      </c>
      <c r="G239" s="799">
        <v>1</v>
      </c>
      <c r="H239" s="511">
        <f t="shared" ref="H239:H242" si="108">E239*F239*G239</f>
        <v>900</v>
      </c>
      <c r="I239" s="193"/>
      <c r="J239" s="799">
        <v>1</v>
      </c>
      <c r="K239" s="799">
        <v>900</v>
      </c>
      <c r="L239" s="799">
        <v>2</v>
      </c>
      <c r="M239" s="511">
        <f t="shared" ref="M239:M242" si="109">J239*K239*L239</f>
        <v>1800</v>
      </c>
      <c r="N239" s="193"/>
      <c r="O239" s="199">
        <f t="shared" ref="O239:O242" si="110">H239+M239</f>
        <v>2700</v>
      </c>
      <c r="P239" s="512"/>
      <c r="Q239" s="512"/>
      <c r="R239" s="764"/>
    </row>
    <row r="240" spans="1:18" s="686" customFormat="1" ht="15" customHeight="1" x14ac:dyDescent="0.3">
      <c r="B240" s="237" t="s">
        <v>159</v>
      </c>
      <c r="C240" s="691" t="s">
        <v>14</v>
      </c>
      <c r="D240" s="510" t="s">
        <v>161</v>
      </c>
      <c r="E240" s="799">
        <v>1</v>
      </c>
      <c r="F240" s="799">
        <v>1600</v>
      </c>
      <c r="G240" s="799">
        <v>1</v>
      </c>
      <c r="H240" s="511">
        <f>E240*F240*G240</f>
        <v>1600</v>
      </c>
      <c r="I240" s="193"/>
      <c r="J240" s="799">
        <v>1</v>
      </c>
      <c r="K240" s="799">
        <v>1600</v>
      </c>
      <c r="L240" s="799">
        <v>1</v>
      </c>
      <c r="M240" s="511">
        <f t="shared" si="109"/>
        <v>1600</v>
      </c>
      <c r="N240" s="193"/>
      <c r="O240" s="199">
        <f t="shared" si="110"/>
        <v>3200</v>
      </c>
      <c r="P240" s="512"/>
      <c r="Q240" s="512"/>
      <c r="R240" s="764"/>
    </row>
    <row r="241" spans="2:18" s="686" customFormat="1" ht="15" customHeight="1" x14ac:dyDescent="0.3">
      <c r="B241" s="237" t="s">
        <v>329</v>
      </c>
      <c r="C241" s="691" t="s">
        <v>14</v>
      </c>
      <c r="D241" s="510" t="s">
        <v>161</v>
      </c>
      <c r="E241" s="799">
        <v>1</v>
      </c>
      <c r="F241" s="799">
        <v>200</v>
      </c>
      <c r="G241" s="799">
        <v>12</v>
      </c>
      <c r="H241" s="511">
        <v>2400</v>
      </c>
      <c r="I241" s="193"/>
      <c r="J241" s="799">
        <v>1</v>
      </c>
      <c r="K241" s="799">
        <v>200</v>
      </c>
      <c r="L241" s="799">
        <v>6</v>
      </c>
      <c r="M241" s="511">
        <v>1200</v>
      </c>
      <c r="N241" s="193"/>
      <c r="O241" s="199">
        <v>3600</v>
      </c>
      <c r="P241" s="512"/>
      <c r="Q241" s="512"/>
      <c r="R241" s="546" t="s">
        <v>330</v>
      </c>
    </row>
    <row r="242" spans="2:18" s="733" customFormat="1" ht="15" customHeight="1" x14ac:dyDescent="0.3">
      <c r="B242" s="217" t="s">
        <v>160</v>
      </c>
      <c r="C242" s="698" t="s">
        <v>14</v>
      </c>
      <c r="D242" s="453" t="s">
        <v>161</v>
      </c>
      <c r="E242" s="798">
        <v>1</v>
      </c>
      <c r="F242" s="798">
        <v>300</v>
      </c>
      <c r="G242" s="798">
        <v>12</v>
      </c>
      <c r="H242" s="191">
        <f t="shared" si="108"/>
        <v>3600</v>
      </c>
      <c r="I242" s="193"/>
      <c r="J242" s="798">
        <v>1</v>
      </c>
      <c r="K242" s="798">
        <v>300</v>
      </c>
      <c r="L242" s="798">
        <v>8</v>
      </c>
      <c r="M242" s="191">
        <f t="shared" si="109"/>
        <v>2400</v>
      </c>
      <c r="N242" s="193"/>
      <c r="O242" s="199">
        <f t="shared" si="110"/>
        <v>6000</v>
      </c>
      <c r="P242" s="192"/>
      <c r="Q242" s="192"/>
      <c r="R242" s="736"/>
    </row>
    <row r="243" spans="2:18" s="737" customFormat="1" ht="15" customHeight="1" x14ac:dyDescent="0.3">
      <c r="B243" s="147"/>
      <c r="C243" s="205"/>
      <c r="D243" s="808"/>
      <c r="E243" s="809"/>
      <c r="F243" s="810"/>
      <c r="G243" s="811"/>
      <c r="H243" s="871"/>
      <c r="I243" s="788"/>
      <c r="J243" s="812"/>
      <c r="K243" s="812"/>
      <c r="L243" s="812"/>
      <c r="M243" s="813"/>
      <c r="N243" s="789"/>
      <c r="O243" s="285"/>
      <c r="P243" s="286"/>
      <c r="Q243" s="287"/>
      <c r="R243" s="288"/>
    </row>
    <row r="244" spans="2:18" s="737" customFormat="1" ht="15" customHeight="1" x14ac:dyDescent="0.3">
      <c r="B244" s="148" t="s">
        <v>39</v>
      </c>
      <c r="C244" s="497"/>
      <c r="D244" s="814"/>
      <c r="E244" s="815"/>
      <c r="F244" s="816"/>
      <c r="G244" s="817"/>
      <c r="H244" s="634">
        <f>SUM(H156:H242)</f>
        <v>641675.85941849998</v>
      </c>
      <c r="I244" s="167"/>
      <c r="J244" s="883"/>
      <c r="K244" s="290"/>
      <c r="L244" s="290"/>
      <c r="M244" s="634">
        <f>SUM(M156:M242)</f>
        <v>302836.66607349995</v>
      </c>
      <c r="N244" s="167"/>
      <c r="O244" s="638">
        <f>H244+M244</f>
        <v>944512.52549199993</v>
      </c>
      <c r="P244" s="292"/>
      <c r="Q244" s="291">
        <f>SUM(Q156:Q242)</f>
        <v>0</v>
      </c>
      <c r="R244" s="293"/>
    </row>
    <row r="245" spans="2:18" s="737" customFormat="1" ht="15" customHeight="1" x14ac:dyDescent="0.3">
      <c r="B245" s="818"/>
      <c r="C245" s="498"/>
      <c r="D245" s="1065" t="s">
        <v>38</v>
      </c>
      <c r="E245" s="297"/>
      <c r="F245" s="298"/>
      <c r="G245" s="299"/>
      <c r="H245" s="872" t="s">
        <v>2</v>
      </c>
      <c r="I245" s="167"/>
      <c r="J245" s="819"/>
      <c r="K245" s="819"/>
      <c r="L245" s="819"/>
      <c r="M245" s="873" t="s">
        <v>3</v>
      </c>
      <c r="N245" s="167"/>
      <c r="O245" s="874"/>
      <c r="P245" s="820"/>
      <c r="Q245" s="820"/>
      <c r="R245" s="821"/>
    </row>
    <row r="246" spans="2:18" s="737" customFormat="1" ht="15" customHeight="1" x14ac:dyDescent="0.3">
      <c r="B246" s="818"/>
      <c r="C246" s="498"/>
      <c r="D246" s="1065"/>
      <c r="E246" s="300"/>
      <c r="F246" s="240"/>
      <c r="G246" s="239"/>
      <c r="H246" s="875">
        <f>H134+H152+H244</f>
        <v>2293502.7927518333</v>
      </c>
      <c r="I246" s="167"/>
      <c r="J246" s="819"/>
      <c r="K246" s="819"/>
      <c r="L246" s="819"/>
      <c r="M246" s="875">
        <f>M134+M152+M244</f>
        <v>697151.12774016662</v>
      </c>
      <c r="N246" s="167"/>
      <c r="O246" s="639">
        <f>O134+O152+O244</f>
        <v>2990653.9204919999</v>
      </c>
      <c r="P246" s="822"/>
      <c r="Q246" s="823"/>
      <c r="R246" s="821"/>
    </row>
    <row r="247" spans="2:18" s="737" customFormat="1" ht="15" customHeight="1" x14ac:dyDescent="0.3">
      <c r="B247" s="824"/>
      <c r="C247" s="499"/>
      <c r="D247" s="825" t="s">
        <v>49</v>
      </c>
      <c r="E247" s="826"/>
      <c r="F247" s="827"/>
      <c r="G247" s="828"/>
      <c r="H247" s="876">
        <f>H246*0.07</f>
        <v>160545.19549262835</v>
      </c>
      <c r="I247" s="167"/>
      <c r="J247" s="829"/>
      <c r="K247" s="829"/>
      <c r="L247" s="829"/>
      <c r="M247" s="829">
        <f>M246*0.07</f>
        <v>48800.578941811669</v>
      </c>
      <c r="N247" s="830"/>
      <c r="O247" s="639">
        <f>H247+M247</f>
        <v>209345.77443444001</v>
      </c>
      <c r="P247" s="302"/>
      <c r="Q247" s="303"/>
      <c r="R247" s="206"/>
    </row>
    <row r="248" spans="2:18" s="737" customFormat="1" ht="15" customHeight="1" x14ac:dyDescent="0.3">
      <c r="B248" s="831"/>
      <c r="C248" s="500"/>
      <c r="D248" s="490" t="s">
        <v>21</v>
      </c>
      <c r="E248" s="294"/>
      <c r="F248" s="295"/>
      <c r="G248" s="296"/>
      <c r="H248" s="832">
        <f>SUM(H246:H247)</f>
        <v>2454047.9882444618</v>
      </c>
      <c r="I248" s="167"/>
      <c r="J248" s="832"/>
      <c r="K248" s="832"/>
      <c r="L248" s="832"/>
      <c r="M248" s="832">
        <f>SUM(M246:M247)</f>
        <v>745951.70668197831</v>
      </c>
      <c r="N248" s="830"/>
      <c r="O248" s="639">
        <f>H248+M248</f>
        <v>3199999.6949264403</v>
      </c>
      <c r="P248" s="304"/>
      <c r="Q248" s="305"/>
      <c r="R248" s="206"/>
    </row>
    <row r="249" spans="2:18" s="737" customFormat="1" ht="15" customHeight="1" x14ac:dyDescent="0.3">
      <c r="B249" s="133"/>
      <c r="C249" s="204"/>
      <c r="D249" s="244"/>
      <c r="E249" s="652"/>
      <c r="F249" s="833"/>
      <c r="G249" s="652"/>
      <c r="H249" s="834"/>
      <c r="I249" s="167"/>
      <c r="J249" s="834"/>
      <c r="K249" s="834"/>
      <c r="L249" s="834"/>
      <c r="M249" s="834"/>
      <c r="N249" s="692"/>
      <c r="O249" s="243"/>
      <c r="P249" s="244"/>
      <c r="Q249" s="245"/>
      <c r="R249" s="206"/>
    </row>
    <row r="250" spans="2:18" s="737" customFormat="1" ht="15" customHeight="1" x14ac:dyDescent="0.3">
      <c r="B250" s="835" t="s">
        <v>210</v>
      </c>
      <c r="C250" s="836"/>
      <c r="D250" s="491"/>
      <c r="E250" s="836"/>
      <c r="F250" s="837"/>
      <c r="H250" s="838"/>
      <c r="I250" s="839"/>
      <c r="J250" s="838"/>
      <c r="K250" s="838"/>
      <c r="L250" s="838"/>
      <c r="M250" s="838"/>
      <c r="N250" s="839"/>
      <c r="O250" s="223"/>
      <c r="P250" s="214"/>
      <c r="Q250" s="214"/>
      <c r="R250" s="206"/>
    </row>
    <row r="251" spans="2:18" s="737" customFormat="1" ht="15" customHeight="1" x14ac:dyDescent="0.3">
      <c r="B251" s="840" t="s">
        <v>211</v>
      </c>
      <c r="D251" s="214"/>
      <c r="F251" s="841"/>
      <c r="H251" s="838"/>
      <c r="I251" s="839"/>
      <c r="J251" s="838"/>
      <c r="K251" s="838"/>
      <c r="L251" s="838"/>
      <c r="M251" s="838"/>
      <c r="N251" s="839"/>
      <c r="O251" s="223"/>
      <c r="P251" s="214"/>
      <c r="Q251" s="214"/>
      <c r="R251" s="206"/>
    </row>
    <row r="252" spans="2:18" s="737" customFormat="1" ht="15" customHeight="1" x14ac:dyDescent="0.3">
      <c r="B252" s="840" t="s">
        <v>212</v>
      </c>
      <c r="D252" s="61"/>
      <c r="F252" s="841"/>
      <c r="H252" s="838"/>
      <c r="I252" s="839"/>
      <c r="J252" s="838"/>
      <c r="K252" s="838"/>
      <c r="L252" s="838"/>
      <c r="M252" s="838"/>
      <c r="N252" s="839"/>
      <c r="O252" s="223"/>
      <c r="P252" s="214"/>
      <c r="Q252" s="214"/>
      <c r="R252" s="206"/>
    </row>
    <row r="253" spans="2:18" s="737" customFormat="1" ht="15" customHeight="1" x14ac:dyDescent="0.3">
      <c r="B253" s="840" t="s">
        <v>213</v>
      </c>
      <c r="D253" s="214"/>
      <c r="E253" s="745"/>
      <c r="F253" s="841"/>
      <c r="H253" s="838"/>
      <c r="I253" s="839"/>
      <c r="J253" s="838"/>
      <c r="K253" s="838"/>
      <c r="L253" s="838"/>
      <c r="M253" s="838"/>
      <c r="N253" s="839"/>
      <c r="O253" s="223"/>
      <c r="P253" s="214"/>
      <c r="Q253" s="214"/>
      <c r="R253" s="206"/>
    </row>
    <row r="254" spans="2:18" x14ac:dyDescent="0.3">
      <c r="B254" s="459"/>
      <c r="C254" s="151" t="s">
        <v>27</v>
      </c>
      <c r="F254" s="158"/>
    </row>
    <row r="255" spans="2:18" x14ac:dyDescent="0.3">
      <c r="B255" s="459"/>
      <c r="C255" s="151" t="s">
        <v>28</v>
      </c>
      <c r="F255" s="158"/>
    </row>
    <row r="256" spans="2:18" x14ac:dyDescent="0.3">
      <c r="B256" s="1062" t="s">
        <v>214</v>
      </c>
      <c r="C256" s="1063"/>
      <c r="D256" s="1063"/>
      <c r="E256" s="1063"/>
      <c r="F256" s="1064"/>
    </row>
    <row r="257" spans="2:6" x14ac:dyDescent="0.3">
      <c r="B257" s="460"/>
      <c r="C257" s="151"/>
      <c r="F257" s="151"/>
    </row>
    <row r="258" spans="2:6" x14ac:dyDescent="0.3">
      <c r="B258" s="503" t="s">
        <v>215</v>
      </c>
      <c r="C258" s="270"/>
      <c r="D258" s="492"/>
      <c r="E258" s="270"/>
      <c r="F258" s="160"/>
    </row>
    <row r="259" spans="2:6" x14ac:dyDescent="0.3">
      <c r="B259" s="460" t="s">
        <v>9</v>
      </c>
      <c r="C259" s="151"/>
      <c r="F259" s="158"/>
    </row>
    <row r="260" spans="2:6" x14ac:dyDescent="0.3">
      <c r="B260" s="460" t="s">
        <v>10</v>
      </c>
      <c r="C260" s="151"/>
      <c r="F260" s="158"/>
    </row>
    <row r="261" spans="2:6" x14ac:dyDescent="0.3">
      <c r="B261" s="460" t="s">
        <v>30</v>
      </c>
      <c r="C261" s="151"/>
      <c r="F261" s="158"/>
    </row>
    <row r="262" spans="2:6" x14ac:dyDescent="0.3">
      <c r="B262" s="460" t="s">
        <v>88</v>
      </c>
      <c r="C262" s="151"/>
      <c r="F262" s="158"/>
    </row>
    <row r="263" spans="2:6" x14ac:dyDescent="0.3">
      <c r="B263" s="460" t="s">
        <v>12</v>
      </c>
      <c r="C263" s="151"/>
      <c r="F263" s="158"/>
    </row>
    <row r="264" spans="2:6" x14ac:dyDescent="0.3">
      <c r="B264" s="460" t="s">
        <v>216</v>
      </c>
      <c r="C264" s="151"/>
      <c r="F264" s="158"/>
    </row>
    <row r="265" spans="2:6" x14ac:dyDescent="0.3">
      <c r="B265" s="504" t="s">
        <v>14</v>
      </c>
      <c r="C265" s="271"/>
      <c r="D265" s="493"/>
      <c r="E265" s="271"/>
      <c r="F265" s="159"/>
    </row>
  </sheetData>
  <autoFilter ref="C1:C265" xr:uid="{991A75C7-102D-468B-B95A-DA61B5EB9029}"/>
  <dataConsolidate/>
  <mergeCells count="3">
    <mergeCell ref="A149:A150"/>
    <mergeCell ref="B256:F256"/>
    <mergeCell ref="D245:D246"/>
  </mergeCells>
  <phoneticPr fontId="0" type="noConversion"/>
  <dataValidations count="19">
    <dataValidation type="list" allowBlank="1" showInputMessage="1" showErrorMessage="1" sqref="C31 C60 C109 C243" xr:uid="{C6D7DC1F-A61C-4390-A4F1-3A26EE8A3CB8}">
      <formula1>catego</formula1>
    </dataValidation>
    <dataValidation type="list" allowBlank="1" showInputMessage="1" showErrorMessage="1" sqref="C15 C88 C236:C238 C93 C179 C62:C67 C58 C18 C113 C118 C38:C52" xr:uid="{F00B8653-FDE7-4DC7-8912-C323AA193D57}">
      <formula1>cate</formula1>
    </dataValidation>
    <dataValidation type="list" allowBlank="1" showInputMessage="1" showErrorMessage="1" sqref="C70 C193:C195" xr:uid="{AF00E65F-8DD1-4854-B408-68EEBB923264}">
      <formula1>categories</formula1>
    </dataValidation>
    <dataValidation type="list" allowBlank="1" showInputMessage="1" showErrorMessage="1" sqref="C13:C14" xr:uid="{E8BA73F6-A264-4FFD-BAAC-062075AD298F}">
      <formula1>vvvvv</formula1>
    </dataValidation>
    <dataValidation type="list" allowBlank="1" showInputMessage="1" showErrorMessage="1" sqref="C35" xr:uid="{59A8BF1E-648D-4B94-8E12-B83686C5CD47}">
      <formula1>sdf</formula1>
    </dataValidation>
    <dataValidation type="list" allowBlank="1" showInputMessage="1" showErrorMessage="1" sqref="C32:C33" xr:uid="{02ADF953-A843-43E0-B0AF-5CF5728D3641}">
      <formula1>gjg</formula1>
    </dataValidation>
    <dataValidation type="list" allowBlank="1" showInputMessage="1" showErrorMessage="1" sqref="C34" xr:uid="{5619CA19-6181-4C68-BCB9-9072DE9BDEA0}">
      <formula1>hgf</formula1>
    </dataValidation>
    <dataValidation type="list" allowBlank="1" showInputMessage="1" showErrorMessage="1" sqref="C37" xr:uid="{84C948E8-212C-445F-9D59-28ED338895D6}">
      <formula1>tt</formula1>
    </dataValidation>
    <dataValidation type="list" allowBlank="1" showInputMessage="1" showErrorMessage="1" sqref="C61" xr:uid="{026C6DB3-B01D-4F49-BDDA-DCA832F53220}">
      <formula1>rr</formula1>
    </dataValidation>
    <dataValidation type="list" allowBlank="1" showInputMessage="1" showErrorMessage="1" sqref="C83:C84 C87 C76:C78" xr:uid="{C4BF1C35-BB4F-493E-B246-5290E20197D6}">
      <formula1>fhf</formula1>
    </dataValidation>
    <dataValidation type="list" allowBlank="1" showInputMessage="1" showErrorMessage="1" sqref="C72 C75 C79" xr:uid="{F1BCC67E-0CA3-41A4-A129-5B4515B01391}">
      <formula1>hf</formula1>
    </dataValidation>
    <dataValidation type="list" allowBlank="1" showInputMessage="1" showErrorMessage="1" sqref="C91:C92" xr:uid="{662868A6-3B35-45B0-A65A-3630BF339A8A}">
      <formula1>ww</formula1>
    </dataValidation>
    <dataValidation type="list" allowBlank="1" showInputMessage="1" showErrorMessage="1" sqref="C110" xr:uid="{9AF42AEC-4564-4082-9C89-58D452699A8C}">
      <formula1>dsdfsdfds</formula1>
    </dataValidation>
    <dataValidation type="list" allowBlank="1" showInputMessage="1" showErrorMessage="1" sqref="C111" xr:uid="{F9308935-DF7D-49F5-B97A-120EA1DE51DE}">
      <formula1>f</formula1>
    </dataValidation>
    <dataValidation type="list" allowBlank="1" showInputMessage="1" showErrorMessage="1" sqref="C112" xr:uid="{CB5F5A58-72CE-4186-AC6B-9F258140221E}">
      <formula1>kf</formula1>
    </dataValidation>
    <dataValidation type="list" allowBlank="1" showInputMessage="1" showErrorMessage="1" sqref="C141:C147 C149:C150" xr:uid="{C1E8B255-978E-4369-AE7F-E28E7C63CC72}">
      <formula1>ddd</formula1>
    </dataValidation>
    <dataValidation type="list" allowBlank="1" showInputMessage="1" showErrorMessage="1" sqref="C183:C185" xr:uid="{810AD2E0-E0E4-44B1-B4FC-AC82431502E7}">
      <formula1>werwer</formula1>
    </dataValidation>
    <dataValidation type="list" allowBlank="1" showInputMessage="1" showErrorMessage="1" sqref="C199:C200" xr:uid="{5ADC7960-C16C-4283-A09F-F0E30D2AD959}">
      <formula1>wfewefwef</formula1>
    </dataValidation>
    <dataValidation type="list" allowBlank="1" showInputMessage="1" showErrorMessage="1" sqref="C228:C235" xr:uid="{E0D0A754-8CB9-474E-A4AC-8D77A6D59440}">
      <formula1>dafadfadf</formula1>
    </dataValidation>
  </dataValidations>
  <pageMargins left="0.4" right="0.24" top="0.91" bottom="0.65" header="0" footer="0"/>
  <pageSetup scale="66" orientation="portrait" horizontalDpi="4294967294" r:id="rId1"/>
  <headerFooter alignWithMargins="0">
    <oddFoote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B3DAE-4CEA-458E-83BB-4DF21119A69E}">
  <sheetPr codeName="Sheet3">
    <tabColor theme="3"/>
  </sheetPr>
  <dimension ref="A1:R116"/>
  <sheetViews>
    <sheetView zoomScale="60" zoomScaleNormal="60" workbookViewId="0">
      <selection activeCell="B41" sqref="B41"/>
    </sheetView>
  </sheetViews>
  <sheetFormatPr baseColWidth="10" defaultColWidth="11.453125" defaultRowHeight="13.15" customHeight="1" x14ac:dyDescent="0.3"/>
  <cols>
    <col min="1" max="1" width="11.453125" style="1"/>
    <col min="2" max="2" width="52.08984375" style="93" customWidth="1"/>
    <col min="3" max="3" width="27.90625" style="93" customWidth="1"/>
    <col min="4" max="4" width="15.36328125" style="214" customWidth="1"/>
    <col min="5" max="5" width="10.90625" style="1" customWidth="1"/>
    <col min="6" max="6" width="10.6328125" style="55" customWidth="1"/>
    <col min="7" max="7" width="10.6328125" style="1" customWidth="1"/>
    <col min="8" max="8" width="14.6328125" style="57" customWidth="1"/>
    <col min="9" max="9" width="3.36328125" style="157" customWidth="1"/>
    <col min="10" max="12" width="10.6328125" style="57" customWidth="1"/>
    <col min="13" max="13" width="10.90625" style="57" customWidth="1"/>
    <col min="14" max="14" width="3" style="157" customWidth="1"/>
    <col min="15" max="15" width="14.90625" style="123" customWidth="1"/>
    <col min="16" max="16" width="14.453125" style="98" customWidth="1"/>
    <col min="17" max="17" width="15.6328125" style="98" customWidth="1"/>
    <col min="18" max="18" width="82.36328125" style="94" customWidth="1"/>
    <col min="19" max="16384" width="11.453125" style="1"/>
  </cols>
  <sheetData>
    <row r="1" spans="1:18" s="60" customFormat="1" ht="21" customHeight="1" x14ac:dyDescent="0.3">
      <c r="B1" s="1035"/>
      <c r="C1" s="1035"/>
      <c r="D1" s="1049" t="s">
        <v>22</v>
      </c>
      <c r="E1" s="12"/>
      <c r="F1" s="1046"/>
      <c r="G1" s="12"/>
      <c r="H1" s="1036"/>
      <c r="I1" s="1006"/>
      <c r="J1" s="1036"/>
      <c r="K1" s="1036"/>
      <c r="L1" s="1036"/>
      <c r="M1" s="1036"/>
      <c r="N1" s="979"/>
      <c r="O1" s="1037"/>
      <c r="P1" s="450"/>
      <c r="Q1" s="1038"/>
      <c r="R1" s="1039"/>
    </row>
    <row r="2" spans="1:18" s="60" customFormat="1" ht="13.15" customHeight="1" x14ac:dyDescent="0.3">
      <c r="B2" s="91" t="s">
        <v>18</v>
      </c>
      <c r="C2" s="450" t="s">
        <v>70</v>
      </c>
      <c r="D2" s="1040"/>
      <c r="E2" s="1041"/>
      <c r="F2" s="1042"/>
      <c r="G2" s="1041"/>
      <c r="H2" s="1036"/>
      <c r="I2" s="1006"/>
      <c r="J2" s="1036"/>
      <c r="K2" s="1036"/>
      <c r="L2" s="1036"/>
      <c r="M2" s="1036"/>
      <c r="N2" s="979"/>
      <c r="O2" s="1037"/>
      <c r="P2" s="450"/>
      <c r="Q2" s="1038"/>
      <c r="R2" s="1039"/>
    </row>
    <row r="3" spans="1:18" s="60" customFormat="1" ht="13.15" customHeight="1" x14ac:dyDescent="0.3">
      <c r="B3" s="91" t="s">
        <v>19</v>
      </c>
      <c r="C3" s="1009" t="s">
        <v>302</v>
      </c>
      <c r="D3" s="1040"/>
      <c r="E3" s="1041"/>
      <c r="F3" s="1042"/>
      <c r="G3" s="1041"/>
      <c r="H3" s="1036"/>
      <c r="I3" s="1006"/>
      <c r="J3" s="1036"/>
      <c r="K3" s="1036"/>
      <c r="L3" s="1036"/>
      <c r="M3" s="1036"/>
      <c r="N3" s="979"/>
      <c r="O3" s="1037"/>
      <c r="P3" s="450"/>
      <c r="Q3" s="1038"/>
      <c r="R3" s="1039"/>
    </row>
    <row r="4" spans="1:18" s="60" customFormat="1" ht="13.15" customHeight="1" x14ac:dyDescent="0.3">
      <c r="B4" s="91" t="s">
        <v>16</v>
      </c>
      <c r="C4" s="146" t="s">
        <v>89</v>
      </c>
      <c r="D4" s="1043"/>
      <c r="E4" s="1044"/>
      <c r="F4" s="89"/>
      <c r="G4" s="1044"/>
      <c r="H4" s="89"/>
      <c r="I4" s="979"/>
      <c r="J4" s="89"/>
      <c r="K4" s="89"/>
      <c r="L4" s="89"/>
      <c r="M4" s="89"/>
      <c r="N4" s="979"/>
      <c r="O4" s="1045"/>
      <c r="P4" s="1043"/>
      <c r="Q4" s="1038"/>
      <c r="R4" s="1039"/>
    </row>
    <row r="5" spans="1:18" s="60" customFormat="1" ht="13.15" customHeight="1" x14ac:dyDescent="0.3">
      <c r="B5" s="91" t="s">
        <v>17</v>
      </c>
      <c r="C5" s="100">
        <f>O97</f>
        <v>1414799</v>
      </c>
      <c r="D5" s="1043"/>
      <c r="E5" s="1044"/>
      <c r="F5" s="89"/>
      <c r="G5" s="1044"/>
      <c r="H5" s="89"/>
      <c r="I5" s="979"/>
      <c r="J5" s="89"/>
      <c r="K5" s="89"/>
      <c r="L5" s="89"/>
      <c r="M5" s="89"/>
      <c r="N5" s="979"/>
      <c r="O5" s="1045"/>
      <c r="P5" s="1043"/>
      <c r="Q5" s="1038"/>
      <c r="R5" s="1039"/>
    </row>
    <row r="6" spans="1:18" s="60" customFormat="1" ht="13.15" customHeight="1" x14ac:dyDescent="0.3">
      <c r="B6" s="91" t="s">
        <v>31</v>
      </c>
      <c r="C6" s="101">
        <f>O98</f>
        <v>99035.930000000008</v>
      </c>
      <c r="D6" s="1043"/>
      <c r="E6" s="1044"/>
      <c r="F6" s="89"/>
      <c r="G6" s="1044"/>
      <c r="H6" s="89"/>
      <c r="I6" s="979"/>
      <c r="J6" s="89"/>
      <c r="K6" s="89"/>
      <c r="L6" s="89"/>
      <c r="M6" s="89"/>
      <c r="N6" s="979"/>
      <c r="O6" s="1045"/>
      <c r="P6" s="1043"/>
      <c r="Q6" s="1038"/>
      <c r="R6" s="1039"/>
    </row>
    <row r="7" spans="1:18" s="60" customFormat="1" ht="13.15" customHeight="1" x14ac:dyDescent="0.3">
      <c r="B7" s="91" t="s">
        <v>32</v>
      </c>
      <c r="C7" s="101">
        <f>O99</f>
        <v>1513834.93</v>
      </c>
      <c r="D7" s="1043"/>
      <c r="E7" s="1044"/>
      <c r="F7" s="89"/>
      <c r="G7" s="1044"/>
      <c r="H7" s="89"/>
      <c r="I7" s="979"/>
      <c r="J7" s="89"/>
      <c r="K7" s="89"/>
      <c r="L7" s="89"/>
      <c r="M7" s="89"/>
      <c r="N7" s="979"/>
      <c r="O7" s="1045"/>
      <c r="P7" s="1043"/>
      <c r="Q7" s="1038"/>
      <c r="R7" s="1039"/>
    </row>
    <row r="8" spans="1:18" ht="13.15" customHeight="1" thickBot="1" x14ac:dyDescent="0.35">
      <c r="B8" s="90"/>
      <c r="C8" s="90"/>
      <c r="D8" s="487"/>
      <c r="E8" s="11"/>
      <c r="F8" s="54"/>
      <c r="G8" s="11"/>
      <c r="H8" s="56"/>
      <c r="I8" s="166"/>
      <c r="J8" s="56"/>
      <c r="K8" s="56"/>
      <c r="L8" s="56"/>
      <c r="M8" s="56"/>
      <c r="N8" s="166"/>
      <c r="O8" s="122"/>
      <c r="P8" s="97"/>
    </row>
    <row r="9" spans="1:18" s="172" customFormat="1" ht="35" customHeight="1" thickBot="1" x14ac:dyDescent="0.35">
      <c r="B9" s="980" t="s">
        <v>69</v>
      </c>
      <c r="C9" s="980" t="s">
        <v>37</v>
      </c>
      <c r="D9" s="980" t="s">
        <v>29</v>
      </c>
      <c r="E9" s="980" t="s">
        <v>4</v>
      </c>
      <c r="F9" s="981" t="s">
        <v>5</v>
      </c>
      <c r="G9" s="981" t="s">
        <v>239</v>
      </c>
      <c r="H9" s="982" t="s">
        <v>6</v>
      </c>
      <c r="I9" s="983"/>
      <c r="J9" s="984" t="s">
        <v>4</v>
      </c>
      <c r="K9" s="981" t="s">
        <v>5</v>
      </c>
      <c r="L9" s="981" t="s">
        <v>238</v>
      </c>
      <c r="M9" s="982" t="s">
        <v>7</v>
      </c>
      <c r="N9" s="983"/>
      <c r="O9" s="984" t="s">
        <v>8</v>
      </c>
      <c r="P9" s="985" t="s">
        <v>20</v>
      </c>
      <c r="Q9" s="985" t="s">
        <v>50</v>
      </c>
      <c r="R9" s="985" t="s">
        <v>35</v>
      </c>
    </row>
    <row r="10" spans="1:18" s="650" customFormat="1" ht="15" customHeight="1" thickBot="1" x14ac:dyDescent="0.3">
      <c r="B10" s="974" t="s">
        <v>40</v>
      </c>
      <c r="C10" s="975"/>
      <c r="D10" s="976"/>
      <c r="E10" s="977"/>
      <c r="F10" s="977"/>
      <c r="G10" s="977"/>
      <c r="H10" s="978"/>
      <c r="I10" s="884"/>
      <c r="J10" s="974"/>
      <c r="K10" s="977"/>
      <c r="L10" s="977"/>
      <c r="M10" s="978"/>
      <c r="N10" s="884"/>
      <c r="O10" s="974"/>
      <c r="P10" s="977"/>
      <c r="Q10" s="977"/>
      <c r="R10" s="978"/>
    </row>
    <row r="11" spans="1:18" s="652" customFormat="1" ht="15" customHeight="1" thickBot="1" x14ac:dyDescent="0.35">
      <c r="B11" s="964" t="s">
        <v>300</v>
      </c>
      <c r="C11" s="965"/>
      <c r="D11" s="966"/>
      <c r="E11" s="967"/>
      <c r="F11" s="967"/>
      <c r="G11" s="967"/>
      <c r="H11" s="968"/>
      <c r="I11" s="884"/>
      <c r="J11" s="971"/>
      <c r="K11" s="972"/>
      <c r="L11" s="972"/>
      <c r="M11" s="973"/>
      <c r="N11" s="884"/>
      <c r="O11" s="971"/>
      <c r="P11" s="972"/>
      <c r="Q11" s="972"/>
      <c r="R11" s="973"/>
    </row>
    <row r="12" spans="1:18" s="652" customFormat="1" ht="15" customHeight="1" x14ac:dyDescent="0.3">
      <c r="A12" s="654"/>
      <c r="B12" s="995" t="s">
        <v>199</v>
      </c>
      <c r="C12" s="996"/>
      <c r="D12" s="996"/>
      <c r="E12" s="996"/>
      <c r="F12" s="996"/>
      <c r="G12" s="996"/>
      <c r="H12" s="997"/>
      <c r="I12" s="200"/>
      <c r="J12" s="995"/>
      <c r="K12" s="996"/>
      <c r="L12" s="996"/>
      <c r="M12" s="997"/>
      <c r="N12" s="200"/>
      <c r="O12" s="995"/>
      <c r="P12" s="996"/>
      <c r="Q12" s="996"/>
      <c r="R12" s="997"/>
    </row>
    <row r="13" spans="1:18" s="230" customFormat="1" ht="15" customHeight="1" x14ac:dyDescent="0.25">
      <c r="A13" s="655"/>
      <c r="B13" s="960" t="s">
        <v>200</v>
      </c>
      <c r="C13" s="704" t="s">
        <v>88</v>
      </c>
      <c r="D13" s="529" t="s">
        <v>70</v>
      </c>
      <c r="E13" s="545">
        <v>1</v>
      </c>
      <c r="F13" s="545">
        <v>19000</v>
      </c>
      <c r="G13" s="545">
        <v>1</v>
      </c>
      <c r="H13" s="198">
        <v>19000</v>
      </c>
      <c r="I13" s="197"/>
      <c r="J13" s="195">
        <v>0</v>
      </c>
      <c r="K13" s="195">
        <v>0</v>
      </c>
      <c r="L13" s="195">
        <v>0</v>
      </c>
      <c r="M13" s="198">
        <f t="shared" ref="M13" si="0">J13*K13*L13</f>
        <v>0</v>
      </c>
      <c r="N13" s="197"/>
      <c r="O13" s="221">
        <f t="shared" ref="O13" si="1">H13+M13</f>
        <v>19000</v>
      </c>
      <c r="P13" s="211">
        <v>0.3</v>
      </c>
      <c r="Q13" s="212">
        <f>P13*O13</f>
        <v>5700</v>
      </c>
      <c r="R13" s="657" t="s">
        <v>165</v>
      </c>
    </row>
    <row r="14" spans="1:18" s="230" customFormat="1" ht="15" customHeight="1" x14ac:dyDescent="0.25">
      <c r="A14" s="655"/>
      <c r="B14" s="961" t="s">
        <v>201</v>
      </c>
      <c r="C14" s="704" t="s">
        <v>88</v>
      </c>
      <c r="D14" s="529" t="s">
        <v>70</v>
      </c>
      <c r="E14" s="545">
        <v>1</v>
      </c>
      <c r="F14" s="545">
        <v>25000</v>
      </c>
      <c r="G14" s="545">
        <v>1</v>
      </c>
      <c r="H14" s="198">
        <f t="shared" ref="H14" si="2">E14*F14*G14</f>
        <v>25000</v>
      </c>
      <c r="I14" s="197"/>
      <c r="J14" s="195">
        <v>0</v>
      </c>
      <c r="K14" s="195">
        <v>0</v>
      </c>
      <c r="L14" s="195">
        <v>0</v>
      </c>
      <c r="M14" s="198">
        <f t="shared" ref="M14" si="3">J14*K14*L14</f>
        <v>0</v>
      </c>
      <c r="N14" s="197"/>
      <c r="O14" s="221">
        <f t="shared" ref="O14" si="4">H14+M14</f>
        <v>25000</v>
      </c>
      <c r="P14" s="211">
        <v>0.3</v>
      </c>
      <c r="Q14" s="212">
        <f>P14*O14</f>
        <v>7500</v>
      </c>
      <c r="R14" s="657" t="s">
        <v>202</v>
      </c>
    </row>
    <row r="15" spans="1:18" s="652" customFormat="1" ht="15" customHeight="1" x14ac:dyDescent="0.3">
      <c r="B15" s="667" t="s">
        <v>105</v>
      </c>
      <c r="C15" s="663" t="s">
        <v>9</v>
      </c>
      <c r="D15" s="529" t="s">
        <v>70</v>
      </c>
      <c r="E15" s="196">
        <v>1</v>
      </c>
      <c r="F15" s="196">
        <v>2500</v>
      </c>
      <c r="G15" s="196">
        <v>2</v>
      </c>
      <c r="H15" s="196">
        <f>E15*F15*G15</f>
        <v>5000</v>
      </c>
      <c r="I15" s="251"/>
      <c r="J15" s="196">
        <v>0</v>
      </c>
      <c r="K15" s="196">
        <v>0</v>
      </c>
      <c r="L15" s="196">
        <v>0</v>
      </c>
      <c r="M15" s="196">
        <f>J15*K15*L15</f>
        <v>0</v>
      </c>
      <c r="N15" s="252"/>
      <c r="O15" s="221">
        <f>H15+M15</f>
        <v>5000</v>
      </c>
      <c r="P15" s="211">
        <v>1</v>
      </c>
      <c r="Q15" s="212">
        <f>P15*O15</f>
        <v>5000</v>
      </c>
      <c r="R15" s="740" t="s">
        <v>233</v>
      </c>
    </row>
    <row r="16" spans="1:18" s="543" customFormat="1" ht="15" customHeight="1" x14ac:dyDescent="0.3">
      <c r="B16" s="685" t="s">
        <v>360</v>
      </c>
      <c r="C16" s="666" t="s">
        <v>11</v>
      </c>
      <c r="D16" s="529" t="s">
        <v>70</v>
      </c>
      <c r="E16" s="196">
        <v>20</v>
      </c>
      <c r="F16" s="196">
        <v>201.45</v>
      </c>
      <c r="G16" s="196">
        <v>1</v>
      </c>
      <c r="H16" s="196">
        <f>E16*F16*G16</f>
        <v>4029</v>
      </c>
      <c r="I16" s="251"/>
      <c r="J16" s="196"/>
      <c r="K16" s="196"/>
      <c r="L16" s="196"/>
      <c r="M16" s="196">
        <f t="shared" ref="M16" si="5">J16*K16*L16</f>
        <v>0</v>
      </c>
      <c r="N16" s="252"/>
      <c r="O16" s="221">
        <f>H16+M16</f>
        <v>4029</v>
      </c>
      <c r="P16" s="211">
        <v>0.5</v>
      </c>
      <c r="Q16" s="229">
        <f>P16*O16</f>
        <v>2014.5</v>
      </c>
      <c r="R16" s="531" t="s">
        <v>359</v>
      </c>
    </row>
    <row r="17" spans="1:18" s="652" customFormat="1" ht="15" customHeight="1" thickBot="1" x14ac:dyDescent="0.35">
      <c r="A17" s="654"/>
      <c r="B17" s="668" t="s">
        <v>203</v>
      </c>
      <c r="C17" s="1066">
        <f>SUM(H13:H16)</f>
        <v>53029</v>
      </c>
      <c r="D17" s="1067"/>
      <c r="E17" s="1067"/>
      <c r="F17" s="1067"/>
      <c r="G17" s="1067"/>
      <c r="H17" s="1068"/>
      <c r="I17" s="632"/>
      <c r="J17" s="1066">
        <f>SUM(M13:M16)</f>
        <v>0</v>
      </c>
      <c r="K17" s="1067"/>
      <c r="L17" s="1067"/>
      <c r="M17" s="1068"/>
      <c r="N17" s="632"/>
      <c r="O17" s="636">
        <f>C17+J17</f>
        <v>53029</v>
      </c>
      <c r="P17" s="647"/>
      <c r="Q17" s="647"/>
      <c r="R17" s="648"/>
    </row>
    <row r="18" spans="1:18" s="652" customFormat="1" ht="15" customHeight="1" x14ac:dyDescent="0.3">
      <c r="B18" s="1052" t="s">
        <v>370</v>
      </c>
      <c r="C18" s="992"/>
      <c r="D18" s="992"/>
      <c r="E18" s="992"/>
      <c r="F18" s="992"/>
      <c r="G18" s="992"/>
      <c r="H18" s="993"/>
      <c r="I18" s="200"/>
      <c r="J18" s="991"/>
      <c r="K18" s="992"/>
      <c r="L18" s="992"/>
      <c r="M18" s="993"/>
      <c r="N18" s="200"/>
      <c r="O18" s="991"/>
      <c r="P18" s="992"/>
      <c r="Q18" s="992"/>
      <c r="R18" s="993"/>
    </row>
    <row r="19" spans="1:18" s="683" customFormat="1" ht="15" customHeight="1" x14ac:dyDescent="0.3">
      <c r="A19" s="673"/>
      <c r="B19" s="674" t="s">
        <v>250</v>
      </c>
      <c r="C19" s="663" t="s">
        <v>9</v>
      </c>
      <c r="D19" s="675" t="s">
        <v>70</v>
      </c>
      <c r="E19" s="676">
        <v>0.25</v>
      </c>
      <c r="F19" s="677">
        <v>14400</v>
      </c>
      <c r="G19" s="678">
        <v>12</v>
      </c>
      <c r="H19" s="677">
        <f>E19*F19*G19</f>
        <v>43200</v>
      </c>
      <c r="I19" s="679"/>
      <c r="J19" s="676">
        <v>0.25</v>
      </c>
      <c r="K19" s="677">
        <v>14500</v>
      </c>
      <c r="L19" s="678">
        <v>6</v>
      </c>
      <c r="M19" s="677">
        <f>J19*K19*L19</f>
        <v>21750</v>
      </c>
      <c r="N19" s="680"/>
      <c r="O19" s="681">
        <f>H19+M19</f>
        <v>64950</v>
      </c>
      <c r="P19" s="514"/>
      <c r="Q19" s="681"/>
      <c r="R19" s="682"/>
    </row>
    <row r="20" spans="1:18" s="686" customFormat="1" ht="15" customHeight="1" x14ac:dyDescent="0.3">
      <c r="A20" s="684"/>
      <c r="B20" s="198" t="s">
        <v>253</v>
      </c>
      <c r="C20" s="663" t="s">
        <v>9</v>
      </c>
      <c r="D20" s="229" t="s">
        <v>70</v>
      </c>
      <c r="E20" s="314">
        <v>0.5</v>
      </c>
      <c r="F20" s="196">
        <v>2200</v>
      </c>
      <c r="G20" s="196">
        <v>12</v>
      </c>
      <c r="H20" s="196">
        <f t="shared" ref="H20:H21" si="6">E20*F20*G20</f>
        <v>13200</v>
      </c>
      <c r="I20" s="251"/>
      <c r="J20" s="314">
        <v>0.5</v>
      </c>
      <c r="K20" s="196">
        <v>2200</v>
      </c>
      <c r="L20" s="196">
        <v>6</v>
      </c>
      <c r="M20" s="196">
        <f t="shared" ref="M20:M21" si="7">J20*K20*L20</f>
        <v>6600</v>
      </c>
      <c r="N20" s="252"/>
      <c r="O20" s="221">
        <f t="shared" ref="O20:O21" si="8">H20+M20</f>
        <v>19800</v>
      </c>
      <c r="P20" s="211"/>
      <c r="Q20" s="211"/>
      <c r="R20" s="685" t="s">
        <v>257</v>
      </c>
    </row>
    <row r="21" spans="1:18" s="686" customFormat="1" ht="15" customHeight="1" x14ac:dyDescent="0.3">
      <c r="A21" s="684"/>
      <c r="B21" s="198" t="s">
        <v>261</v>
      </c>
      <c r="C21" s="663" t="s">
        <v>9</v>
      </c>
      <c r="D21" s="229" t="s">
        <v>70</v>
      </c>
      <c r="E21" s="314">
        <v>0.5</v>
      </c>
      <c r="F21" s="196">
        <v>1900</v>
      </c>
      <c r="G21" s="196">
        <v>10</v>
      </c>
      <c r="H21" s="196">
        <f t="shared" si="6"/>
        <v>9500</v>
      </c>
      <c r="I21" s="251"/>
      <c r="J21" s="314">
        <v>0.5</v>
      </c>
      <c r="K21" s="196">
        <v>2000</v>
      </c>
      <c r="L21" s="196">
        <v>6</v>
      </c>
      <c r="M21" s="196">
        <f t="shared" si="7"/>
        <v>6000</v>
      </c>
      <c r="N21" s="252"/>
      <c r="O21" s="221">
        <f t="shared" si="8"/>
        <v>15500</v>
      </c>
      <c r="P21" s="211"/>
      <c r="Q21" s="211"/>
      <c r="R21" s="685" t="s">
        <v>249</v>
      </c>
    </row>
    <row r="22" spans="1:18" s="652" customFormat="1" ht="15" customHeight="1" x14ac:dyDescent="0.3">
      <c r="B22" s="959" t="s">
        <v>368</v>
      </c>
      <c r="C22" s="994"/>
      <c r="D22" s="952"/>
      <c r="E22" s="722"/>
      <c r="F22" s="722"/>
      <c r="G22" s="722"/>
      <c r="H22" s="722"/>
      <c r="I22" s="251"/>
      <c r="J22" s="722"/>
      <c r="K22" s="722"/>
      <c r="L22" s="722"/>
      <c r="M22" s="722"/>
      <c r="N22" s="252"/>
      <c r="O22" s="948"/>
      <c r="P22" s="724"/>
      <c r="Q22" s="724"/>
      <c r="R22" s="542"/>
    </row>
    <row r="23" spans="1:18" s="543" customFormat="1" ht="15" customHeight="1" x14ac:dyDescent="0.3">
      <c r="B23" s="544" t="s">
        <v>204</v>
      </c>
      <c r="C23" s="198" t="s">
        <v>88</v>
      </c>
      <c r="D23" s="529" t="s">
        <v>70</v>
      </c>
      <c r="E23" s="196">
        <v>5</v>
      </c>
      <c r="F23" s="196">
        <v>3400</v>
      </c>
      <c r="G23" s="196">
        <v>1</v>
      </c>
      <c r="H23" s="196">
        <f t="shared" ref="H23:H24" si="9">E23*F23*G23</f>
        <v>17000</v>
      </c>
      <c r="I23" s="251"/>
      <c r="J23" s="196">
        <v>0</v>
      </c>
      <c r="K23" s="196">
        <v>0</v>
      </c>
      <c r="L23" s="196">
        <v>0</v>
      </c>
      <c r="M23" s="196">
        <f t="shared" ref="M23:M24" si="10">J23*K23*L23</f>
        <v>0</v>
      </c>
      <c r="N23" s="252"/>
      <c r="O23" s="221">
        <f t="shared" ref="O23:O24" si="11">H23+M23</f>
        <v>17000</v>
      </c>
      <c r="P23" s="211">
        <v>0.3</v>
      </c>
      <c r="Q23" s="229">
        <f>P23*O23</f>
        <v>5100</v>
      </c>
      <c r="R23" s="531" t="s">
        <v>234</v>
      </c>
    </row>
    <row r="24" spans="1:18" s="543" customFormat="1" ht="15" customHeight="1" x14ac:dyDescent="0.3">
      <c r="B24" s="531" t="s">
        <v>205</v>
      </c>
      <c r="C24" s="198" t="s">
        <v>88</v>
      </c>
      <c r="D24" s="529" t="s">
        <v>70</v>
      </c>
      <c r="E24" s="196">
        <v>5</v>
      </c>
      <c r="F24" s="196">
        <v>3400</v>
      </c>
      <c r="G24" s="196">
        <v>1</v>
      </c>
      <c r="H24" s="196">
        <f t="shared" si="9"/>
        <v>17000</v>
      </c>
      <c r="I24" s="251"/>
      <c r="J24" s="196">
        <v>0</v>
      </c>
      <c r="K24" s="196">
        <v>0</v>
      </c>
      <c r="L24" s="196">
        <v>0</v>
      </c>
      <c r="M24" s="196">
        <f t="shared" si="10"/>
        <v>0</v>
      </c>
      <c r="N24" s="252"/>
      <c r="O24" s="221">
        <f t="shared" si="11"/>
        <v>17000</v>
      </c>
      <c r="P24" s="211"/>
      <c r="Q24" s="211"/>
      <c r="R24" s="531" t="s">
        <v>234</v>
      </c>
    </row>
    <row r="25" spans="1:18" s="543" customFormat="1" ht="15" customHeight="1" x14ac:dyDescent="0.3">
      <c r="B25" s="685" t="s">
        <v>206</v>
      </c>
      <c r="C25" s="198" t="s">
        <v>88</v>
      </c>
      <c r="D25" s="229" t="s">
        <v>70</v>
      </c>
      <c r="E25" s="196">
        <v>1</v>
      </c>
      <c r="F25" s="196">
        <v>6000</v>
      </c>
      <c r="G25" s="196">
        <v>1</v>
      </c>
      <c r="H25" s="196">
        <f>E25*F25*G25</f>
        <v>6000</v>
      </c>
      <c r="I25" s="251"/>
      <c r="J25" s="196">
        <v>0</v>
      </c>
      <c r="K25" s="196">
        <v>0</v>
      </c>
      <c r="L25" s="196">
        <v>0</v>
      </c>
      <c r="M25" s="196">
        <f>J25*K25*L25</f>
        <v>0</v>
      </c>
      <c r="N25" s="252"/>
      <c r="O25" s="88">
        <f>H25+M25</f>
        <v>6000</v>
      </c>
      <c r="P25" s="211">
        <v>0.3</v>
      </c>
      <c r="Q25" s="229">
        <f>P25*O25</f>
        <v>1800</v>
      </c>
      <c r="R25" s="531" t="s">
        <v>181</v>
      </c>
    </row>
    <row r="26" spans="1:18" s="543" customFormat="1" ht="15" customHeight="1" x14ac:dyDescent="0.3">
      <c r="B26" s="131" t="s">
        <v>207</v>
      </c>
      <c r="C26" s="198" t="s">
        <v>12</v>
      </c>
      <c r="D26" s="529" t="s">
        <v>70</v>
      </c>
      <c r="E26" s="196">
        <v>5</v>
      </c>
      <c r="F26" s="196">
        <v>840</v>
      </c>
      <c r="G26" s="196">
        <v>1</v>
      </c>
      <c r="H26" s="196">
        <f t="shared" ref="H26" si="12">E26*F26*G26</f>
        <v>4200</v>
      </c>
      <c r="I26" s="251"/>
      <c r="J26" s="196">
        <v>0</v>
      </c>
      <c r="K26" s="196">
        <v>0</v>
      </c>
      <c r="L26" s="196">
        <v>0</v>
      </c>
      <c r="M26" s="196">
        <f t="shared" ref="M26" si="13">J26*K26*L26</f>
        <v>0</v>
      </c>
      <c r="N26" s="252"/>
      <c r="O26" s="221">
        <f t="shared" ref="O26" si="14">H26+M26</f>
        <v>4200</v>
      </c>
      <c r="P26" s="211"/>
      <c r="Q26" s="211"/>
      <c r="R26" s="531" t="s">
        <v>163</v>
      </c>
    </row>
    <row r="27" spans="1:18" s="543" customFormat="1" ht="15" customHeight="1" x14ac:dyDescent="0.3">
      <c r="B27" s="531" t="s">
        <v>362</v>
      </c>
      <c r="C27" s="691" t="s">
        <v>13</v>
      </c>
      <c r="D27" s="529" t="s">
        <v>70</v>
      </c>
      <c r="E27" s="196">
        <v>5</v>
      </c>
      <c r="F27" s="196">
        <v>50000</v>
      </c>
      <c r="G27" s="196">
        <v>1</v>
      </c>
      <c r="H27" s="196">
        <f t="shared" ref="H27" si="15">E27*F27*G27</f>
        <v>250000</v>
      </c>
      <c r="I27" s="251"/>
      <c r="J27" s="196">
        <v>0</v>
      </c>
      <c r="K27" s="196">
        <v>0</v>
      </c>
      <c r="L27" s="196">
        <v>0</v>
      </c>
      <c r="M27" s="196">
        <f t="shared" ref="M27" si="16">J27*K27*L27</f>
        <v>0</v>
      </c>
      <c r="N27" s="252"/>
      <c r="O27" s="221">
        <f t="shared" ref="O27" si="17">H27+M27</f>
        <v>250000</v>
      </c>
      <c r="P27" s="211">
        <v>0.3</v>
      </c>
      <c r="Q27" s="229">
        <f>P27*O27</f>
        <v>75000</v>
      </c>
      <c r="R27" s="531" t="s">
        <v>252</v>
      </c>
    </row>
    <row r="28" spans="1:18" s="543" customFormat="1" ht="15" customHeight="1" x14ac:dyDescent="0.3">
      <c r="B28" s="531" t="s">
        <v>363</v>
      </c>
      <c r="C28" s="198" t="s">
        <v>88</v>
      </c>
      <c r="D28" s="529" t="s">
        <v>70</v>
      </c>
      <c r="E28" s="530">
        <v>5</v>
      </c>
      <c r="F28" s="530">
        <v>2200</v>
      </c>
      <c r="G28" s="530">
        <v>1</v>
      </c>
      <c r="H28" s="196">
        <f t="shared" ref="H28" si="18">E28*F28*G28</f>
        <v>11000</v>
      </c>
      <c r="I28" s="251"/>
      <c r="J28" s="196">
        <v>0</v>
      </c>
      <c r="K28" s="196">
        <v>0</v>
      </c>
      <c r="L28" s="196">
        <v>0</v>
      </c>
      <c r="M28" s="196">
        <f t="shared" ref="M28" si="19">J28*K28*L28</f>
        <v>0</v>
      </c>
      <c r="N28" s="252"/>
      <c r="O28" s="221">
        <f t="shared" ref="O28" si="20">H28+M28</f>
        <v>11000</v>
      </c>
      <c r="P28" s="211">
        <v>0.3</v>
      </c>
      <c r="Q28" s="229">
        <f>P28*O28</f>
        <v>3300</v>
      </c>
      <c r="R28" s="531" t="s">
        <v>166</v>
      </c>
    </row>
    <row r="29" spans="1:18" s="652" customFormat="1" ht="15" customHeight="1" thickBot="1" x14ac:dyDescent="0.35">
      <c r="A29" s="654"/>
      <c r="B29" s="705" t="s">
        <v>106</v>
      </c>
      <c r="C29" s="1066">
        <f>SUM(H19:H28)</f>
        <v>371100</v>
      </c>
      <c r="D29" s="1067"/>
      <c r="E29" s="1067"/>
      <c r="F29" s="1067"/>
      <c r="G29" s="1067"/>
      <c r="H29" s="1068"/>
      <c r="I29" s="632"/>
      <c r="J29" s="641"/>
      <c r="K29" s="641"/>
      <c r="L29" s="641"/>
      <c r="M29" s="640">
        <f>SUM(M19:M28)</f>
        <v>34350</v>
      </c>
      <c r="N29" s="632"/>
      <c r="O29" s="636">
        <f>C29+M29</f>
        <v>405450</v>
      </c>
      <c r="P29" s="99"/>
      <c r="Q29" s="215"/>
      <c r="R29" s="201"/>
    </row>
    <row r="30" spans="1:18" s="652" customFormat="1" ht="15" customHeight="1" thickBot="1" x14ac:dyDescent="0.35">
      <c r="A30" s="654"/>
      <c r="B30" s="1053" t="s">
        <v>371</v>
      </c>
      <c r="C30" s="992"/>
      <c r="D30" s="992"/>
      <c r="E30" s="992"/>
      <c r="F30" s="992"/>
      <c r="G30" s="992"/>
      <c r="H30" s="993"/>
      <c r="I30" s="200"/>
      <c r="J30" s="991"/>
      <c r="K30" s="992"/>
      <c r="L30" s="992"/>
      <c r="M30" s="993"/>
      <c r="N30" s="200"/>
      <c r="O30" s="991"/>
      <c r="P30" s="992"/>
      <c r="Q30" s="992"/>
      <c r="R30" s="993"/>
    </row>
    <row r="31" spans="1:18" s="683" customFormat="1" ht="15" customHeight="1" x14ac:dyDescent="0.3">
      <c r="A31" s="673"/>
      <c r="B31" s="674" t="s">
        <v>250</v>
      </c>
      <c r="C31" s="663" t="s">
        <v>9</v>
      </c>
      <c r="D31" s="675" t="s">
        <v>70</v>
      </c>
      <c r="E31" s="676">
        <v>0.25</v>
      </c>
      <c r="F31" s="677">
        <v>14400</v>
      </c>
      <c r="G31" s="678">
        <v>12</v>
      </c>
      <c r="H31" s="677">
        <f>E31*F31*G31</f>
        <v>43200</v>
      </c>
      <c r="I31" s="679"/>
      <c r="J31" s="676">
        <v>0.25</v>
      </c>
      <c r="K31" s="677">
        <v>14500</v>
      </c>
      <c r="L31" s="678">
        <v>6</v>
      </c>
      <c r="M31" s="677">
        <f>J31*K31*L31</f>
        <v>21750</v>
      </c>
      <c r="N31" s="680"/>
      <c r="O31" s="681">
        <f>H31+M31</f>
        <v>64950</v>
      </c>
      <c r="P31" s="514"/>
      <c r="Q31" s="681"/>
      <c r="R31" s="682"/>
    </row>
    <row r="32" spans="1:18" s="686" customFormat="1" ht="15" customHeight="1" x14ac:dyDescent="0.3">
      <c r="A32" s="684"/>
      <c r="B32" s="198" t="s">
        <v>253</v>
      </c>
      <c r="C32" s="663" t="s">
        <v>9</v>
      </c>
      <c r="D32" s="229" t="s">
        <v>70</v>
      </c>
      <c r="E32" s="314">
        <v>0.5</v>
      </c>
      <c r="F32" s="196">
        <v>2200</v>
      </c>
      <c r="G32" s="196">
        <v>12</v>
      </c>
      <c r="H32" s="196">
        <f t="shared" ref="H32:H33" si="21">E32*F32*G32</f>
        <v>13200</v>
      </c>
      <c r="I32" s="251"/>
      <c r="J32" s="314">
        <v>0.5</v>
      </c>
      <c r="K32" s="196">
        <v>2200</v>
      </c>
      <c r="L32" s="196">
        <v>6</v>
      </c>
      <c r="M32" s="196">
        <f t="shared" ref="M32:M33" si="22">J32*K32*L32</f>
        <v>6600</v>
      </c>
      <c r="N32" s="252"/>
      <c r="O32" s="221">
        <f t="shared" ref="O32:O33" si="23">H32+M32</f>
        <v>19800</v>
      </c>
      <c r="P32" s="211"/>
      <c r="Q32" s="211"/>
      <c r="R32" s="685" t="s">
        <v>257</v>
      </c>
    </row>
    <row r="33" spans="1:18" s="686" customFormat="1" ht="15" customHeight="1" x14ac:dyDescent="0.3">
      <c r="A33" s="684"/>
      <c r="B33" s="198" t="s">
        <v>261</v>
      </c>
      <c r="C33" s="663" t="s">
        <v>9</v>
      </c>
      <c r="D33" s="229" t="s">
        <v>70</v>
      </c>
      <c r="E33" s="314">
        <v>0.5</v>
      </c>
      <c r="F33" s="196">
        <v>1900</v>
      </c>
      <c r="G33" s="196">
        <v>10</v>
      </c>
      <c r="H33" s="196">
        <f t="shared" si="21"/>
        <v>9500</v>
      </c>
      <c r="I33" s="251"/>
      <c r="J33" s="314">
        <v>0.5</v>
      </c>
      <c r="K33" s="196">
        <v>2000</v>
      </c>
      <c r="L33" s="196">
        <v>6</v>
      </c>
      <c r="M33" s="196">
        <f t="shared" si="22"/>
        <v>6000</v>
      </c>
      <c r="N33" s="252"/>
      <c r="O33" s="221">
        <f t="shared" si="23"/>
        <v>15500</v>
      </c>
      <c r="P33" s="211"/>
      <c r="Q33" s="211"/>
      <c r="R33" s="685" t="s">
        <v>249</v>
      </c>
    </row>
    <row r="34" spans="1:18" s="652" customFormat="1" ht="15" customHeight="1" x14ac:dyDescent="0.3">
      <c r="B34" s="542" t="s">
        <v>372</v>
      </c>
      <c r="C34" s="994"/>
      <c r="D34" s="952"/>
      <c r="E34" s="722"/>
      <c r="F34" s="722"/>
      <c r="G34" s="722"/>
      <c r="H34" s="722"/>
      <c r="I34" s="251"/>
      <c r="J34" s="255"/>
      <c r="K34" s="255"/>
      <c r="L34" s="255"/>
      <c r="M34" s="255"/>
      <c r="N34" s="252"/>
      <c r="O34" s="572"/>
      <c r="P34" s="257"/>
      <c r="Q34" s="257"/>
      <c r="R34" s="258"/>
    </row>
    <row r="35" spans="1:18" s="507" customFormat="1" ht="15" customHeight="1" x14ac:dyDescent="0.25">
      <c r="A35" s="714"/>
      <c r="B35" s="715" t="s">
        <v>208</v>
      </c>
      <c r="C35" s="198" t="s">
        <v>88</v>
      </c>
      <c r="D35" s="529" t="s">
        <v>70</v>
      </c>
      <c r="E35" s="545">
        <v>20</v>
      </c>
      <c r="F35" s="545">
        <v>1500</v>
      </c>
      <c r="G35" s="545">
        <v>1</v>
      </c>
      <c r="H35" s="198">
        <f t="shared" ref="H35" si="24">E35*F35*G35</f>
        <v>30000</v>
      </c>
      <c r="I35" s="197"/>
      <c r="J35" s="198">
        <v>0</v>
      </c>
      <c r="K35" s="198">
        <v>0</v>
      </c>
      <c r="L35" s="198">
        <v>0</v>
      </c>
      <c r="M35" s="198">
        <f t="shared" ref="M35" si="25">J35*K35*L35</f>
        <v>0</v>
      </c>
      <c r="N35" s="197"/>
      <c r="O35" s="221">
        <f t="shared" ref="O35" si="26">H35+M35</f>
        <v>30000</v>
      </c>
      <c r="P35" s="211" t="s">
        <v>104</v>
      </c>
      <c r="Q35" s="211" t="s">
        <v>104</v>
      </c>
      <c r="R35" s="531" t="s">
        <v>331</v>
      </c>
    </row>
    <row r="36" spans="1:18" s="652" customFormat="1" ht="15" customHeight="1" x14ac:dyDescent="0.3">
      <c r="B36" s="717" t="s">
        <v>373</v>
      </c>
      <c r="C36" s="994"/>
      <c r="D36" s="952"/>
      <c r="E36" s="722"/>
      <c r="F36" s="722"/>
      <c r="G36" s="722"/>
      <c r="H36" s="722"/>
      <c r="I36" s="251"/>
      <c r="J36" s="255"/>
      <c r="K36" s="255"/>
      <c r="L36" s="255"/>
      <c r="M36" s="255"/>
      <c r="N36" s="252"/>
      <c r="O36" s="572"/>
      <c r="P36" s="257"/>
      <c r="Q36" s="257"/>
      <c r="R36" s="258"/>
    </row>
    <row r="37" spans="1:18" s="507" customFormat="1" ht="15" customHeight="1" x14ac:dyDescent="0.25">
      <c r="A37" s="714"/>
      <c r="B37" s="531" t="s">
        <v>374</v>
      </c>
      <c r="C37" s="666" t="s">
        <v>11</v>
      </c>
      <c r="D37" s="229" t="s">
        <v>70</v>
      </c>
      <c r="E37" s="198">
        <v>12</v>
      </c>
      <c r="F37" s="198">
        <v>1500</v>
      </c>
      <c r="G37" s="198">
        <v>1</v>
      </c>
      <c r="H37" s="198">
        <f t="shared" ref="H37:H38" si="27">E37*F37*G37</f>
        <v>18000</v>
      </c>
      <c r="I37" s="197"/>
      <c r="J37" s="198">
        <v>0</v>
      </c>
      <c r="K37" s="198">
        <v>0</v>
      </c>
      <c r="L37" s="198">
        <v>0</v>
      </c>
      <c r="M37" s="198">
        <f t="shared" ref="M37:M38" si="28">J37*K37*L37</f>
        <v>0</v>
      </c>
      <c r="N37" s="197"/>
      <c r="O37" s="221">
        <f t="shared" ref="O37" si="29">H37+M37</f>
        <v>18000</v>
      </c>
      <c r="P37" s="211">
        <v>0.3</v>
      </c>
      <c r="Q37" s="229">
        <f t="shared" ref="Q37:Q38" si="30">P37*O37</f>
        <v>5400</v>
      </c>
      <c r="R37" s="531" t="s">
        <v>355</v>
      </c>
    </row>
    <row r="38" spans="1:18" s="507" customFormat="1" ht="15" customHeight="1" x14ac:dyDescent="0.25">
      <c r="A38" s="714"/>
      <c r="B38" s="531" t="s">
        <v>375</v>
      </c>
      <c r="C38" s="666" t="s">
        <v>11</v>
      </c>
      <c r="D38" s="229" t="s">
        <v>70</v>
      </c>
      <c r="E38" s="198">
        <v>600</v>
      </c>
      <c r="F38" s="198">
        <v>92</v>
      </c>
      <c r="G38" s="198">
        <v>1</v>
      </c>
      <c r="H38" s="198">
        <f t="shared" si="27"/>
        <v>55200</v>
      </c>
      <c r="I38" s="197"/>
      <c r="J38" s="198">
        <v>600</v>
      </c>
      <c r="K38" s="198">
        <v>92</v>
      </c>
      <c r="L38" s="198">
        <v>1</v>
      </c>
      <c r="M38" s="198">
        <f t="shared" si="28"/>
        <v>55200</v>
      </c>
      <c r="N38" s="197"/>
      <c r="O38" s="221">
        <f>H38+M38</f>
        <v>110400</v>
      </c>
      <c r="P38" s="211">
        <v>0.3</v>
      </c>
      <c r="Q38" s="229">
        <f t="shared" si="30"/>
        <v>33120</v>
      </c>
      <c r="R38" s="531" t="s">
        <v>164</v>
      </c>
    </row>
    <row r="39" spans="1:18" s="652" customFormat="1" ht="15" customHeight="1" x14ac:dyDescent="0.3">
      <c r="B39" s="260" t="s">
        <v>377</v>
      </c>
      <c r="C39" s="994"/>
      <c r="D39" s="952"/>
      <c r="E39" s="722"/>
      <c r="F39" s="722"/>
      <c r="G39" s="722"/>
      <c r="H39" s="722"/>
      <c r="I39" s="251"/>
      <c r="J39" s="255"/>
      <c r="K39" s="255"/>
      <c r="L39" s="255"/>
      <c r="M39" s="255"/>
      <c r="N39" s="252"/>
      <c r="O39" s="572"/>
      <c r="P39" s="257"/>
      <c r="Q39" s="257"/>
      <c r="R39" s="258"/>
    </row>
    <row r="40" spans="1:18" s="507" customFormat="1" ht="15" customHeight="1" x14ac:dyDescent="0.25">
      <c r="A40" s="655"/>
      <c r="B40" s="531" t="s">
        <v>209</v>
      </c>
      <c r="C40" s="198" t="s">
        <v>12</v>
      </c>
      <c r="D40" s="229" t="s">
        <v>70</v>
      </c>
      <c r="E40" s="198">
        <v>1</v>
      </c>
      <c r="F40" s="198">
        <v>3000</v>
      </c>
      <c r="G40" s="198">
        <v>1</v>
      </c>
      <c r="H40" s="610">
        <f t="shared" ref="H40" si="31">E40*F40*G40</f>
        <v>3000</v>
      </c>
      <c r="I40" s="197"/>
      <c r="J40" s="198">
        <v>1</v>
      </c>
      <c r="K40" s="198">
        <v>3000</v>
      </c>
      <c r="L40" s="198">
        <v>6</v>
      </c>
      <c r="M40" s="198">
        <f t="shared" ref="M40" si="32">J40*K40*L40</f>
        <v>18000</v>
      </c>
      <c r="N40" s="197"/>
      <c r="O40" s="221">
        <f t="shared" ref="O40" si="33">H40+M40</f>
        <v>21000</v>
      </c>
      <c r="P40" s="211"/>
      <c r="Q40" s="229"/>
      <c r="R40" s="531" t="s">
        <v>258</v>
      </c>
    </row>
    <row r="41" spans="1:18" s="652" customFormat="1" ht="15" customHeight="1" thickBot="1" x14ac:dyDescent="0.35">
      <c r="A41" s="692"/>
      <c r="B41" s="705" t="s">
        <v>103</v>
      </c>
      <c r="C41" s="641"/>
      <c r="D41" s="641"/>
      <c r="E41" s="641"/>
      <c r="F41" s="641"/>
      <c r="G41" s="641"/>
      <c r="H41" s="640">
        <f>SUM(H31:H40)</f>
        <v>172100</v>
      </c>
      <c r="I41" s="632"/>
      <c r="J41" s="641"/>
      <c r="K41" s="641"/>
      <c r="L41" s="641"/>
      <c r="M41" s="640">
        <f>SUM(M31:M40)</f>
        <v>107550</v>
      </c>
      <c r="N41" s="632"/>
      <c r="O41" s="636">
        <f>H41+M41</f>
        <v>279650</v>
      </c>
      <c r="P41" s="99"/>
      <c r="Q41" s="215"/>
      <c r="R41" s="201"/>
    </row>
    <row r="42" spans="1:18" s="686" customFormat="1" ht="15" customHeight="1" thickBot="1" x14ac:dyDescent="0.35">
      <c r="A42" s="787"/>
      <c r="B42" s="92" t="s">
        <v>36</v>
      </c>
      <c r="C42" s="642"/>
      <c r="D42" s="642"/>
      <c r="E42" s="642"/>
      <c r="F42" s="642"/>
      <c r="G42" s="642"/>
      <c r="H42" s="457">
        <f>C29+H41+C17</f>
        <v>596229</v>
      </c>
      <c r="I42" s="635"/>
      <c r="J42" s="643"/>
      <c r="K42" s="642"/>
      <c r="L42" s="642"/>
      <c r="M42" s="457">
        <f>M29+M41+J17</f>
        <v>141900</v>
      </c>
      <c r="N42" s="635"/>
      <c r="O42" s="637">
        <f>H42+M42</f>
        <v>738129</v>
      </c>
      <c r="P42" s="216"/>
      <c r="Q42" s="216">
        <f>SUM(Q35:Q40)</f>
        <v>38520</v>
      </c>
      <c r="R42" s="284">
        <f>Q42/O42</f>
        <v>5.2186000008128661E-2</v>
      </c>
    </row>
    <row r="43" spans="1:18" s="686" customFormat="1" ht="15" customHeight="1" thickBot="1" x14ac:dyDescent="0.35">
      <c r="A43" s="787"/>
      <c r="B43" s="128"/>
      <c r="C43" s="128"/>
      <c r="D43" s="231"/>
      <c r="E43" s="754"/>
      <c r="F43" s="754"/>
      <c r="G43" s="754"/>
      <c r="H43" s="754"/>
      <c r="I43" s="755"/>
      <c r="J43" s="754"/>
      <c r="K43" s="754"/>
      <c r="L43" s="754"/>
      <c r="M43" s="754"/>
      <c r="N43" s="755"/>
      <c r="O43" s="231"/>
      <c r="P43" s="231"/>
      <c r="Q43" s="231"/>
      <c r="R43" s="207"/>
    </row>
    <row r="44" spans="1:18" s="652" customFormat="1" ht="15" customHeight="1" thickBot="1" x14ac:dyDescent="0.35">
      <c r="B44" s="877" t="s">
        <v>162</v>
      </c>
      <c r="C44" s="878"/>
      <c r="D44" s="878"/>
      <c r="E44" s="878"/>
      <c r="F44" s="878"/>
      <c r="G44" s="878"/>
      <c r="H44" s="879"/>
      <c r="I44" s="632"/>
      <c r="J44" s="877"/>
      <c r="K44" s="878"/>
      <c r="L44" s="878"/>
      <c r="M44" s="879"/>
      <c r="N44" s="632"/>
      <c r="O44" s="877"/>
      <c r="P44" s="878"/>
      <c r="Q44" s="878"/>
      <c r="R44" s="879"/>
    </row>
    <row r="45" spans="1:18" s="683" customFormat="1" ht="15" customHeight="1" x14ac:dyDescent="0.3">
      <c r="A45" s="673"/>
      <c r="B45" s="843" t="s">
        <v>250</v>
      </c>
      <c r="C45" s="844" t="s">
        <v>9</v>
      </c>
      <c r="D45" s="845" t="s">
        <v>90</v>
      </c>
      <c r="E45" s="846">
        <v>0.25</v>
      </c>
      <c r="F45" s="847">
        <v>14400</v>
      </c>
      <c r="G45" s="649">
        <v>12</v>
      </c>
      <c r="H45" s="849">
        <f>E45*F45*G45</f>
        <v>43200</v>
      </c>
      <c r="I45" s="679"/>
      <c r="J45" s="850">
        <v>0.25</v>
      </c>
      <c r="K45" s="847">
        <v>14500</v>
      </c>
      <c r="L45" s="848">
        <v>6</v>
      </c>
      <c r="M45" s="849">
        <f>J45*K45*L45</f>
        <v>21750</v>
      </c>
      <c r="N45" s="680"/>
      <c r="O45" s="851">
        <f>H45+M45</f>
        <v>64950</v>
      </c>
      <c r="P45" s="649"/>
      <c r="Q45" s="852"/>
      <c r="R45" s="853"/>
    </row>
    <row r="46" spans="1:18" s="683" customFormat="1" ht="15" customHeight="1" x14ac:dyDescent="0.3">
      <c r="A46" s="856"/>
      <c r="B46" s="759" t="s">
        <v>235</v>
      </c>
      <c r="C46" s="663" t="s">
        <v>9</v>
      </c>
      <c r="D46" s="857" t="s">
        <v>90</v>
      </c>
      <c r="E46" s="760">
        <v>1</v>
      </c>
      <c r="F46" s="677">
        <v>1900</v>
      </c>
      <c r="G46" s="514">
        <v>12</v>
      </c>
      <c r="H46" s="858">
        <f>E46*F46*G46</f>
        <v>22800</v>
      </c>
      <c r="I46" s="679"/>
      <c r="J46" s="859">
        <v>1</v>
      </c>
      <c r="K46" s="677">
        <v>2000</v>
      </c>
      <c r="L46" s="678">
        <v>6</v>
      </c>
      <c r="M46" s="854">
        <f>J46*K46*L46</f>
        <v>12000</v>
      </c>
      <c r="N46" s="680"/>
      <c r="O46" s="855">
        <f>H46+M46</f>
        <v>34800</v>
      </c>
      <c r="P46" s="96"/>
      <c r="Q46" s="681"/>
      <c r="R46" s="682"/>
    </row>
    <row r="47" spans="1:18" s="745" customFormat="1" ht="15" customHeight="1" x14ac:dyDescent="0.3">
      <c r="A47" s="744"/>
      <c r="B47" s="674" t="s">
        <v>91</v>
      </c>
      <c r="C47" s="738" t="s">
        <v>88</v>
      </c>
      <c r="D47" s="857" t="s">
        <v>90</v>
      </c>
      <c r="E47" s="860">
        <v>1</v>
      </c>
      <c r="F47" s="861">
        <v>18000</v>
      </c>
      <c r="G47" s="861">
        <v>1</v>
      </c>
      <c r="H47" s="862">
        <f t="shared" ref="H47:H53" si="34">E47*F47*G47</f>
        <v>18000</v>
      </c>
      <c r="I47" s="767"/>
      <c r="J47" s="863">
        <v>0</v>
      </c>
      <c r="K47" s="678"/>
      <c r="L47" s="678">
        <v>0</v>
      </c>
      <c r="M47" s="864">
        <f t="shared" ref="M47:M53" si="35">J47*K47*L47</f>
        <v>0</v>
      </c>
      <c r="N47" s="767"/>
      <c r="O47" s="855">
        <f t="shared" ref="O47:O53" si="36">H47+M47</f>
        <v>18000</v>
      </c>
      <c r="P47" s="96"/>
      <c r="Q47" s="768"/>
      <c r="R47" s="769"/>
    </row>
    <row r="48" spans="1:18" s="745" customFormat="1" ht="15" customHeight="1" x14ac:dyDescent="0.3">
      <c r="A48" s="744"/>
      <c r="B48" s="674" t="s">
        <v>92</v>
      </c>
      <c r="C48" s="738" t="s">
        <v>88</v>
      </c>
      <c r="D48" s="857" t="s">
        <v>90</v>
      </c>
      <c r="E48" s="860">
        <v>1</v>
      </c>
      <c r="F48" s="861">
        <v>10000</v>
      </c>
      <c r="G48" s="861">
        <v>1</v>
      </c>
      <c r="H48" s="864">
        <f t="shared" si="34"/>
        <v>10000</v>
      </c>
      <c r="I48" s="767"/>
      <c r="J48" s="863">
        <v>0</v>
      </c>
      <c r="K48" s="678">
        <v>0</v>
      </c>
      <c r="L48" s="678">
        <v>0</v>
      </c>
      <c r="M48" s="864"/>
      <c r="N48" s="767"/>
      <c r="O48" s="855">
        <f t="shared" si="36"/>
        <v>10000</v>
      </c>
      <c r="P48" s="96"/>
      <c r="Q48" s="768"/>
      <c r="R48" s="769"/>
    </row>
    <row r="49" spans="1:18" s="745" customFormat="1" ht="15" customHeight="1" x14ac:dyDescent="0.3">
      <c r="A49" s="744"/>
      <c r="B49" s="674" t="s">
        <v>93</v>
      </c>
      <c r="C49" s="738" t="s">
        <v>88</v>
      </c>
      <c r="D49" s="857" t="s">
        <v>90</v>
      </c>
      <c r="E49" s="860">
        <v>1</v>
      </c>
      <c r="F49" s="738">
        <v>5000</v>
      </c>
      <c r="G49" s="861">
        <v>1</v>
      </c>
      <c r="H49" s="864">
        <f t="shared" si="34"/>
        <v>5000</v>
      </c>
      <c r="I49" s="767"/>
      <c r="J49" s="863">
        <v>0</v>
      </c>
      <c r="K49" s="678">
        <v>0</v>
      </c>
      <c r="L49" s="678">
        <v>0</v>
      </c>
      <c r="M49" s="864">
        <f t="shared" si="35"/>
        <v>0</v>
      </c>
      <c r="N49" s="767"/>
      <c r="O49" s="855">
        <f t="shared" si="36"/>
        <v>5000</v>
      </c>
      <c r="P49" s="96"/>
      <c r="Q49" s="768"/>
      <c r="R49" s="769"/>
    </row>
    <row r="50" spans="1:18" s="745" customFormat="1" ht="15" customHeight="1" x14ac:dyDescent="0.3">
      <c r="A50" s="744"/>
      <c r="B50" s="674" t="s">
        <v>94</v>
      </c>
      <c r="C50" s="738" t="s">
        <v>12</v>
      </c>
      <c r="D50" s="857" t="s">
        <v>90</v>
      </c>
      <c r="E50" s="860">
        <v>1</v>
      </c>
      <c r="F50" s="861">
        <v>1500</v>
      </c>
      <c r="G50" s="861">
        <v>1</v>
      </c>
      <c r="H50" s="864">
        <f t="shared" si="34"/>
        <v>1500</v>
      </c>
      <c r="I50" s="767"/>
      <c r="J50" s="863">
        <v>0</v>
      </c>
      <c r="K50" s="678">
        <v>0</v>
      </c>
      <c r="L50" s="678">
        <v>0</v>
      </c>
      <c r="M50" s="864">
        <f t="shared" si="35"/>
        <v>0</v>
      </c>
      <c r="N50" s="767"/>
      <c r="O50" s="855">
        <f t="shared" si="36"/>
        <v>1500</v>
      </c>
      <c r="P50" s="96"/>
      <c r="Q50" s="768"/>
      <c r="R50" s="769"/>
    </row>
    <row r="51" spans="1:18" s="745" customFormat="1" ht="15" customHeight="1" x14ac:dyDescent="0.3">
      <c r="A51" s="744"/>
      <c r="B51" s="674" t="s">
        <v>95</v>
      </c>
      <c r="C51" s="738" t="s">
        <v>12</v>
      </c>
      <c r="D51" s="777" t="s">
        <v>90</v>
      </c>
      <c r="E51" s="865">
        <v>1</v>
      </c>
      <c r="F51" s="738">
        <v>2500</v>
      </c>
      <c r="G51" s="738">
        <v>1</v>
      </c>
      <c r="H51" s="864">
        <f t="shared" si="34"/>
        <v>2500</v>
      </c>
      <c r="I51" s="767"/>
      <c r="J51" s="863">
        <v>1</v>
      </c>
      <c r="K51" s="678">
        <v>1500</v>
      </c>
      <c r="L51" s="678">
        <v>1</v>
      </c>
      <c r="M51" s="864">
        <f t="shared" si="35"/>
        <v>1500</v>
      </c>
      <c r="N51" s="767"/>
      <c r="O51" s="855">
        <f t="shared" si="36"/>
        <v>4000</v>
      </c>
      <c r="P51" s="96"/>
      <c r="Q51" s="768"/>
      <c r="R51" s="769"/>
    </row>
    <row r="52" spans="1:18" s="745" customFormat="1" ht="15" customHeight="1" x14ac:dyDescent="0.3">
      <c r="A52" s="744"/>
      <c r="B52" s="674" t="s">
        <v>96</v>
      </c>
      <c r="C52" s="738" t="s">
        <v>88</v>
      </c>
      <c r="D52" s="857" t="s">
        <v>90</v>
      </c>
      <c r="E52" s="857">
        <v>0</v>
      </c>
      <c r="F52" s="866">
        <v>0</v>
      </c>
      <c r="G52" s="861">
        <v>0</v>
      </c>
      <c r="H52" s="864">
        <f t="shared" si="34"/>
        <v>0</v>
      </c>
      <c r="I52" s="767"/>
      <c r="J52" s="863">
        <v>1</v>
      </c>
      <c r="K52" s="678">
        <v>10000</v>
      </c>
      <c r="L52" s="678">
        <v>1</v>
      </c>
      <c r="M52" s="864">
        <f t="shared" si="35"/>
        <v>10000</v>
      </c>
      <c r="N52" s="767"/>
      <c r="O52" s="855">
        <f t="shared" si="36"/>
        <v>10000</v>
      </c>
      <c r="P52" s="96"/>
      <c r="Q52" s="768"/>
      <c r="R52" s="769"/>
    </row>
    <row r="53" spans="1:18" s="683" customFormat="1" ht="15" customHeight="1" x14ac:dyDescent="0.3">
      <c r="A53" s="744"/>
      <c r="B53" s="674" t="s">
        <v>97</v>
      </c>
      <c r="C53" s="674" t="s">
        <v>88</v>
      </c>
      <c r="D53" s="675" t="s">
        <v>90</v>
      </c>
      <c r="E53" s="675">
        <v>0</v>
      </c>
      <c r="F53" s="766">
        <v>0</v>
      </c>
      <c r="G53" s="766">
        <v>0</v>
      </c>
      <c r="H53" s="864">
        <f t="shared" si="34"/>
        <v>0</v>
      </c>
      <c r="I53" s="767"/>
      <c r="J53" s="863">
        <v>1</v>
      </c>
      <c r="K53" s="678">
        <v>15000</v>
      </c>
      <c r="L53" s="678">
        <v>1</v>
      </c>
      <c r="M53" s="864">
        <f t="shared" si="35"/>
        <v>15000</v>
      </c>
      <c r="N53" s="767"/>
      <c r="O53" s="855">
        <f t="shared" si="36"/>
        <v>15000</v>
      </c>
      <c r="P53" s="514"/>
      <c r="Q53" s="768"/>
      <c r="R53" s="769"/>
    </row>
    <row r="54" spans="1:18" s="737" customFormat="1" ht="15" customHeight="1" x14ac:dyDescent="0.3">
      <c r="A54" s="772"/>
      <c r="B54" s="773" t="s">
        <v>101</v>
      </c>
      <c r="C54" s="1072">
        <f>SUM(H45:H53)</f>
        <v>103000</v>
      </c>
      <c r="D54" s="1072"/>
      <c r="E54" s="1072"/>
      <c r="F54" s="1072"/>
      <c r="G54" s="1072"/>
      <c r="H54" s="1072"/>
      <c r="I54" s="680"/>
      <c r="J54" s="1072">
        <f>SUM(M45:M53)</f>
        <v>60250</v>
      </c>
      <c r="K54" s="1072"/>
      <c r="L54" s="1072"/>
      <c r="M54" s="1072"/>
      <c r="N54" s="680"/>
      <c r="O54" s="867">
        <f>C54+J54</f>
        <v>163250</v>
      </c>
      <c r="P54" s="514"/>
      <c r="Q54" s="777"/>
      <c r="R54" s="740"/>
    </row>
    <row r="55" spans="1:18" s="745" customFormat="1" ht="15" customHeight="1" x14ac:dyDescent="0.3">
      <c r="A55" s="1060"/>
      <c r="B55" s="674" t="s">
        <v>98</v>
      </c>
      <c r="C55" s="738" t="s">
        <v>88</v>
      </c>
      <c r="D55" s="777" t="s">
        <v>90</v>
      </c>
      <c r="E55" s="777">
        <v>1</v>
      </c>
      <c r="F55" s="738">
        <v>18000</v>
      </c>
      <c r="G55" s="738">
        <v>1</v>
      </c>
      <c r="H55" s="862">
        <f>E55*F55*G55</f>
        <v>18000</v>
      </c>
      <c r="I55" s="778"/>
      <c r="J55" s="868">
        <v>1</v>
      </c>
      <c r="K55" s="674">
        <v>5000</v>
      </c>
      <c r="L55" s="674">
        <v>1</v>
      </c>
      <c r="M55" s="862">
        <f>J55*K55*L55</f>
        <v>5000</v>
      </c>
      <c r="N55" s="767"/>
      <c r="O55" s="855">
        <f>H55+M55</f>
        <v>23000</v>
      </c>
      <c r="P55" s="768"/>
      <c r="Q55" s="768"/>
      <c r="R55" s="779">
        <f>O55/3200000</f>
        <v>7.1875000000000003E-3</v>
      </c>
    </row>
    <row r="56" spans="1:18" s="745" customFormat="1" ht="15" customHeight="1" x14ac:dyDescent="0.3">
      <c r="A56" s="1061"/>
      <c r="B56" s="674" t="s">
        <v>99</v>
      </c>
      <c r="C56" s="738" t="s">
        <v>88</v>
      </c>
      <c r="D56" s="777" t="s">
        <v>90</v>
      </c>
      <c r="E56" s="738"/>
      <c r="F56" s="738"/>
      <c r="G56" s="738"/>
      <c r="H56" s="864"/>
      <c r="I56" s="767"/>
      <c r="J56" s="863">
        <v>1</v>
      </c>
      <c r="K56" s="678">
        <v>25000</v>
      </c>
      <c r="L56" s="678">
        <v>1</v>
      </c>
      <c r="M56" s="864">
        <f>J56*K56*L56</f>
        <v>25000</v>
      </c>
      <c r="N56" s="767"/>
      <c r="O56" s="855">
        <f>H56+M56</f>
        <v>25000</v>
      </c>
      <c r="P56" s="768"/>
      <c r="Q56" s="768"/>
      <c r="R56" s="769"/>
    </row>
    <row r="57" spans="1:18" s="652" customFormat="1" ht="15" customHeight="1" thickBot="1" x14ac:dyDescent="0.35">
      <c r="A57" s="692"/>
      <c r="B57" s="780" t="s">
        <v>102</v>
      </c>
      <c r="C57" s="1073">
        <f>SUM(H55:H56)</f>
        <v>18000</v>
      </c>
      <c r="D57" s="1073"/>
      <c r="E57" s="1073"/>
      <c r="F57" s="1073"/>
      <c r="G57" s="1073"/>
      <c r="H57" s="1073"/>
      <c r="I57" s="632"/>
      <c r="J57" s="1073">
        <f>SUM(M55:M56)</f>
        <v>30000</v>
      </c>
      <c r="K57" s="1073"/>
      <c r="L57" s="1073"/>
      <c r="M57" s="1073"/>
      <c r="N57" s="632"/>
      <c r="O57" s="869">
        <f>C57+J57</f>
        <v>48000</v>
      </c>
      <c r="P57" s="99"/>
      <c r="Q57" s="215"/>
      <c r="R57" s="201"/>
    </row>
    <row r="58" spans="1:18" s="686" customFormat="1" ht="15" customHeight="1" thickBot="1" x14ac:dyDescent="0.35">
      <c r="A58" s="787"/>
      <c r="B58" s="92" t="s">
        <v>100</v>
      </c>
      <c r="C58" s="1077">
        <f>C54+C57</f>
        <v>121000</v>
      </c>
      <c r="D58" s="1077"/>
      <c r="E58" s="1077"/>
      <c r="F58" s="1077"/>
      <c r="G58" s="1077"/>
      <c r="H58" s="1077"/>
      <c r="I58" s="635"/>
      <c r="J58" s="1077">
        <f>J54+J57</f>
        <v>90250</v>
      </c>
      <c r="K58" s="1077"/>
      <c r="L58" s="1077"/>
      <c r="M58" s="1077"/>
      <c r="N58" s="635"/>
      <c r="O58" s="637">
        <f>C58+J58</f>
        <v>211250</v>
      </c>
      <c r="P58" s="216"/>
      <c r="Q58" s="216"/>
      <c r="R58" s="785">
        <f>O58/3200000</f>
        <v>6.6015624999999994E-2</v>
      </c>
    </row>
    <row r="59" spans="1:18" s="684" customFormat="1" ht="15" customHeight="1" thickBot="1" x14ac:dyDescent="0.35">
      <c r="A59" s="787"/>
      <c r="B59" s="129"/>
      <c r="C59" s="129"/>
      <c r="D59" s="234"/>
      <c r="F59" s="786"/>
      <c r="H59" s="786"/>
      <c r="I59" s="787"/>
      <c r="J59" s="786"/>
      <c r="K59" s="786"/>
      <c r="L59" s="786"/>
      <c r="M59" s="786"/>
      <c r="N59" s="787"/>
      <c r="O59" s="233"/>
      <c r="P59" s="234"/>
      <c r="Q59" s="234"/>
      <c r="R59" s="208"/>
    </row>
    <row r="60" spans="1:18" s="737" customFormat="1" ht="15" customHeight="1" thickBot="1" x14ac:dyDescent="0.35">
      <c r="B60" s="894" t="s">
        <v>48</v>
      </c>
      <c r="C60" s="895"/>
      <c r="D60" s="896"/>
      <c r="E60" s="897"/>
      <c r="F60" s="897"/>
      <c r="G60" s="897"/>
      <c r="H60" s="906"/>
      <c r="I60" s="870"/>
      <c r="J60" s="894"/>
      <c r="K60" s="897"/>
      <c r="L60" s="897"/>
      <c r="M60" s="906"/>
      <c r="N60" s="870"/>
      <c r="O60" s="894"/>
      <c r="P60" s="897"/>
      <c r="Q60" s="897"/>
      <c r="R60" s="906"/>
    </row>
    <row r="61" spans="1:18" s="737" customFormat="1" ht="15" customHeight="1" x14ac:dyDescent="0.3">
      <c r="B61" s="936" t="s">
        <v>41</v>
      </c>
      <c r="C61" s="927"/>
      <c r="D61" s="928"/>
      <c r="E61" s="937"/>
      <c r="F61" s="938"/>
      <c r="G61" s="937"/>
      <c r="H61" s="939"/>
      <c r="I61" s="167"/>
      <c r="J61" s="940"/>
      <c r="K61" s="938"/>
      <c r="L61" s="938"/>
      <c r="M61" s="939"/>
      <c r="N61" s="167"/>
      <c r="O61" s="932"/>
      <c r="P61" s="928"/>
      <c r="Q61" s="928"/>
      <c r="R61" s="941"/>
    </row>
    <row r="62" spans="1:18" s="733" customFormat="1" ht="15" customHeight="1" x14ac:dyDescent="0.3">
      <c r="A62" s="697"/>
      <c r="B62" s="237" t="s">
        <v>73</v>
      </c>
      <c r="C62" s="663" t="s">
        <v>9</v>
      </c>
      <c r="D62" s="453" t="s">
        <v>70</v>
      </c>
      <c r="E62" s="126">
        <v>0.05</v>
      </c>
      <c r="F62" s="704">
        <v>22500</v>
      </c>
      <c r="G62" s="126">
        <v>12</v>
      </c>
      <c r="H62" s="695">
        <f t="shared" ref="H62:H70" si="37">E62*F62*G62</f>
        <v>13500</v>
      </c>
      <c r="I62" s="788"/>
      <c r="J62" s="126">
        <v>0.05</v>
      </c>
      <c r="K62" s="704">
        <v>22500</v>
      </c>
      <c r="L62" s="695">
        <v>6</v>
      </c>
      <c r="M62" s="695">
        <f>J62*K62*L62</f>
        <v>6750</v>
      </c>
      <c r="N62" s="789"/>
      <c r="O62" s="221">
        <f t="shared" ref="O62:O70" si="38">H62+M62</f>
        <v>20250</v>
      </c>
      <c r="P62" s="235"/>
      <c r="Q62" s="236"/>
      <c r="R62" s="209"/>
    </row>
    <row r="63" spans="1:18" s="733" customFormat="1" ht="15" customHeight="1" x14ac:dyDescent="0.3">
      <c r="A63" s="697"/>
      <c r="B63" s="237" t="s">
        <v>251</v>
      </c>
      <c r="C63" s="663" t="s">
        <v>9</v>
      </c>
      <c r="D63" s="510" t="s">
        <v>70</v>
      </c>
      <c r="E63" s="544">
        <v>0.15</v>
      </c>
      <c r="F63" s="198">
        <v>14000</v>
      </c>
      <c r="G63" s="544">
        <v>12</v>
      </c>
      <c r="H63" s="695">
        <f t="shared" si="37"/>
        <v>25200</v>
      </c>
      <c r="I63" s="788"/>
      <c r="J63" s="544">
        <v>0.15</v>
      </c>
      <c r="K63" s="198">
        <v>14000</v>
      </c>
      <c r="L63" s="695">
        <v>6</v>
      </c>
      <c r="M63" s="695">
        <f t="shared" ref="M63:M70" si="39">J63*K63*L63</f>
        <v>12600</v>
      </c>
      <c r="N63" s="789"/>
      <c r="O63" s="221">
        <f t="shared" si="38"/>
        <v>37800</v>
      </c>
      <c r="P63" s="235"/>
      <c r="Q63" s="236"/>
      <c r="R63" s="209"/>
    </row>
    <row r="64" spans="1:18" s="733" customFormat="1" ht="15" customHeight="1" x14ac:dyDescent="0.3">
      <c r="A64" s="697"/>
      <c r="B64" s="237" t="s">
        <v>72</v>
      </c>
      <c r="C64" s="663" t="s">
        <v>9</v>
      </c>
      <c r="D64" s="510" t="s">
        <v>70</v>
      </c>
      <c r="E64" s="544">
        <v>0.05</v>
      </c>
      <c r="F64" s="198">
        <v>15000</v>
      </c>
      <c r="G64" s="544">
        <v>12</v>
      </c>
      <c r="H64" s="695">
        <f t="shared" si="37"/>
        <v>9000</v>
      </c>
      <c r="I64" s="788"/>
      <c r="J64" s="544">
        <v>0.1</v>
      </c>
      <c r="K64" s="198">
        <v>15000</v>
      </c>
      <c r="L64" s="695">
        <v>6</v>
      </c>
      <c r="M64" s="695">
        <f t="shared" si="39"/>
        <v>9000</v>
      </c>
      <c r="N64" s="789"/>
      <c r="O64" s="221">
        <f t="shared" si="38"/>
        <v>18000</v>
      </c>
      <c r="P64" s="235"/>
      <c r="Q64" s="236"/>
      <c r="R64" s="209"/>
    </row>
    <row r="65" spans="1:18" s="733" customFormat="1" ht="15" customHeight="1" x14ac:dyDescent="0.3">
      <c r="A65" s="697"/>
      <c r="B65" s="237" t="s">
        <v>262</v>
      </c>
      <c r="C65" s="663" t="s">
        <v>9</v>
      </c>
      <c r="D65" s="510" t="s">
        <v>70</v>
      </c>
      <c r="E65" s="544">
        <v>0.05</v>
      </c>
      <c r="F65" s="198">
        <v>14000</v>
      </c>
      <c r="G65" s="544">
        <v>12</v>
      </c>
      <c r="H65" s="695">
        <f t="shared" si="37"/>
        <v>8400</v>
      </c>
      <c r="I65" s="788"/>
      <c r="J65" s="544">
        <v>0.05</v>
      </c>
      <c r="K65" s="198">
        <v>14000</v>
      </c>
      <c r="L65" s="695">
        <v>6</v>
      </c>
      <c r="M65" s="695">
        <f t="shared" si="39"/>
        <v>4200</v>
      </c>
      <c r="N65" s="789"/>
      <c r="O65" s="221">
        <f t="shared" si="38"/>
        <v>12600</v>
      </c>
      <c r="P65" s="235"/>
      <c r="Q65" s="236"/>
      <c r="R65" s="209"/>
    </row>
    <row r="66" spans="1:18" s="686" customFormat="1" ht="15" customHeight="1" x14ac:dyDescent="0.3">
      <c r="A66" s="787"/>
      <c r="B66" s="674" t="s">
        <v>250</v>
      </c>
      <c r="C66" s="663" t="s">
        <v>9</v>
      </c>
      <c r="D66" s="510" t="s">
        <v>70</v>
      </c>
      <c r="E66" s="544">
        <v>0.25</v>
      </c>
      <c r="F66" s="198">
        <v>14400</v>
      </c>
      <c r="G66" s="544">
        <v>12</v>
      </c>
      <c r="H66" s="695">
        <f t="shared" si="37"/>
        <v>43200</v>
      </c>
      <c r="I66" s="788"/>
      <c r="J66" s="790">
        <v>0.25</v>
      </c>
      <c r="K66" s="677">
        <v>14500</v>
      </c>
      <c r="L66" s="695">
        <v>6</v>
      </c>
      <c r="M66" s="695">
        <f t="shared" si="39"/>
        <v>21750</v>
      </c>
      <c r="N66" s="789"/>
      <c r="O66" s="221">
        <f t="shared" si="38"/>
        <v>64950</v>
      </c>
      <c r="P66" s="235"/>
      <c r="Q66" s="236"/>
      <c r="R66" s="506"/>
    </row>
    <row r="67" spans="1:18" s="733" customFormat="1" ht="15" customHeight="1" x14ac:dyDescent="0.3">
      <c r="A67" s="697"/>
      <c r="B67" s="237" t="s">
        <v>263</v>
      </c>
      <c r="C67" s="663" t="s">
        <v>9</v>
      </c>
      <c r="D67" s="510" t="s">
        <v>70</v>
      </c>
      <c r="E67" s="544">
        <v>0.3</v>
      </c>
      <c r="F67" s="198">
        <v>2500</v>
      </c>
      <c r="G67" s="544">
        <v>12</v>
      </c>
      <c r="H67" s="695">
        <f t="shared" si="37"/>
        <v>9000</v>
      </c>
      <c r="I67" s="788"/>
      <c r="J67" s="791">
        <v>0.7</v>
      </c>
      <c r="K67" s="198">
        <v>2500</v>
      </c>
      <c r="L67" s="695">
        <v>6</v>
      </c>
      <c r="M67" s="695">
        <f t="shared" si="39"/>
        <v>10500</v>
      </c>
      <c r="N67" s="789"/>
      <c r="O67" s="221">
        <f t="shared" si="38"/>
        <v>19500</v>
      </c>
      <c r="P67" s="235"/>
      <c r="Q67" s="236"/>
      <c r="R67" s="209"/>
    </row>
    <row r="68" spans="1:18" s="733" customFormat="1" ht="15" customHeight="1" x14ac:dyDescent="0.3">
      <c r="A68" s="697"/>
      <c r="B68" s="237" t="s">
        <v>237</v>
      </c>
      <c r="C68" s="663" t="s">
        <v>9</v>
      </c>
      <c r="D68" s="510" t="s">
        <v>70</v>
      </c>
      <c r="E68" s="544">
        <v>1</v>
      </c>
      <c r="F68" s="198">
        <v>2000</v>
      </c>
      <c r="G68" s="544">
        <v>12</v>
      </c>
      <c r="H68" s="695">
        <f t="shared" si="37"/>
        <v>24000</v>
      </c>
      <c r="I68" s="788"/>
      <c r="J68" s="544">
        <v>1</v>
      </c>
      <c r="K68" s="198">
        <v>2000</v>
      </c>
      <c r="L68" s="695">
        <v>6</v>
      </c>
      <c r="M68" s="695">
        <f t="shared" si="39"/>
        <v>12000</v>
      </c>
      <c r="N68" s="789"/>
      <c r="O68" s="221">
        <f t="shared" si="38"/>
        <v>36000</v>
      </c>
      <c r="P68" s="235"/>
      <c r="Q68" s="236"/>
      <c r="R68" s="209"/>
    </row>
    <row r="69" spans="1:18" s="733" customFormat="1" ht="15" customHeight="1" x14ac:dyDescent="0.3">
      <c r="A69" s="697"/>
      <c r="B69" s="237" t="s">
        <v>74</v>
      </c>
      <c r="C69" s="663" t="s">
        <v>9</v>
      </c>
      <c r="D69" s="510" t="s">
        <v>70</v>
      </c>
      <c r="E69" s="544">
        <v>1</v>
      </c>
      <c r="F69" s="198">
        <v>1800</v>
      </c>
      <c r="G69" s="544">
        <v>12</v>
      </c>
      <c r="H69" s="695">
        <f t="shared" si="37"/>
        <v>21600</v>
      </c>
      <c r="I69" s="788"/>
      <c r="J69" s="198">
        <v>1</v>
      </c>
      <c r="K69" s="198">
        <v>1800</v>
      </c>
      <c r="L69" s="695">
        <v>6</v>
      </c>
      <c r="M69" s="695">
        <f t="shared" si="39"/>
        <v>10800</v>
      </c>
      <c r="N69" s="789"/>
      <c r="O69" s="221">
        <f t="shared" si="38"/>
        <v>32400</v>
      </c>
      <c r="P69" s="235"/>
      <c r="Q69" s="236"/>
      <c r="R69" s="209"/>
    </row>
    <row r="70" spans="1:18" s="733" customFormat="1" ht="15" customHeight="1" x14ac:dyDescent="0.3">
      <c r="A70" s="697"/>
      <c r="B70" s="237" t="s">
        <v>180</v>
      </c>
      <c r="C70" s="663" t="s">
        <v>9</v>
      </c>
      <c r="D70" s="510" t="s">
        <v>70</v>
      </c>
      <c r="E70" s="544">
        <v>0.1</v>
      </c>
      <c r="F70" s="198">
        <v>8000</v>
      </c>
      <c r="G70" s="544">
        <v>12</v>
      </c>
      <c r="H70" s="695">
        <f t="shared" si="37"/>
        <v>9600</v>
      </c>
      <c r="I70" s="788"/>
      <c r="J70" s="544">
        <v>0.1</v>
      </c>
      <c r="K70" s="198">
        <v>5000</v>
      </c>
      <c r="L70" s="695">
        <v>6</v>
      </c>
      <c r="M70" s="695">
        <f t="shared" si="39"/>
        <v>3000</v>
      </c>
      <c r="N70" s="789"/>
      <c r="O70" s="221">
        <f t="shared" si="38"/>
        <v>12600</v>
      </c>
      <c r="P70" s="235"/>
      <c r="Q70" s="236"/>
      <c r="R70" s="209"/>
    </row>
    <row r="71" spans="1:18" s="733" customFormat="1" ht="15" customHeight="1" x14ac:dyDescent="0.3">
      <c r="A71" s="697"/>
      <c r="B71" s="237"/>
      <c r="C71" s="126"/>
      <c r="D71" s="510"/>
      <c r="E71" s="544"/>
      <c r="F71" s="198"/>
      <c r="G71" s="544"/>
      <c r="H71" s="695"/>
      <c r="I71" s="788"/>
      <c r="J71" s="544"/>
      <c r="K71" s="695"/>
      <c r="L71" s="695"/>
      <c r="M71" s="695"/>
      <c r="N71" s="789"/>
      <c r="O71" s="221"/>
      <c r="P71" s="235"/>
      <c r="Q71" s="236"/>
      <c r="R71" s="209"/>
    </row>
    <row r="72" spans="1:18" s="737" customFormat="1" ht="15" customHeight="1" x14ac:dyDescent="0.3">
      <c r="B72" s="929" t="s">
        <v>42</v>
      </c>
      <c r="C72" s="898"/>
      <c r="D72" s="899"/>
      <c r="E72" s="917"/>
      <c r="F72" s="918"/>
      <c r="G72" s="917"/>
      <c r="H72" s="930"/>
      <c r="I72" s="167"/>
      <c r="J72" s="931"/>
      <c r="K72" s="918"/>
      <c r="L72" s="918"/>
      <c r="M72" s="930"/>
      <c r="N72" s="167"/>
      <c r="O72" s="933"/>
      <c r="P72" s="899"/>
      <c r="Q72" s="899"/>
      <c r="R72" s="934"/>
    </row>
    <row r="73" spans="1:18" s="686" customFormat="1" ht="15" customHeight="1" x14ac:dyDescent="0.3">
      <c r="A73" s="787"/>
      <c r="B73" s="130"/>
      <c r="C73" s="131"/>
      <c r="D73" s="130"/>
      <c r="E73" s="81"/>
      <c r="F73" s="58"/>
      <c r="G73" s="81"/>
      <c r="H73" s="58"/>
      <c r="I73" s="132"/>
      <c r="J73" s="58"/>
      <c r="K73" s="58"/>
      <c r="L73" s="58"/>
      <c r="M73" s="58"/>
      <c r="N73" s="132"/>
      <c r="O73" s="221"/>
      <c r="P73" s="130"/>
      <c r="Q73" s="130"/>
      <c r="R73" s="95"/>
    </row>
    <row r="74" spans="1:18" s="737" customFormat="1" ht="15" customHeight="1" x14ac:dyDescent="0.3">
      <c r="B74" s="929" t="s">
        <v>43</v>
      </c>
      <c r="C74" s="898"/>
      <c r="D74" s="899"/>
      <c r="E74" s="917"/>
      <c r="F74" s="918"/>
      <c r="G74" s="917"/>
      <c r="H74" s="930"/>
      <c r="I74" s="167"/>
      <c r="J74" s="931"/>
      <c r="K74" s="918"/>
      <c r="L74" s="918"/>
      <c r="M74" s="930"/>
      <c r="N74" s="167"/>
      <c r="O74" s="933"/>
      <c r="P74" s="899"/>
      <c r="Q74" s="899"/>
      <c r="R74" s="934"/>
    </row>
    <row r="75" spans="1:18" s="686" customFormat="1" ht="15" customHeight="1" x14ac:dyDescent="0.3">
      <c r="A75" s="132"/>
      <c r="B75" s="237" t="s">
        <v>75</v>
      </c>
      <c r="C75" s="666" t="s">
        <v>30</v>
      </c>
      <c r="D75" s="510" t="s">
        <v>70</v>
      </c>
      <c r="E75" s="544">
        <v>1</v>
      </c>
      <c r="F75" s="198">
        <v>7000</v>
      </c>
      <c r="G75" s="544">
        <v>1</v>
      </c>
      <c r="H75" s="695">
        <f t="shared" ref="H75" si="40">E75*F75*G75</f>
        <v>7000</v>
      </c>
      <c r="I75" s="788"/>
      <c r="J75" s="695">
        <v>0</v>
      </c>
      <c r="K75" s="695">
        <v>0</v>
      </c>
      <c r="L75" s="695">
        <v>0</v>
      </c>
      <c r="M75" s="695">
        <f>J75*K75*L75</f>
        <v>0</v>
      </c>
      <c r="N75" s="789"/>
      <c r="O75" s="221">
        <f>H75+M75</f>
        <v>7000</v>
      </c>
      <c r="P75" s="235"/>
      <c r="Q75" s="236"/>
      <c r="R75" s="506"/>
    </row>
    <row r="76" spans="1:18" s="733" customFormat="1" ht="15" customHeight="1" x14ac:dyDescent="0.3">
      <c r="A76" s="238"/>
      <c r="B76" s="237" t="s">
        <v>76</v>
      </c>
      <c r="C76" s="126" t="s">
        <v>30</v>
      </c>
      <c r="D76" s="453" t="s">
        <v>70</v>
      </c>
      <c r="E76" s="126">
        <v>1</v>
      </c>
      <c r="F76" s="704">
        <v>2200</v>
      </c>
      <c r="G76" s="126">
        <v>1</v>
      </c>
      <c r="H76" s="695">
        <f t="shared" ref="H76:H77" si="41">E76*F76*G76</f>
        <v>2200</v>
      </c>
      <c r="I76" s="788"/>
      <c r="J76" s="695">
        <v>1</v>
      </c>
      <c r="K76" s="695">
        <v>1000</v>
      </c>
      <c r="L76" s="695">
        <v>1</v>
      </c>
      <c r="M76" s="695">
        <f>J76*K76*L76</f>
        <v>1000</v>
      </c>
      <c r="N76" s="789"/>
      <c r="O76" s="221">
        <f>H76+M76</f>
        <v>3200</v>
      </c>
      <c r="P76" s="235"/>
      <c r="Q76" s="236"/>
      <c r="R76" s="209"/>
    </row>
    <row r="77" spans="1:18" s="733" customFormat="1" ht="15" customHeight="1" x14ac:dyDescent="0.3">
      <c r="A77" s="238"/>
      <c r="B77" s="237" t="s">
        <v>77</v>
      </c>
      <c r="C77" s="126" t="s">
        <v>30</v>
      </c>
      <c r="D77" s="453" t="s">
        <v>70</v>
      </c>
      <c r="E77" s="126">
        <v>1</v>
      </c>
      <c r="F77" s="704">
        <v>10000</v>
      </c>
      <c r="G77" s="126">
        <v>1</v>
      </c>
      <c r="H77" s="695">
        <f t="shared" si="41"/>
        <v>10000</v>
      </c>
      <c r="I77" s="788"/>
      <c r="J77" s="695">
        <v>1</v>
      </c>
      <c r="K77" s="695">
        <v>5000</v>
      </c>
      <c r="L77" s="695">
        <v>1</v>
      </c>
      <c r="M77" s="695">
        <f>J77*K77*L77</f>
        <v>5000</v>
      </c>
      <c r="N77" s="789"/>
      <c r="O77" s="221">
        <f>H77+M77</f>
        <v>15000</v>
      </c>
      <c r="P77" s="235"/>
      <c r="Q77" s="236"/>
      <c r="R77" s="209"/>
    </row>
    <row r="78" spans="1:18" s="737" customFormat="1" ht="15" customHeight="1" x14ac:dyDescent="0.3">
      <c r="B78" s="929" t="s">
        <v>44</v>
      </c>
      <c r="C78" s="898"/>
      <c r="D78" s="899"/>
      <c r="E78" s="917"/>
      <c r="F78" s="918"/>
      <c r="G78" s="917"/>
      <c r="H78" s="930"/>
      <c r="I78" s="167"/>
      <c r="J78" s="931"/>
      <c r="K78" s="918"/>
      <c r="L78" s="918"/>
      <c r="M78" s="930"/>
      <c r="N78" s="167"/>
      <c r="O78" s="933"/>
      <c r="P78" s="899"/>
      <c r="Q78" s="899"/>
      <c r="R78" s="934"/>
    </row>
    <row r="79" spans="1:18" s="686" customFormat="1" ht="15" customHeight="1" x14ac:dyDescent="0.3">
      <c r="A79" s="787"/>
      <c r="B79" s="130"/>
      <c r="C79" s="131"/>
      <c r="D79" s="130"/>
      <c r="E79" s="81"/>
      <c r="F79" s="58"/>
      <c r="G79" s="81"/>
      <c r="H79" s="58"/>
      <c r="I79" s="132"/>
      <c r="J79" s="58"/>
      <c r="K79" s="58"/>
      <c r="L79" s="58"/>
      <c r="M79" s="58"/>
      <c r="N79" s="132"/>
      <c r="O79" s="221"/>
      <c r="P79" s="130"/>
      <c r="Q79" s="130"/>
      <c r="R79" s="95"/>
    </row>
    <row r="80" spans="1:18" s="737" customFormat="1" ht="15" customHeight="1" x14ac:dyDescent="0.3">
      <c r="B80" s="929" t="s">
        <v>46</v>
      </c>
      <c r="C80" s="898"/>
      <c r="D80" s="899"/>
      <c r="E80" s="917"/>
      <c r="F80" s="918"/>
      <c r="G80" s="917"/>
      <c r="H80" s="930"/>
      <c r="I80" s="167"/>
      <c r="J80" s="931"/>
      <c r="K80" s="918"/>
      <c r="L80" s="918"/>
      <c r="M80" s="930"/>
      <c r="N80" s="167"/>
      <c r="O80" s="933"/>
      <c r="P80" s="899"/>
      <c r="Q80" s="899"/>
      <c r="R80" s="934"/>
    </row>
    <row r="81" spans="1:18" s="733" customFormat="1" ht="15" customHeight="1" x14ac:dyDescent="0.3">
      <c r="A81" s="238"/>
      <c r="B81" s="237" t="s">
        <v>78</v>
      </c>
      <c r="C81" s="126" t="s">
        <v>12</v>
      </c>
      <c r="D81" s="453" t="s">
        <v>70</v>
      </c>
      <c r="E81" s="126">
        <v>1</v>
      </c>
      <c r="F81" s="704">
        <v>710</v>
      </c>
      <c r="G81" s="126">
        <v>12</v>
      </c>
      <c r="H81" s="695">
        <f t="shared" ref="H81:H82" si="42">E81*F81*G81</f>
        <v>8520</v>
      </c>
      <c r="I81" s="788"/>
      <c r="J81" s="704">
        <v>1</v>
      </c>
      <c r="K81" s="704">
        <v>710</v>
      </c>
      <c r="L81" s="704">
        <v>6</v>
      </c>
      <c r="M81" s="695">
        <f>J81*K81*L81</f>
        <v>4260</v>
      </c>
      <c r="N81" s="789"/>
      <c r="O81" s="221">
        <f>H81+M81</f>
        <v>12780</v>
      </c>
      <c r="P81" s="235"/>
      <c r="Q81" s="236"/>
      <c r="R81" s="209"/>
    </row>
    <row r="82" spans="1:18" s="686" customFormat="1" ht="15" customHeight="1" x14ac:dyDescent="0.3">
      <c r="A82" s="132"/>
      <c r="B82" s="237" t="s">
        <v>79</v>
      </c>
      <c r="C82" s="691" t="s">
        <v>12</v>
      </c>
      <c r="D82" s="510" t="s">
        <v>70</v>
      </c>
      <c r="E82" s="544">
        <v>1</v>
      </c>
      <c r="F82" s="198">
        <v>2250</v>
      </c>
      <c r="G82" s="544">
        <v>12</v>
      </c>
      <c r="H82" s="695">
        <f t="shared" si="42"/>
        <v>27000</v>
      </c>
      <c r="I82" s="788"/>
      <c r="J82" s="198">
        <v>1</v>
      </c>
      <c r="K82" s="198">
        <v>2250</v>
      </c>
      <c r="L82" s="198">
        <v>6</v>
      </c>
      <c r="M82" s="695">
        <f>J82*K82*L82</f>
        <v>13500</v>
      </c>
      <c r="N82" s="789"/>
      <c r="O82" s="221">
        <f>H82+M82</f>
        <v>40500</v>
      </c>
      <c r="P82" s="235"/>
      <c r="Q82" s="236"/>
      <c r="R82" s="506"/>
    </row>
    <row r="83" spans="1:18" s="737" customFormat="1" ht="15" customHeight="1" x14ac:dyDescent="0.3">
      <c r="B83" s="929" t="s">
        <v>47</v>
      </c>
      <c r="C83" s="898"/>
      <c r="D83" s="899"/>
      <c r="E83" s="917"/>
      <c r="F83" s="918"/>
      <c r="G83" s="917"/>
      <c r="H83" s="930"/>
      <c r="I83" s="167"/>
      <c r="J83" s="931"/>
      <c r="K83" s="918"/>
      <c r="L83" s="918"/>
      <c r="M83" s="930"/>
      <c r="N83" s="167"/>
      <c r="O83" s="933"/>
      <c r="P83" s="899"/>
      <c r="Q83" s="899"/>
      <c r="R83" s="934"/>
    </row>
    <row r="84" spans="1:18" s="686" customFormat="1" ht="15" customHeight="1" x14ac:dyDescent="0.3">
      <c r="A84" s="787"/>
      <c r="B84" s="130"/>
      <c r="C84" s="131"/>
      <c r="D84" s="130"/>
      <c r="E84" s="81"/>
      <c r="F84" s="58"/>
      <c r="G84" s="81"/>
      <c r="H84" s="58"/>
      <c r="I84" s="132"/>
      <c r="J84" s="58"/>
      <c r="K84" s="58"/>
      <c r="L84" s="58"/>
      <c r="M84" s="58"/>
      <c r="N84" s="132"/>
      <c r="O84" s="221"/>
      <c r="P84" s="130"/>
      <c r="Q84" s="130"/>
      <c r="R84" s="95"/>
    </row>
    <row r="85" spans="1:18" s="737" customFormat="1" ht="15" customHeight="1" x14ac:dyDescent="0.3">
      <c r="B85" s="929" t="s">
        <v>45</v>
      </c>
      <c r="C85" s="898"/>
      <c r="D85" s="899"/>
      <c r="E85" s="917"/>
      <c r="F85" s="918"/>
      <c r="G85" s="917"/>
      <c r="H85" s="930"/>
      <c r="I85" s="167"/>
      <c r="J85" s="931"/>
      <c r="K85" s="918"/>
      <c r="L85" s="918"/>
      <c r="M85" s="930"/>
      <c r="N85" s="167"/>
      <c r="O85" s="933"/>
      <c r="P85" s="899"/>
      <c r="Q85" s="899"/>
      <c r="R85" s="934"/>
    </row>
    <row r="86" spans="1:18" s="733" customFormat="1" ht="15" customHeight="1" x14ac:dyDescent="0.3">
      <c r="A86" s="238"/>
      <c r="B86" s="237" t="s">
        <v>80</v>
      </c>
      <c r="C86" s="126" t="s">
        <v>14</v>
      </c>
      <c r="D86" s="510" t="s">
        <v>71</v>
      </c>
      <c r="E86" s="544">
        <v>1</v>
      </c>
      <c r="F86" s="198">
        <v>2000</v>
      </c>
      <c r="G86" s="544">
        <v>12</v>
      </c>
      <c r="H86" s="695">
        <f t="shared" ref="H86:H93" si="43">E86*F86*G86</f>
        <v>24000</v>
      </c>
      <c r="I86" s="788"/>
      <c r="J86" s="198">
        <v>1</v>
      </c>
      <c r="K86" s="198">
        <v>2000</v>
      </c>
      <c r="L86" s="198">
        <v>6</v>
      </c>
      <c r="M86" s="695">
        <f t="shared" ref="M86:M93" si="44">J86*K86*L86</f>
        <v>12000</v>
      </c>
      <c r="N86" s="789"/>
      <c r="O86" s="221">
        <f t="shared" ref="O86:O93" si="45">H86+M86</f>
        <v>36000</v>
      </c>
      <c r="P86" s="235"/>
      <c r="Q86" s="236"/>
      <c r="R86" s="209"/>
    </row>
    <row r="87" spans="1:18" s="733" customFormat="1" ht="15" customHeight="1" x14ac:dyDescent="0.3">
      <c r="A87" s="238"/>
      <c r="B87" s="237" t="s">
        <v>81</v>
      </c>
      <c r="C87" s="126" t="s">
        <v>14</v>
      </c>
      <c r="D87" s="510" t="s">
        <v>70</v>
      </c>
      <c r="E87" s="544">
        <v>1</v>
      </c>
      <c r="F87" s="198">
        <v>180</v>
      </c>
      <c r="G87" s="544">
        <v>12</v>
      </c>
      <c r="H87" s="695">
        <f t="shared" si="43"/>
        <v>2160</v>
      </c>
      <c r="I87" s="788"/>
      <c r="J87" s="198">
        <v>1</v>
      </c>
      <c r="K87" s="198">
        <v>180</v>
      </c>
      <c r="L87" s="198">
        <v>6</v>
      </c>
      <c r="M87" s="695">
        <f t="shared" si="44"/>
        <v>1080</v>
      </c>
      <c r="N87" s="789"/>
      <c r="O87" s="221">
        <f t="shared" si="45"/>
        <v>3240</v>
      </c>
      <c r="P87" s="235"/>
      <c r="Q87" s="236"/>
      <c r="R87" s="209"/>
    </row>
    <row r="88" spans="1:18" s="733" customFormat="1" ht="15" customHeight="1" x14ac:dyDescent="0.3">
      <c r="A88" s="238"/>
      <c r="B88" s="237" t="s">
        <v>82</v>
      </c>
      <c r="C88" s="126" t="s">
        <v>14</v>
      </c>
      <c r="D88" s="510" t="s">
        <v>70</v>
      </c>
      <c r="E88" s="544">
        <v>1</v>
      </c>
      <c r="F88" s="198">
        <v>400</v>
      </c>
      <c r="G88" s="544">
        <v>12</v>
      </c>
      <c r="H88" s="695">
        <f t="shared" si="43"/>
        <v>4800</v>
      </c>
      <c r="I88" s="788"/>
      <c r="J88" s="198">
        <v>1</v>
      </c>
      <c r="K88" s="198">
        <v>400</v>
      </c>
      <c r="L88" s="198">
        <v>6</v>
      </c>
      <c r="M88" s="695">
        <f t="shared" si="44"/>
        <v>2400</v>
      </c>
      <c r="N88" s="789"/>
      <c r="O88" s="221">
        <f t="shared" si="45"/>
        <v>7200</v>
      </c>
      <c r="P88" s="235"/>
      <c r="Q88" s="236"/>
      <c r="R88" s="209"/>
    </row>
    <row r="89" spans="1:18" s="733" customFormat="1" ht="15" customHeight="1" x14ac:dyDescent="0.3">
      <c r="A89" s="238"/>
      <c r="B89" s="237" t="s">
        <v>83</v>
      </c>
      <c r="C89" s="126" t="s">
        <v>14</v>
      </c>
      <c r="D89" s="510" t="s">
        <v>71</v>
      </c>
      <c r="E89" s="544">
        <v>1</v>
      </c>
      <c r="F89" s="198">
        <v>900</v>
      </c>
      <c r="G89" s="544">
        <v>12</v>
      </c>
      <c r="H89" s="695">
        <f t="shared" si="43"/>
        <v>10800</v>
      </c>
      <c r="I89" s="788"/>
      <c r="J89" s="198">
        <v>1</v>
      </c>
      <c r="K89" s="198">
        <v>900</v>
      </c>
      <c r="L89" s="198">
        <v>6</v>
      </c>
      <c r="M89" s="695">
        <f t="shared" si="44"/>
        <v>5400</v>
      </c>
      <c r="N89" s="789"/>
      <c r="O89" s="221">
        <f t="shared" si="45"/>
        <v>16200</v>
      </c>
      <c r="P89" s="235"/>
      <c r="Q89" s="236"/>
      <c r="R89" s="209"/>
    </row>
    <row r="90" spans="1:18" s="733" customFormat="1" ht="15" customHeight="1" x14ac:dyDescent="0.3">
      <c r="A90" s="238"/>
      <c r="B90" s="237" t="s">
        <v>84</v>
      </c>
      <c r="C90" s="126" t="s">
        <v>14</v>
      </c>
      <c r="D90" s="510" t="s">
        <v>70</v>
      </c>
      <c r="E90" s="544">
        <v>1</v>
      </c>
      <c r="F90" s="198">
        <v>800</v>
      </c>
      <c r="G90" s="544">
        <v>12</v>
      </c>
      <c r="H90" s="695">
        <f t="shared" si="43"/>
        <v>9600</v>
      </c>
      <c r="I90" s="788"/>
      <c r="J90" s="198">
        <v>1</v>
      </c>
      <c r="K90" s="198">
        <v>800</v>
      </c>
      <c r="L90" s="198">
        <v>6</v>
      </c>
      <c r="M90" s="695">
        <f t="shared" si="44"/>
        <v>4800</v>
      </c>
      <c r="N90" s="789"/>
      <c r="O90" s="221">
        <f t="shared" si="45"/>
        <v>14400</v>
      </c>
      <c r="P90" s="235"/>
      <c r="Q90" s="236"/>
      <c r="R90" s="209"/>
    </row>
    <row r="91" spans="1:18" s="733" customFormat="1" ht="15" customHeight="1" x14ac:dyDescent="0.3">
      <c r="A91" s="238"/>
      <c r="B91" s="237" t="s">
        <v>85</v>
      </c>
      <c r="C91" s="126" t="s">
        <v>14</v>
      </c>
      <c r="D91" s="510" t="s">
        <v>70</v>
      </c>
      <c r="E91" s="544">
        <v>1</v>
      </c>
      <c r="F91" s="198">
        <v>500</v>
      </c>
      <c r="G91" s="544">
        <v>12</v>
      </c>
      <c r="H91" s="695">
        <f t="shared" si="43"/>
        <v>6000</v>
      </c>
      <c r="I91" s="788"/>
      <c r="J91" s="198">
        <v>1</v>
      </c>
      <c r="K91" s="198">
        <v>500</v>
      </c>
      <c r="L91" s="198">
        <v>6</v>
      </c>
      <c r="M91" s="695">
        <f t="shared" si="44"/>
        <v>3000</v>
      </c>
      <c r="N91" s="789"/>
      <c r="O91" s="221">
        <f t="shared" si="45"/>
        <v>9000</v>
      </c>
      <c r="P91" s="235"/>
      <c r="Q91" s="236"/>
      <c r="R91" s="209"/>
    </row>
    <row r="92" spans="1:18" s="733" customFormat="1" ht="15" customHeight="1" x14ac:dyDescent="0.3">
      <c r="A92" s="238"/>
      <c r="B92" s="237" t="s">
        <v>86</v>
      </c>
      <c r="C92" s="126" t="s">
        <v>14</v>
      </c>
      <c r="D92" s="453" t="s">
        <v>71</v>
      </c>
      <c r="E92" s="126">
        <v>1</v>
      </c>
      <c r="F92" s="704">
        <v>1700</v>
      </c>
      <c r="G92" s="126">
        <v>12</v>
      </c>
      <c r="H92" s="695">
        <f t="shared" si="43"/>
        <v>20400</v>
      </c>
      <c r="I92" s="788"/>
      <c r="J92" s="704">
        <v>1</v>
      </c>
      <c r="K92" s="704">
        <v>1700</v>
      </c>
      <c r="L92" s="704">
        <v>6</v>
      </c>
      <c r="M92" s="695">
        <f t="shared" si="44"/>
        <v>10200</v>
      </c>
      <c r="N92" s="789"/>
      <c r="O92" s="221">
        <f t="shared" si="45"/>
        <v>30600</v>
      </c>
      <c r="P92" s="235"/>
      <c r="Q92" s="236"/>
      <c r="R92" s="209"/>
    </row>
    <row r="93" spans="1:18" s="733" customFormat="1" ht="15" customHeight="1" x14ac:dyDescent="0.3">
      <c r="A93" s="238"/>
      <c r="B93" s="237" t="s">
        <v>87</v>
      </c>
      <c r="C93" s="126" t="s">
        <v>14</v>
      </c>
      <c r="D93" s="453" t="s">
        <v>71</v>
      </c>
      <c r="E93" s="126">
        <v>1</v>
      </c>
      <c r="F93" s="704">
        <v>900</v>
      </c>
      <c r="G93" s="126">
        <v>12</v>
      </c>
      <c r="H93" s="695">
        <f t="shared" si="43"/>
        <v>10800</v>
      </c>
      <c r="I93" s="788"/>
      <c r="J93" s="704">
        <v>1</v>
      </c>
      <c r="K93" s="704">
        <v>900</v>
      </c>
      <c r="L93" s="704">
        <v>6</v>
      </c>
      <c r="M93" s="695">
        <f t="shared" si="44"/>
        <v>5400</v>
      </c>
      <c r="N93" s="789"/>
      <c r="O93" s="221">
        <f t="shared" si="45"/>
        <v>16200</v>
      </c>
      <c r="P93" s="235"/>
      <c r="Q93" s="236"/>
      <c r="R93" s="209"/>
    </row>
    <row r="94" spans="1:18" s="697" customFormat="1" ht="15" customHeight="1" x14ac:dyDescent="0.3">
      <c r="A94" s="238"/>
      <c r="B94" s="147"/>
      <c r="C94" s="134"/>
      <c r="D94" s="808"/>
      <c r="E94" s="809"/>
      <c r="F94" s="810"/>
      <c r="G94" s="811"/>
      <c r="H94" s="871"/>
      <c r="I94" s="788"/>
      <c r="J94" s="812"/>
      <c r="K94" s="812"/>
      <c r="L94" s="812"/>
      <c r="M94" s="813"/>
      <c r="N94" s="789"/>
      <c r="O94" s="476"/>
      <c r="P94" s="286"/>
      <c r="Q94" s="287"/>
      <c r="R94" s="288"/>
    </row>
    <row r="95" spans="1:18" s="178" customFormat="1" ht="15" customHeight="1" x14ac:dyDescent="0.3">
      <c r="B95" s="148" t="s">
        <v>39</v>
      </c>
      <c r="C95" s="149"/>
      <c r="D95" s="814"/>
      <c r="E95" s="815"/>
      <c r="F95" s="816"/>
      <c r="G95" s="817"/>
      <c r="H95" s="75">
        <f>SUM(H62:H93)</f>
        <v>306780</v>
      </c>
      <c r="I95" s="167"/>
      <c r="J95" s="290"/>
      <c r="K95" s="290"/>
      <c r="L95" s="290"/>
      <c r="M95" s="75">
        <f>SUM(M62:M93)</f>
        <v>158640</v>
      </c>
      <c r="N95" s="167"/>
      <c r="O95" s="1000">
        <f>H95+M95</f>
        <v>465420</v>
      </c>
      <c r="P95" s="150"/>
      <c r="Q95" s="150"/>
      <c r="R95" s="293"/>
    </row>
    <row r="96" spans="1:18" s="652" customFormat="1" ht="15" customHeight="1" x14ac:dyDescent="0.3">
      <c r="B96" s="1074"/>
      <c r="C96" s="1074"/>
      <c r="D96" s="1065" t="s">
        <v>38</v>
      </c>
      <c r="E96" s="297"/>
      <c r="F96" s="298"/>
      <c r="G96" s="299"/>
      <c r="H96" s="1002" t="s">
        <v>2</v>
      </c>
      <c r="I96" s="167"/>
      <c r="J96" s="819"/>
      <c r="K96" s="819"/>
      <c r="L96" s="819"/>
      <c r="M96" s="1002" t="s">
        <v>3</v>
      </c>
      <c r="N96" s="167"/>
      <c r="O96" s="1001"/>
      <c r="P96" s="820"/>
      <c r="Q96" s="820"/>
      <c r="R96" s="821"/>
    </row>
    <row r="97" spans="2:18" s="652" customFormat="1" ht="15" customHeight="1" x14ac:dyDescent="0.3">
      <c r="B97" s="1074"/>
      <c r="C97" s="1074"/>
      <c r="D97" s="1065"/>
      <c r="E97" s="300"/>
      <c r="F97" s="240"/>
      <c r="G97" s="239"/>
      <c r="H97" s="1003">
        <f>H42+C58+H95</f>
        <v>1024009</v>
      </c>
      <c r="I97" s="167"/>
      <c r="J97" s="819"/>
      <c r="K97" s="819"/>
      <c r="L97" s="819"/>
      <c r="M97" s="1003">
        <f>M42+J58+M95</f>
        <v>390790</v>
      </c>
      <c r="N97" s="167"/>
      <c r="O97" s="1000">
        <f>H97+M97</f>
        <v>1414799</v>
      </c>
      <c r="P97" s="823"/>
      <c r="Q97" s="823"/>
      <c r="R97" s="821"/>
    </row>
    <row r="98" spans="2:18" s="652" customFormat="1" ht="15" customHeight="1" x14ac:dyDescent="0.3">
      <c r="B98" s="1075"/>
      <c r="C98" s="1075"/>
      <c r="D98" s="825" t="s">
        <v>49</v>
      </c>
      <c r="E98" s="826"/>
      <c r="F98" s="827"/>
      <c r="G98" s="828"/>
      <c r="H98" s="1004">
        <f>H97*0.07</f>
        <v>71680.63</v>
      </c>
      <c r="I98" s="167"/>
      <c r="J98" s="829"/>
      <c r="K98" s="829"/>
      <c r="L98" s="829"/>
      <c r="M98" s="1004">
        <f>M97*0.07</f>
        <v>27355.300000000003</v>
      </c>
      <c r="N98" s="830"/>
      <c r="O98" s="1000">
        <f>H98+M98</f>
        <v>99035.930000000008</v>
      </c>
      <c r="P98" s="998"/>
      <c r="Q98" s="303"/>
      <c r="R98" s="206"/>
    </row>
    <row r="99" spans="2:18" s="652" customFormat="1" ht="15" customHeight="1" x14ac:dyDescent="0.3">
      <c r="B99" s="1076"/>
      <c r="C99" s="1076"/>
      <c r="D99" s="490" t="s">
        <v>21</v>
      </c>
      <c r="E99" s="294"/>
      <c r="F99" s="295"/>
      <c r="G99" s="296"/>
      <c r="H99" s="1004">
        <f>SUM(H97:H98)</f>
        <v>1095689.6299999999</v>
      </c>
      <c r="I99" s="167"/>
      <c r="J99" s="832"/>
      <c r="K99" s="832"/>
      <c r="L99" s="832"/>
      <c r="M99" s="1004">
        <f>SUM(M97:M98)</f>
        <v>418145.3</v>
      </c>
      <c r="N99" s="830"/>
      <c r="O99" s="1000">
        <f>H99+M99</f>
        <v>1513834.93</v>
      </c>
      <c r="P99" s="999"/>
      <c r="Q99" s="305"/>
      <c r="R99" s="206"/>
    </row>
    <row r="100" spans="2:18" s="652" customFormat="1" ht="15" customHeight="1" x14ac:dyDescent="0.3">
      <c r="B100" s="133"/>
      <c r="C100" s="133"/>
      <c r="D100" s="244"/>
      <c r="F100" s="833"/>
      <c r="H100" s="834"/>
      <c r="I100" s="167"/>
      <c r="J100" s="834"/>
      <c r="K100" s="834"/>
      <c r="L100" s="834"/>
      <c r="M100" s="834"/>
      <c r="N100" s="692"/>
      <c r="O100" s="243"/>
      <c r="P100" s="244"/>
      <c r="Q100" s="245"/>
      <c r="R100" s="206"/>
    </row>
    <row r="101" spans="2:18" s="737" customFormat="1" ht="15" customHeight="1" x14ac:dyDescent="0.3">
      <c r="B101" s="835" t="s">
        <v>210</v>
      </c>
      <c r="C101" s="836"/>
      <c r="D101" s="491"/>
      <c r="E101" s="836"/>
      <c r="F101" s="837"/>
      <c r="H101" s="838"/>
      <c r="I101" s="839"/>
      <c r="J101" s="838"/>
      <c r="K101" s="838"/>
      <c r="L101" s="838"/>
      <c r="M101" s="838"/>
      <c r="N101" s="839"/>
      <c r="O101" s="223"/>
      <c r="P101" s="214"/>
      <c r="Q101" s="214"/>
      <c r="R101" s="206"/>
    </row>
    <row r="102" spans="2:18" ht="13.15" customHeight="1" x14ac:dyDescent="0.3">
      <c r="B102" s="140" t="s">
        <v>211</v>
      </c>
      <c r="C102" s="1"/>
      <c r="F102" s="14"/>
    </row>
    <row r="103" spans="2:18" ht="13.15" customHeight="1" x14ac:dyDescent="0.3">
      <c r="B103" s="1069" t="s">
        <v>212</v>
      </c>
      <c r="C103" s="1070"/>
      <c r="D103" s="1070"/>
      <c r="E103" s="1070"/>
      <c r="F103" s="1071"/>
    </row>
    <row r="104" spans="2:18" ht="13.15" customHeight="1" x14ac:dyDescent="0.3">
      <c r="B104" s="140" t="s">
        <v>213</v>
      </c>
      <c r="C104" s="1"/>
      <c r="E104" s="2"/>
      <c r="F104" s="14"/>
    </row>
    <row r="105" spans="2:18" ht="13.15" customHeight="1" x14ac:dyDescent="0.3">
      <c r="B105" s="140"/>
      <c r="C105" s="1" t="s">
        <v>27</v>
      </c>
      <c r="F105" s="14"/>
    </row>
    <row r="106" spans="2:18" ht="13.15" customHeight="1" x14ac:dyDescent="0.3">
      <c r="B106" s="140"/>
      <c r="C106" s="1" t="s">
        <v>28</v>
      </c>
      <c r="F106" s="14"/>
    </row>
    <row r="107" spans="2:18" ht="13.15" customHeight="1" x14ac:dyDescent="0.3">
      <c r="B107" s="1062" t="s">
        <v>214</v>
      </c>
      <c r="C107" s="1063"/>
      <c r="D107" s="1063"/>
      <c r="E107" s="1063"/>
      <c r="F107" s="1064"/>
    </row>
    <row r="108" spans="2:18" ht="13.15" customHeight="1" x14ac:dyDescent="0.3">
      <c r="B108" s="1"/>
      <c r="C108" s="1"/>
      <c r="F108" s="1"/>
    </row>
    <row r="109" spans="2:18" ht="13.15" customHeight="1" x14ac:dyDescent="0.3">
      <c r="B109" s="16" t="s">
        <v>215</v>
      </c>
      <c r="C109" s="141"/>
      <c r="D109" s="492"/>
      <c r="E109" s="141"/>
      <c r="F109" s="20"/>
    </row>
    <row r="110" spans="2:18" ht="13.15" customHeight="1" x14ac:dyDescent="0.3">
      <c r="B110" s="1" t="s">
        <v>9</v>
      </c>
      <c r="C110" s="1"/>
      <c r="F110" s="14"/>
    </row>
    <row r="111" spans="2:18" ht="13.15" customHeight="1" x14ac:dyDescent="0.3">
      <c r="B111" s="1" t="s">
        <v>10</v>
      </c>
      <c r="C111" s="1"/>
      <c r="F111" s="14"/>
    </row>
    <row r="112" spans="2:18" ht="13.15" customHeight="1" x14ac:dyDescent="0.3">
      <c r="B112" s="1" t="s">
        <v>30</v>
      </c>
      <c r="C112" s="1"/>
      <c r="F112" s="14"/>
    </row>
    <row r="113" spans="2:6" ht="13.15" customHeight="1" x14ac:dyDescent="0.3">
      <c r="B113" s="1" t="s">
        <v>88</v>
      </c>
      <c r="C113" s="1"/>
      <c r="F113" s="14"/>
    </row>
    <row r="114" spans="2:6" ht="13.15" customHeight="1" x14ac:dyDescent="0.3">
      <c r="B114" s="1" t="s">
        <v>12</v>
      </c>
      <c r="C114" s="1"/>
      <c r="F114" s="14"/>
    </row>
    <row r="115" spans="2:6" ht="13.15" customHeight="1" x14ac:dyDescent="0.3">
      <c r="B115" s="1" t="s">
        <v>216</v>
      </c>
      <c r="C115" s="1"/>
      <c r="F115" s="14"/>
    </row>
    <row r="116" spans="2:6" ht="13.15" customHeight="1" x14ac:dyDescent="0.3">
      <c r="B116" s="142" t="s">
        <v>14</v>
      </c>
      <c r="C116" s="142"/>
      <c r="D116" s="493"/>
      <c r="E116" s="142"/>
      <c r="F116" s="15"/>
    </row>
  </sheetData>
  <autoFilter ref="C9:C99" xr:uid="{00000000-0009-0000-0000-000000000000}"/>
  <dataConsolidate/>
  <mergeCells count="16">
    <mergeCell ref="C17:H17"/>
    <mergeCell ref="J17:M17"/>
    <mergeCell ref="B103:F103"/>
    <mergeCell ref="B107:F107"/>
    <mergeCell ref="A55:A56"/>
    <mergeCell ref="C54:H54"/>
    <mergeCell ref="J54:M54"/>
    <mergeCell ref="C57:H57"/>
    <mergeCell ref="J57:M57"/>
    <mergeCell ref="B96:C97"/>
    <mergeCell ref="D96:D97"/>
    <mergeCell ref="B98:C98"/>
    <mergeCell ref="B99:C99"/>
    <mergeCell ref="C58:H58"/>
    <mergeCell ref="J58:M58"/>
    <mergeCell ref="C29:H29"/>
  </mergeCells>
  <dataValidations count="8">
    <dataValidation type="list" allowBlank="1" showInputMessage="1" showErrorMessage="1" sqref="C39:C40 C76:C77 C47:C53 C55:C56 C71 C86:C94 C13:C14 C25 C22 C34 C36 C81" xr:uid="{AEA582C5-06C6-4C58-BDA5-8238894A1B85}">
      <formula1>categories</formula1>
    </dataValidation>
    <dataValidation type="list" allowBlank="1" showInputMessage="1" showErrorMessage="1" sqref="C23:C24" xr:uid="{32FDDEC0-93E9-42EC-99A4-69069517535F}">
      <formula1>gjg</formula1>
    </dataValidation>
    <dataValidation type="list" allowBlank="1" showInputMessage="1" showErrorMessage="1" sqref="C26" xr:uid="{732EA507-5638-43C6-B555-5DA99C6CE9D6}">
      <formula1>sdf</formula1>
    </dataValidation>
    <dataValidation type="list" allowBlank="1" showInputMessage="1" showErrorMessage="1" sqref="C28" xr:uid="{041ADDE0-6DD2-4101-AED5-6EC4524D6B2A}">
      <formula1>tt</formula1>
    </dataValidation>
    <dataValidation type="list" allowBlank="1" showInputMessage="1" showErrorMessage="1" sqref="C35" xr:uid="{7F59C0B0-5E23-42B6-9A41-C00BB56F9A9F}">
      <formula1>rr</formula1>
    </dataValidation>
    <dataValidation type="list" allowBlank="1" showInputMessage="1" showErrorMessage="1" sqref="C37:C38" xr:uid="{C5A790CB-30BF-478C-9768-16650C5038AC}">
      <formula1>ww</formula1>
    </dataValidation>
    <dataValidation type="list" allowBlank="1" showInputMessage="1" showErrorMessage="1" sqref="C75" xr:uid="{B9539C07-17E7-4B0C-B142-66B38DC9AACA}">
      <formula1>werwer</formula1>
    </dataValidation>
    <dataValidation type="list" allowBlank="1" showInputMessage="1" showErrorMessage="1" sqref="C82" xr:uid="{8536B17D-9CD0-472B-BFFB-C475D4236DF5}">
      <formula1>wfewefwef</formula1>
    </dataValidation>
  </dataValidations>
  <pageMargins left="0.4" right="0.24" top="0.91" bottom="0.65" header="0" footer="0"/>
  <pageSetup scale="66" orientation="portrait" horizontalDpi="4294967294" r:id="rId1"/>
  <headerFooter alignWithMargins="0">
    <oddFooter>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4AEC7-2433-496B-8A78-D78FBB8B9C95}">
  <sheetPr codeName="Sheet4">
    <tabColor theme="6" tint="-0.499984740745262"/>
  </sheetPr>
  <dimension ref="A1:V213"/>
  <sheetViews>
    <sheetView zoomScale="60" zoomScaleNormal="60" workbookViewId="0">
      <selection activeCell="A83" sqref="A83:XFD83"/>
    </sheetView>
  </sheetViews>
  <sheetFormatPr baseColWidth="10" defaultColWidth="11.453125" defaultRowHeight="13.15" customHeight="1" x14ac:dyDescent="0.35"/>
  <cols>
    <col min="1" max="1" width="13.6328125" style="315" customWidth="1"/>
    <col min="2" max="2" width="71.90625" style="315" customWidth="1"/>
    <col min="3" max="3" width="27.90625" style="315" customWidth="1"/>
    <col min="4" max="4" width="14.90625" style="320" customWidth="1"/>
    <col min="5" max="5" width="10.6328125" style="315" customWidth="1"/>
    <col min="6" max="6" width="10.6328125" style="316" customWidth="1"/>
    <col min="7" max="7" width="10.6328125" style="315" customWidth="1"/>
    <col min="8" max="8" width="18.36328125" style="317" customWidth="1"/>
    <col min="9" max="9" width="3.36328125" style="592" customWidth="1"/>
    <col min="10" max="10" width="10.6328125" style="315" customWidth="1"/>
    <col min="11" max="11" width="10.6328125" style="317" customWidth="1"/>
    <col min="12" max="12" width="10.6328125" style="315" customWidth="1"/>
    <col min="13" max="13" width="13.6328125" style="317" customWidth="1"/>
    <col min="14" max="14" width="3" style="592" customWidth="1"/>
    <col min="15" max="15" width="19.453125" style="318" customWidth="1"/>
    <col min="16" max="16" width="15.453125" style="319" customWidth="1"/>
    <col min="17" max="17" width="23.36328125" style="315" customWidth="1"/>
    <col min="18" max="18" width="47.90625" style="315" bestFit="1" customWidth="1"/>
    <col min="19" max="16384" width="11.453125" style="315"/>
  </cols>
  <sheetData>
    <row r="1" spans="2:18" s="1019" customFormat="1" ht="13.15" customHeight="1" x14ac:dyDescent="0.3">
      <c r="D1" s="1017" t="s">
        <v>22</v>
      </c>
      <c r="E1" s="1020"/>
      <c r="F1" s="1021"/>
      <c r="G1" s="1020"/>
      <c r="H1" s="1022"/>
      <c r="I1" s="1023"/>
      <c r="K1" s="1022"/>
      <c r="M1" s="1022"/>
      <c r="N1" s="1024"/>
      <c r="O1" s="1025"/>
      <c r="P1" s="1026"/>
    </row>
    <row r="2" spans="2:18" s="1019" customFormat="1" ht="13.15" customHeight="1" x14ac:dyDescent="0.3">
      <c r="B2" s="1020" t="s">
        <v>18</v>
      </c>
      <c r="C2" s="1027" t="s">
        <v>107</v>
      </c>
      <c r="D2" s="1027"/>
      <c r="F2" s="1021"/>
      <c r="H2" s="1022"/>
      <c r="I2" s="1023"/>
      <c r="K2" s="1022"/>
      <c r="M2" s="1022"/>
      <c r="N2" s="1024"/>
      <c r="O2" s="1025"/>
      <c r="P2" s="1026"/>
    </row>
    <row r="3" spans="2:18" s="1019" customFormat="1" ht="13.15" customHeight="1" x14ac:dyDescent="0.3">
      <c r="B3" s="1020" t="s">
        <v>19</v>
      </c>
      <c r="C3" s="1009" t="s">
        <v>302</v>
      </c>
      <c r="D3" s="1027"/>
      <c r="F3" s="1021"/>
      <c r="H3" s="1022"/>
      <c r="I3" s="1023"/>
      <c r="K3" s="1022"/>
      <c r="M3" s="1022"/>
      <c r="N3" s="1024"/>
      <c r="O3" s="1025"/>
      <c r="P3" s="1026"/>
    </row>
    <row r="4" spans="2:18" s="1019" customFormat="1" ht="13.15" customHeight="1" x14ac:dyDescent="0.3">
      <c r="B4" s="1020" t="s">
        <v>16</v>
      </c>
      <c r="C4" s="1027" t="s">
        <v>89</v>
      </c>
      <c r="D4" s="1028"/>
      <c r="E4" s="1029"/>
      <c r="F4" s="1030"/>
      <c r="G4" s="1029"/>
      <c r="H4" s="1031"/>
      <c r="I4" s="1024"/>
      <c r="J4" s="1029"/>
      <c r="K4" s="1031"/>
      <c r="L4" s="1029"/>
      <c r="M4" s="1031"/>
      <c r="N4" s="1024"/>
      <c r="O4" s="1031"/>
      <c r="P4" s="1032"/>
    </row>
    <row r="5" spans="2:18" s="1019" customFormat="1" ht="13.15" customHeight="1" x14ac:dyDescent="0.3">
      <c r="B5" s="1020" t="s">
        <v>17</v>
      </c>
      <c r="C5" s="1022">
        <f>O138</f>
        <v>1042514.9204919999</v>
      </c>
      <c r="D5" s="1028"/>
      <c r="E5" s="1029"/>
      <c r="F5" s="1030"/>
      <c r="G5" s="1029"/>
      <c r="H5" s="1031"/>
      <c r="I5" s="1024"/>
      <c r="J5" s="1029"/>
      <c r="K5" s="1031"/>
      <c r="L5" s="1029"/>
      <c r="M5" s="1031"/>
      <c r="N5" s="1024"/>
      <c r="O5" s="1031"/>
      <c r="P5" s="1032"/>
    </row>
    <row r="6" spans="2:18" s="1019" customFormat="1" ht="13.15" customHeight="1" x14ac:dyDescent="0.3">
      <c r="B6" s="1020" t="s">
        <v>31</v>
      </c>
      <c r="C6" s="1033">
        <f>O140</f>
        <v>72976.044434440002</v>
      </c>
      <c r="D6" s="1028"/>
      <c r="E6" s="1029"/>
      <c r="F6" s="1030"/>
      <c r="G6" s="1029"/>
      <c r="H6" s="1031"/>
      <c r="I6" s="1024"/>
      <c r="J6" s="1029"/>
      <c r="K6" s="1031"/>
      <c r="L6" s="1029"/>
      <c r="M6" s="1031"/>
      <c r="N6" s="1024"/>
      <c r="O6" s="1031"/>
      <c r="P6" s="1032"/>
    </row>
    <row r="7" spans="2:18" s="1019" customFormat="1" ht="13.15" customHeight="1" x14ac:dyDescent="0.3">
      <c r="B7" s="1020" t="s">
        <v>32</v>
      </c>
      <c r="C7" s="1034">
        <f>O141</f>
        <v>1115490.96492644</v>
      </c>
      <c r="D7" s="1028"/>
      <c r="E7" s="1029"/>
      <c r="F7" s="1030"/>
      <c r="G7" s="1029"/>
      <c r="H7" s="1031"/>
      <c r="I7" s="1024"/>
      <c r="J7" s="1029"/>
      <c r="K7" s="1031"/>
      <c r="L7" s="1029"/>
      <c r="M7" s="1031"/>
      <c r="N7" s="1024"/>
      <c r="O7" s="1031"/>
      <c r="P7" s="1032"/>
    </row>
    <row r="8" spans="2:18" ht="13.15" customHeight="1" thickBot="1" x14ac:dyDescent="0.4">
      <c r="I8" s="579"/>
      <c r="N8" s="579"/>
    </row>
    <row r="9" spans="2:18" s="172" customFormat="1" ht="35" customHeight="1" thickBot="1" x14ac:dyDescent="0.35">
      <c r="B9" s="980" t="s">
        <v>69</v>
      </c>
      <c r="C9" s="980" t="s">
        <v>37</v>
      </c>
      <c r="D9" s="980" t="s">
        <v>29</v>
      </c>
      <c r="E9" s="980" t="s">
        <v>4</v>
      </c>
      <c r="F9" s="981" t="s">
        <v>5</v>
      </c>
      <c r="G9" s="981" t="s">
        <v>239</v>
      </c>
      <c r="H9" s="982" t="s">
        <v>6</v>
      </c>
      <c r="I9" s="983"/>
      <c r="J9" s="984" t="s">
        <v>4</v>
      </c>
      <c r="K9" s="981" t="s">
        <v>5</v>
      </c>
      <c r="L9" s="981" t="s">
        <v>238</v>
      </c>
      <c r="M9" s="982" t="s">
        <v>7</v>
      </c>
      <c r="N9" s="983"/>
      <c r="O9" s="984" t="s">
        <v>8</v>
      </c>
      <c r="P9" s="985" t="s">
        <v>20</v>
      </c>
      <c r="Q9" s="985" t="s">
        <v>50</v>
      </c>
      <c r="R9" s="985" t="s">
        <v>35</v>
      </c>
    </row>
    <row r="10" spans="2:18" s="650" customFormat="1" ht="15" customHeight="1" thickBot="1" x14ac:dyDescent="0.3">
      <c r="B10" s="974" t="s">
        <v>40</v>
      </c>
      <c r="C10" s="975"/>
      <c r="D10" s="976"/>
      <c r="E10" s="977"/>
      <c r="F10" s="977"/>
      <c r="G10" s="977"/>
      <c r="H10" s="978"/>
      <c r="I10" s="884"/>
      <c r="J10" s="974"/>
      <c r="K10" s="977"/>
      <c r="L10" s="977"/>
      <c r="M10" s="978"/>
      <c r="N10" s="884"/>
      <c r="O10" s="974"/>
      <c r="P10" s="977"/>
      <c r="Q10" s="977"/>
      <c r="R10" s="978"/>
    </row>
    <row r="11" spans="2:18" s="652" customFormat="1" ht="15" customHeight="1" thickBot="1" x14ac:dyDescent="0.35">
      <c r="B11" s="964" t="s">
        <v>300</v>
      </c>
      <c r="C11" s="965"/>
      <c r="D11" s="966"/>
      <c r="E11" s="967"/>
      <c r="F11" s="967"/>
      <c r="G11" s="967"/>
      <c r="H11" s="968"/>
      <c r="I11" s="884"/>
      <c r="J11" s="971"/>
      <c r="K11" s="972"/>
      <c r="L11" s="972"/>
      <c r="M11" s="973"/>
      <c r="N11" s="884"/>
      <c r="O11" s="971"/>
      <c r="P11" s="972"/>
      <c r="Q11" s="972"/>
      <c r="R11" s="973"/>
    </row>
    <row r="12" spans="2:18" ht="13.15" customHeight="1" x14ac:dyDescent="0.35">
      <c r="B12" s="548" t="s">
        <v>199</v>
      </c>
      <c r="C12" s="549"/>
      <c r="D12" s="549"/>
      <c r="E12" s="549"/>
      <c r="F12" s="549"/>
      <c r="G12" s="549"/>
      <c r="H12" s="552"/>
      <c r="I12" s="581"/>
      <c r="J12" s="563"/>
      <c r="K12" s="550"/>
      <c r="L12" s="549"/>
      <c r="M12" s="552"/>
      <c r="N12" s="581"/>
      <c r="O12" s="563"/>
      <c r="P12" s="549"/>
      <c r="Q12" s="549"/>
      <c r="R12" s="551"/>
    </row>
    <row r="13" spans="2:18" s="393" customFormat="1" ht="13.15" customHeight="1" x14ac:dyDescent="0.3">
      <c r="B13" s="391" t="s">
        <v>229</v>
      </c>
      <c r="C13" s="182"/>
      <c r="D13" s="394"/>
      <c r="E13" s="182"/>
      <c r="F13" s="171"/>
      <c r="G13" s="182"/>
      <c r="H13" s="321"/>
      <c r="I13" s="582"/>
      <c r="J13" s="594"/>
      <c r="K13" s="338"/>
      <c r="L13" s="322"/>
      <c r="M13" s="321"/>
      <c r="N13" s="582"/>
      <c r="O13" s="564"/>
      <c r="P13" s="323"/>
      <c r="Q13" s="392"/>
      <c r="R13" s="392"/>
    </row>
    <row r="14" spans="2:18" s="393" customFormat="1" ht="13.15" customHeight="1" x14ac:dyDescent="0.3">
      <c r="B14" s="182" t="s">
        <v>226</v>
      </c>
      <c r="C14" s="283" t="s">
        <v>88</v>
      </c>
      <c r="D14" s="394" t="s">
        <v>108</v>
      </c>
      <c r="E14" s="182">
        <v>1</v>
      </c>
      <c r="F14" s="171">
        <v>3500</v>
      </c>
      <c r="G14" s="182">
        <v>1</v>
      </c>
      <c r="H14" s="321">
        <f>E14*F14*G14</f>
        <v>3500</v>
      </c>
      <c r="I14" s="582"/>
      <c r="J14" s="594"/>
      <c r="K14" s="338"/>
      <c r="L14" s="322"/>
      <c r="M14" s="321">
        <f>J14*K14*L14</f>
        <v>0</v>
      </c>
      <c r="N14" s="582"/>
      <c r="O14" s="564">
        <f>H14+M14</f>
        <v>3500</v>
      </c>
      <c r="P14" s="323"/>
      <c r="Q14" s="392">
        <f>O14*P14</f>
        <v>0</v>
      </c>
      <c r="R14" s="392" t="s">
        <v>170</v>
      </c>
    </row>
    <row r="15" spans="2:18" s="393" customFormat="1" ht="13.15" customHeight="1" x14ac:dyDescent="0.3">
      <c r="B15" s="182" t="s">
        <v>227</v>
      </c>
      <c r="C15" s="283" t="s">
        <v>88</v>
      </c>
      <c r="D15" s="394" t="s">
        <v>108</v>
      </c>
      <c r="E15" s="182">
        <v>1</v>
      </c>
      <c r="F15" s="171">
        <v>6500</v>
      </c>
      <c r="G15" s="182">
        <v>1</v>
      </c>
      <c r="H15" s="321">
        <f>E15*F15*G15</f>
        <v>6500</v>
      </c>
      <c r="I15" s="582"/>
      <c r="J15" s="594"/>
      <c r="K15" s="338"/>
      <c r="L15" s="322"/>
      <c r="M15" s="321">
        <f>J15*K15*L15</f>
        <v>0</v>
      </c>
      <c r="N15" s="582"/>
      <c r="O15" s="564">
        <f>H15+M15</f>
        <v>6500</v>
      </c>
      <c r="P15" s="323"/>
      <c r="Q15" s="392">
        <f>O15*P15</f>
        <v>0</v>
      </c>
      <c r="R15" s="392" t="s">
        <v>171</v>
      </c>
    </row>
    <row r="16" spans="2:18" s="393" customFormat="1" ht="13.15" customHeight="1" x14ac:dyDescent="0.3">
      <c r="B16" s="391" t="s">
        <v>228</v>
      </c>
      <c r="C16" s="182"/>
      <c r="D16" s="394"/>
      <c r="E16" s="182"/>
      <c r="F16" s="171"/>
      <c r="G16" s="182"/>
      <c r="H16" s="321"/>
      <c r="I16" s="582"/>
      <c r="J16" s="594"/>
      <c r="K16" s="338"/>
      <c r="L16" s="322"/>
      <c r="M16" s="321"/>
      <c r="N16" s="582"/>
      <c r="O16" s="564"/>
      <c r="P16" s="323"/>
      <c r="Q16" s="392"/>
      <c r="R16" s="392"/>
    </row>
    <row r="17" spans="1:18" s="278" customFormat="1" ht="13.15" customHeight="1" x14ac:dyDescent="0.3">
      <c r="B17" s="546" t="s">
        <v>332</v>
      </c>
      <c r="C17" s="282" t="s">
        <v>9</v>
      </c>
      <c r="D17" s="394" t="s">
        <v>108</v>
      </c>
      <c r="E17" s="512">
        <v>1</v>
      </c>
      <c r="F17" s="511">
        <f>3877*20%</f>
        <v>775.40000000000009</v>
      </c>
      <c r="G17" s="512">
        <v>12</v>
      </c>
      <c r="H17" s="518">
        <f t="shared" ref="H17:H19" si="0">E17*F17*G17</f>
        <v>9304.8000000000011</v>
      </c>
      <c r="I17" s="583"/>
      <c r="J17" s="519">
        <v>1</v>
      </c>
      <c r="K17" s="520">
        <f>F17*1.03</f>
        <v>798.66200000000015</v>
      </c>
      <c r="L17" s="512">
        <v>6</v>
      </c>
      <c r="M17" s="518">
        <f>J17*K17*L17</f>
        <v>4791.9720000000007</v>
      </c>
      <c r="N17" s="583"/>
      <c r="O17" s="521">
        <f t="shared" ref="O17:O19" si="1">H17+M17</f>
        <v>14096.772000000001</v>
      </c>
      <c r="P17" s="522"/>
      <c r="Q17" s="272">
        <f>O17*P17</f>
        <v>0</v>
      </c>
      <c r="R17" s="272"/>
    </row>
    <row r="18" spans="1:18" s="278" customFormat="1" ht="13.15" customHeight="1" x14ac:dyDescent="0.3">
      <c r="B18" s="546" t="s">
        <v>333</v>
      </c>
      <c r="C18" s="282" t="s">
        <v>9</v>
      </c>
      <c r="D18" s="394" t="s">
        <v>108</v>
      </c>
      <c r="E18" s="512">
        <v>1</v>
      </c>
      <c r="F18" s="511">
        <f>4054*15%</f>
        <v>608.1</v>
      </c>
      <c r="G18" s="512">
        <v>12</v>
      </c>
      <c r="H18" s="518">
        <f t="shared" si="0"/>
        <v>7297.2000000000007</v>
      </c>
      <c r="I18" s="583"/>
      <c r="J18" s="519">
        <v>1</v>
      </c>
      <c r="K18" s="520">
        <f>F18*1.03</f>
        <v>626.34300000000007</v>
      </c>
      <c r="L18" s="512">
        <v>6</v>
      </c>
      <c r="M18" s="518">
        <f>J18*K18*L18</f>
        <v>3758.0580000000004</v>
      </c>
      <c r="N18" s="583"/>
      <c r="O18" s="521">
        <f t="shared" si="1"/>
        <v>11055.258000000002</v>
      </c>
      <c r="P18" s="522"/>
      <c r="Q18" s="272">
        <f>O18*P18</f>
        <v>0</v>
      </c>
      <c r="R18" s="272"/>
    </row>
    <row r="19" spans="1:18" s="278" customFormat="1" ht="13.15" customHeight="1" x14ac:dyDescent="0.3">
      <c r="B19" s="544" t="s">
        <v>241</v>
      </c>
      <c r="C19" s="282" t="s">
        <v>88</v>
      </c>
      <c r="D19" s="394" t="s">
        <v>108</v>
      </c>
      <c r="E19" s="182">
        <v>1</v>
      </c>
      <c r="F19" s="171">
        <v>20000</v>
      </c>
      <c r="G19" s="182">
        <v>1</v>
      </c>
      <c r="H19" s="518">
        <f t="shared" si="0"/>
        <v>20000</v>
      </c>
      <c r="I19" s="583"/>
      <c r="J19" s="524"/>
      <c r="K19" s="525"/>
      <c r="L19" s="525"/>
      <c r="M19" s="518">
        <f>J19*K19*L19</f>
        <v>0</v>
      </c>
      <c r="N19" s="583"/>
      <c r="O19" s="521">
        <f t="shared" si="1"/>
        <v>20000</v>
      </c>
      <c r="P19" s="522"/>
      <c r="Q19" s="272">
        <f>O19*P19</f>
        <v>0</v>
      </c>
      <c r="R19" s="272" t="s">
        <v>112</v>
      </c>
    </row>
    <row r="20" spans="1:18" s="393" customFormat="1" ht="13.15" customHeight="1" x14ac:dyDescent="0.3">
      <c r="B20" s="182" t="s">
        <v>242</v>
      </c>
      <c r="C20" s="283" t="s">
        <v>88</v>
      </c>
      <c r="D20" s="394" t="s">
        <v>108</v>
      </c>
      <c r="E20" s="182">
        <v>1</v>
      </c>
      <c r="F20" s="171">
        <v>2490</v>
      </c>
      <c r="G20" s="182">
        <v>1</v>
      </c>
      <c r="H20" s="321">
        <f t="shared" ref="H20:H21" si="2">E20*F20*G20</f>
        <v>2490</v>
      </c>
      <c r="I20" s="582"/>
      <c r="J20" s="594"/>
      <c r="K20" s="338"/>
      <c r="L20" s="322"/>
      <c r="M20" s="321">
        <f>J20*K20*L20</f>
        <v>0</v>
      </c>
      <c r="N20" s="582"/>
      <c r="O20" s="564">
        <f t="shared" ref="O20:O21" si="3">H20+M20</f>
        <v>2490</v>
      </c>
      <c r="P20" s="323"/>
      <c r="Q20" s="392">
        <f>O20*P20</f>
        <v>0</v>
      </c>
      <c r="R20" s="392" t="s">
        <v>113</v>
      </c>
    </row>
    <row r="21" spans="1:18" s="393" customFormat="1" ht="13.15" customHeight="1" x14ac:dyDescent="0.3">
      <c r="B21" s="182" t="s">
        <v>243</v>
      </c>
      <c r="C21" s="283" t="s">
        <v>88</v>
      </c>
      <c r="D21" s="394" t="s">
        <v>108</v>
      </c>
      <c r="E21" s="182">
        <v>1</v>
      </c>
      <c r="F21" s="171">
        <f>8580/2</f>
        <v>4290</v>
      </c>
      <c r="G21" s="182">
        <v>1</v>
      </c>
      <c r="H21" s="321">
        <f t="shared" si="2"/>
        <v>4290</v>
      </c>
      <c r="I21" s="582"/>
      <c r="J21" s="594"/>
      <c r="K21" s="338"/>
      <c r="L21" s="322"/>
      <c r="M21" s="321">
        <f>J21*K21*L21</f>
        <v>0</v>
      </c>
      <c r="N21" s="582"/>
      <c r="O21" s="564">
        <f t="shared" si="3"/>
        <v>4290</v>
      </c>
      <c r="P21" s="323">
        <v>1</v>
      </c>
      <c r="Q21" s="392">
        <f>O21*P21</f>
        <v>4290</v>
      </c>
      <c r="R21" s="392" t="s">
        <v>128</v>
      </c>
    </row>
    <row r="22" spans="1:18" s="324" customFormat="1" ht="13.15" customHeight="1" thickBot="1" x14ac:dyDescent="0.35">
      <c r="B22" s="261" t="s">
        <v>203</v>
      </c>
      <c r="C22" s="486"/>
      <c r="D22" s="466"/>
      <c r="E22" s="466"/>
      <c r="F22" s="466"/>
      <c r="G22" s="466"/>
      <c r="H22" s="465">
        <f>SUM(H13:H21)</f>
        <v>53382</v>
      </c>
      <c r="I22" s="232"/>
      <c r="J22" s="486"/>
      <c r="K22" s="477"/>
      <c r="L22" s="466"/>
      <c r="M22" s="465">
        <f>SUM(M13:M21)</f>
        <v>8550.0300000000007</v>
      </c>
      <c r="N22" s="232"/>
      <c r="O22" s="565">
        <f>H22+M22</f>
        <v>61932.03</v>
      </c>
      <c r="P22" s="421"/>
      <c r="Q22" s="342"/>
      <c r="R22" s="259"/>
    </row>
    <row r="23" spans="1:18" s="324" customFormat="1" ht="13.15" customHeight="1" thickBot="1" x14ac:dyDescent="0.35">
      <c r="B23" s="1051" t="s">
        <v>370</v>
      </c>
      <c r="C23" s="467"/>
      <c r="D23" s="467"/>
      <c r="E23" s="467"/>
      <c r="F23" s="467"/>
      <c r="G23" s="467"/>
      <c r="H23" s="553"/>
      <c r="I23" s="581"/>
      <c r="J23" s="595"/>
      <c r="K23" s="478"/>
      <c r="L23" s="467"/>
      <c r="M23" s="553"/>
      <c r="N23" s="581"/>
      <c r="O23" s="566"/>
      <c r="P23" s="468"/>
      <c r="Q23" s="468"/>
      <c r="R23" s="469"/>
    </row>
    <row r="24" spans="1:18" s="324" customFormat="1" ht="13.15" customHeight="1" x14ac:dyDescent="0.3">
      <c r="B24" s="542" t="s">
        <v>369</v>
      </c>
      <c r="C24" s="327"/>
      <c r="D24" s="254"/>
      <c r="E24" s="328"/>
      <c r="F24" s="328"/>
      <c r="G24" s="328"/>
      <c r="H24" s="479"/>
      <c r="I24" s="329"/>
      <c r="J24" s="328"/>
      <c r="K24" s="479"/>
      <c r="L24" s="328"/>
      <c r="M24" s="479"/>
      <c r="N24" s="330"/>
      <c r="O24" s="331"/>
      <c r="P24" s="332"/>
      <c r="Q24" s="332"/>
      <c r="R24" s="333"/>
    </row>
    <row r="25" spans="1:18" s="324" customFormat="1" ht="13.15" customHeight="1" x14ac:dyDescent="0.3">
      <c r="B25" s="404" t="s">
        <v>364</v>
      </c>
      <c r="C25" s="182"/>
      <c r="D25" s="399"/>
      <c r="E25" s="400"/>
      <c r="F25" s="401"/>
      <c r="G25" s="400"/>
      <c r="H25" s="554"/>
      <c r="I25" s="447"/>
      <c r="J25" s="596"/>
      <c r="K25" s="440"/>
      <c r="L25" s="400"/>
      <c r="M25" s="554"/>
      <c r="N25" s="447"/>
      <c r="O25" s="567"/>
      <c r="P25" s="402"/>
      <c r="Q25" s="400"/>
      <c r="R25" s="400"/>
    </row>
    <row r="26" spans="1:18" s="326" customFormat="1" ht="13.15" customHeight="1" x14ac:dyDescent="0.3">
      <c r="A26" s="438"/>
      <c r="B26" s="544" t="s">
        <v>264</v>
      </c>
      <c r="C26" s="283" t="s">
        <v>13</v>
      </c>
      <c r="D26" s="394" t="s">
        <v>108</v>
      </c>
      <c r="E26" s="182">
        <v>1</v>
      </c>
      <c r="F26" s="171">
        <v>4940</v>
      </c>
      <c r="G26" s="182">
        <v>1</v>
      </c>
      <c r="H26" s="321">
        <f>E26*F26*G26</f>
        <v>4940</v>
      </c>
      <c r="I26" s="582"/>
      <c r="J26" s="594"/>
      <c r="K26" s="338"/>
      <c r="L26" s="322"/>
      <c r="M26" s="321">
        <f>J26*K26*L26</f>
        <v>0</v>
      </c>
      <c r="N26" s="582"/>
      <c r="O26" s="564">
        <f>H26+M26</f>
        <v>4940</v>
      </c>
      <c r="P26" s="323"/>
      <c r="Q26" s="392"/>
      <c r="R26" s="392" t="s">
        <v>123</v>
      </c>
    </row>
    <row r="27" spans="1:18" s="324" customFormat="1" ht="13.15" customHeight="1" x14ac:dyDescent="0.3">
      <c r="A27" s="438"/>
      <c r="B27" s="404" t="s">
        <v>365</v>
      </c>
      <c r="C27" s="182"/>
      <c r="D27" s="403" t="s">
        <v>108</v>
      </c>
      <c r="E27" s="400"/>
      <c r="F27" s="401"/>
      <c r="G27" s="400"/>
      <c r="H27" s="554"/>
      <c r="I27" s="447"/>
      <c r="J27" s="596"/>
      <c r="K27" s="440"/>
      <c r="L27" s="400"/>
      <c r="M27" s="554"/>
      <c r="N27" s="447"/>
      <c r="O27" s="567"/>
      <c r="P27" s="402"/>
      <c r="Q27" s="400"/>
      <c r="R27" s="400"/>
    </row>
    <row r="28" spans="1:18" s="326" customFormat="1" ht="13.15" customHeight="1" x14ac:dyDescent="0.3">
      <c r="A28" s="439"/>
      <c r="B28" s="544" t="s">
        <v>265</v>
      </c>
      <c r="C28" s="283" t="s">
        <v>13</v>
      </c>
      <c r="D28" s="394" t="s">
        <v>108</v>
      </c>
      <c r="E28" s="182">
        <v>1</v>
      </c>
      <c r="F28" s="171">
        <v>13040</v>
      </c>
      <c r="G28" s="182">
        <v>1</v>
      </c>
      <c r="H28" s="321">
        <f t="shared" ref="H28:H38" si="4">E28*F28*G28</f>
        <v>13040</v>
      </c>
      <c r="I28" s="582"/>
      <c r="J28" s="594"/>
      <c r="K28" s="338"/>
      <c r="L28" s="322"/>
      <c r="M28" s="321">
        <f t="shared" ref="M28:M38" si="5">J28*K28*L28</f>
        <v>0</v>
      </c>
      <c r="N28" s="582"/>
      <c r="O28" s="564">
        <f t="shared" ref="O28:O38" si="6">H28+M28</f>
        <v>13040</v>
      </c>
      <c r="P28" s="323"/>
      <c r="Q28" s="392"/>
      <c r="R28" s="392" t="s">
        <v>123</v>
      </c>
    </row>
    <row r="29" spans="1:18" s="326" customFormat="1" ht="13.15" customHeight="1" x14ac:dyDescent="0.3">
      <c r="B29" s="544" t="s">
        <v>266</v>
      </c>
      <c r="C29" s="283" t="s">
        <v>13</v>
      </c>
      <c r="D29" s="394" t="s">
        <v>108</v>
      </c>
      <c r="E29" s="182">
        <v>1</v>
      </c>
      <c r="F29" s="171">
        <v>10235</v>
      </c>
      <c r="G29" s="182">
        <v>1</v>
      </c>
      <c r="H29" s="321">
        <f t="shared" si="4"/>
        <v>10235</v>
      </c>
      <c r="I29" s="582"/>
      <c r="J29" s="594"/>
      <c r="K29" s="338"/>
      <c r="L29" s="322"/>
      <c r="M29" s="321">
        <f t="shared" si="5"/>
        <v>0</v>
      </c>
      <c r="N29" s="582"/>
      <c r="O29" s="564">
        <f t="shared" si="6"/>
        <v>10235</v>
      </c>
      <c r="P29" s="323"/>
      <c r="Q29" s="392"/>
      <c r="R29" s="392" t="s">
        <v>110</v>
      </c>
    </row>
    <row r="30" spans="1:18" s="326" customFormat="1" ht="13.15" customHeight="1" x14ac:dyDescent="0.3">
      <c r="B30" s="544" t="s">
        <v>267</v>
      </c>
      <c r="C30" s="283" t="s">
        <v>13</v>
      </c>
      <c r="D30" s="394" t="s">
        <v>108</v>
      </c>
      <c r="E30" s="182">
        <v>1</v>
      </c>
      <c r="F30" s="171">
        <v>10235</v>
      </c>
      <c r="G30" s="182">
        <v>1</v>
      </c>
      <c r="H30" s="321">
        <f t="shared" si="4"/>
        <v>10235</v>
      </c>
      <c r="I30" s="582"/>
      <c r="J30" s="594">
        <v>100</v>
      </c>
      <c r="K30" s="338">
        <v>22</v>
      </c>
      <c r="L30" s="322">
        <v>1</v>
      </c>
      <c r="M30" s="321">
        <f t="shared" si="5"/>
        <v>2200</v>
      </c>
      <c r="N30" s="582"/>
      <c r="O30" s="564">
        <f t="shared" si="6"/>
        <v>12435</v>
      </c>
      <c r="P30" s="323"/>
      <c r="Q30" s="392"/>
      <c r="R30" s="392" t="s">
        <v>123</v>
      </c>
    </row>
    <row r="31" spans="1:18" s="326" customFormat="1" ht="13.15" customHeight="1" x14ac:dyDescent="0.3">
      <c r="B31" s="544" t="s">
        <v>268</v>
      </c>
      <c r="C31" s="283" t="s">
        <v>13</v>
      </c>
      <c r="D31" s="394" t="s">
        <v>108</v>
      </c>
      <c r="E31" s="182">
        <v>1</v>
      </c>
      <c r="F31" s="171">
        <v>12985</v>
      </c>
      <c r="G31" s="182">
        <v>1</v>
      </c>
      <c r="H31" s="321">
        <f t="shared" si="4"/>
        <v>12985</v>
      </c>
      <c r="I31" s="582"/>
      <c r="J31" s="594">
        <v>1</v>
      </c>
      <c r="K31" s="338">
        <v>3960</v>
      </c>
      <c r="L31" s="322">
        <v>1</v>
      </c>
      <c r="M31" s="321">
        <f t="shared" si="5"/>
        <v>3960</v>
      </c>
      <c r="N31" s="582"/>
      <c r="O31" s="564">
        <f t="shared" si="6"/>
        <v>16945</v>
      </c>
      <c r="P31" s="323"/>
      <c r="Q31" s="392"/>
      <c r="R31" s="392" t="s">
        <v>110</v>
      </c>
    </row>
    <row r="32" spans="1:18" s="326" customFormat="1" ht="13.15" customHeight="1" x14ac:dyDescent="0.3">
      <c r="B32" s="544" t="s">
        <v>269</v>
      </c>
      <c r="C32" s="283" t="s">
        <v>13</v>
      </c>
      <c r="D32" s="394" t="s">
        <v>108</v>
      </c>
      <c r="E32" s="182">
        <v>1</v>
      </c>
      <c r="F32" s="171">
        <f>8624/3*2</f>
        <v>5749.333333333333</v>
      </c>
      <c r="G32" s="182">
        <v>1</v>
      </c>
      <c r="H32" s="321">
        <f t="shared" si="4"/>
        <v>5749.333333333333</v>
      </c>
      <c r="I32" s="582"/>
      <c r="J32" s="594">
        <v>1</v>
      </c>
      <c r="K32" s="338">
        <f>8624/3</f>
        <v>2874.6666666666665</v>
      </c>
      <c r="L32" s="322">
        <v>1</v>
      </c>
      <c r="M32" s="321">
        <f t="shared" si="5"/>
        <v>2874.6666666666665</v>
      </c>
      <c r="N32" s="582"/>
      <c r="O32" s="564">
        <f t="shared" si="6"/>
        <v>8624</v>
      </c>
      <c r="P32" s="323"/>
      <c r="Q32" s="392"/>
      <c r="R32" s="392" t="s">
        <v>124</v>
      </c>
    </row>
    <row r="33" spans="1:18" s="324" customFormat="1" ht="13.15" customHeight="1" x14ac:dyDescent="0.3">
      <c r="B33" s="544" t="s">
        <v>366</v>
      </c>
      <c r="C33" s="283" t="s">
        <v>13</v>
      </c>
      <c r="D33" s="394" t="s">
        <v>108</v>
      </c>
      <c r="E33" s="182">
        <v>85</v>
      </c>
      <c r="F33" s="171">
        <v>30</v>
      </c>
      <c r="G33" s="182">
        <v>2</v>
      </c>
      <c r="H33" s="321">
        <f t="shared" si="4"/>
        <v>5100</v>
      </c>
      <c r="I33" s="582"/>
      <c r="J33" s="594">
        <v>85</v>
      </c>
      <c r="K33" s="338">
        <v>30</v>
      </c>
      <c r="L33" s="322">
        <v>1</v>
      </c>
      <c r="M33" s="321">
        <f t="shared" si="5"/>
        <v>2550</v>
      </c>
      <c r="N33" s="582"/>
      <c r="O33" s="564">
        <f t="shared" si="6"/>
        <v>7650</v>
      </c>
      <c r="P33" s="323"/>
      <c r="Q33" s="392"/>
      <c r="R33" s="392" t="s">
        <v>125</v>
      </c>
    </row>
    <row r="34" spans="1:18" s="324" customFormat="1" ht="13.15" customHeight="1" x14ac:dyDescent="0.3">
      <c r="B34" s="544" t="s">
        <v>270</v>
      </c>
      <c r="C34" s="283" t="s">
        <v>13</v>
      </c>
      <c r="D34" s="394" t="s">
        <v>108</v>
      </c>
      <c r="E34" s="182">
        <v>1</v>
      </c>
      <c r="F34" s="171">
        <v>800</v>
      </c>
      <c r="G34" s="182">
        <v>1</v>
      </c>
      <c r="H34" s="321">
        <f t="shared" si="4"/>
        <v>800</v>
      </c>
      <c r="I34" s="582"/>
      <c r="J34" s="594">
        <v>1</v>
      </c>
      <c r="K34" s="338">
        <v>800</v>
      </c>
      <c r="L34" s="322">
        <v>1</v>
      </c>
      <c r="M34" s="321">
        <f t="shared" si="5"/>
        <v>800</v>
      </c>
      <c r="N34" s="582"/>
      <c r="O34" s="564">
        <f t="shared" si="6"/>
        <v>1600</v>
      </c>
      <c r="P34" s="323"/>
      <c r="Q34" s="392"/>
      <c r="R34" s="392" t="s">
        <v>126</v>
      </c>
    </row>
    <row r="35" spans="1:18" s="324" customFormat="1" ht="13.15" customHeight="1" x14ac:dyDescent="0.3">
      <c r="B35" s="544" t="s">
        <v>271</v>
      </c>
      <c r="C35" s="283" t="s">
        <v>13</v>
      </c>
      <c r="D35" s="394" t="s">
        <v>108</v>
      </c>
      <c r="E35" s="182">
        <v>22</v>
      </c>
      <c r="F35" s="171">
        <v>100</v>
      </c>
      <c r="G35" s="182">
        <v>1</v>
      </c>
      <c r="H35" s="321">
        <f t="shared" si="4"/>
        <v>2200</v>
      </c>
      <c r="I35" s="582"/>
      <c r="J35" s="594"/>
      <c r="K35" s="338"/>
      <c r="L35" s="322"/>
      <c r="M35" s="321">
        <f t="shared" si="5"/>
        <v>0</v>
      </c>
      <c r="N35" s="582"/>
      <c r="O35" s="564">
        <f t="shared" si="6"/>
        <v>2200</v>
      </c>
      <c r="P35" s="323"/>
      <c r="Q35" s="392"/>
      <c r="R35" s="392" t="s">
        <v>127</v>
      </c>
    </row>
    <row r="36" spans="1:18" s="324" customFormat="1" ht="13.15" customHeight="1" x14ac:dyDescent="0.3">
      <c r="B36" s="404" t="s">
        <v>367</v>
      </c>
      <c r="C36" s="283" t="s">
        <v>13</v>
      </c>
      <c r="D36" s="394" t="s">
        <v>108</v>
      </c>
      <c r="E36" s="182">
        <v>22</v>
      </c>
      <c r="F36" s="171">
        <v>1000</v>
      </c>
      <c r="G36" s="182">
        <v>1</v>
      </c>
      <c r="H36" s="321">
        <f t="shared" si="4"/>
        <v>22000</v>
      </c>
      <c r="I36" s="582"/>
      <c r="J36" s="594"/>
      <c r="K36" s="338"/>
      <c r="L36" s="322"/>
      <c r="M36" s="321">
        <f t="shared" si="5"/>
        <v>0</v>
      </c>
      <c r="N36" s="582"/>
      <c r="O36" s="564">
        <f t="shared" si="6"/>
        <v>22000</v>
      </c>
      <c r="P36" s="323"/>
      <c r="Q36" s="392"/>
      <c r="R36" s="392" t="s">
        <v>127</v>
      </c>
    </row>
    <row r="37" spans="1:18" s="326" customFormat="1" ht="13.15" customHeight="1" x14ac:dyDescent="0.3">
      <c r="B37" s="544" t="s">
        <v>129</v>
      </c>
      <c r="C37" s="283" t="s">
        <v>13</v>
      </c>
      <c r="D37" s="394" t="s">
        <v>108</v>
      </c>
      <c r="E37" s="182">
        <v>4</v>
      </c>
      <c r="F37" s="171">
        <v>300</v>
      </c>
      <c r="G37" s="182">
        <v>12</v>
      </c>
      <c r="H37" s="321">
        <f t="shared" si="4"/>
        <v>14400</v>
      </c>
      <c r="I37" s="582"/>
      <c r="J37" s="594">
        <v>4</v>
      </c>
      <c r="K37" s="338">
        <f>300*1.03</f>
        <v>309</v>
      </c>
      <c r="L37" s="322">
        <v>6</v>
      </c>
      <c r="M37" s="321">
        <f t="shared" si="5"/>
        <v>7416</v>
      </c>
      <c r="N37" s="582"/>
      <c r="O37" s="564">
        <f t="shared" si="6"/>
        <v>21816</v>
      </c>
      <c r="P37" s="323"/>
      <c r="Q37" s="392"/>
      <c r="R37" s="392" t="s">
        <v>130</v>
      </c>
    </row>
    <row r="38" spans="1:18" s="324" customFormat="1" ht="13.15" customHeight="1" x14ac:dyDescent="0.3">
      <c r="B38" s="544" t="s">
        <v>131</v>
      </c>
      <c r="C38" s="155" t="s">
        <v>13</v>
      </c>
      <c r="D38" s="224" t="s">
        <v>108</v>
      </c>
      <c r="E38" s="225">
        <v>1</v>
      </c>
      <c r="F38" s="169">
        <v>800</v>
      </c>
      <c r="G38" s="225">
        <v>12</v>
      </c>
      <c r="H38" s="321">
        <f t="shared" si="4"/>
        <v>9600</v>
      </c>
      <c r="I38" s="584"/>
      <c r="J38" s="594">
        <v>1</v>
      </c>
      <c r="K38" s="338">
        <f>F38*1.03</f>
        <v>824</v>
      </c>
      <c r="L38" s="322">
        <v>6</v>
      </c>
      <c r="M38" s="321">
        <f t="shared" si="5"/>
        <v>4944</v>
      </c>
      <c r="N38" s="584"/>
      <c r="O38" s="564">
        <f t="shared" si="6"/>
        <v>14544</v>
      </c>
      <c r="P38" s="323"/>
      <c r="Q38" s="174"/>
      <c r="R38" s="174" t="s">
        <v>130</v>
      </c>
    </row>
    <row r="39" spans="1:18" s="324" customFormat="1" ht="13.15" customHeight="1" thickBot="1" x14ac:dyDescent="0.35">
      <c r="B39" s="263" t="s">
        <v>230</v>
      </c>
      <c r="C39" s="465">
        <f>SUM(H25:H38)</f>
        <v>111284.33333333334</v>
      </c>
      <c r="D39" s="466"/>
      <c r="E39" s="466"/>
      <c r="F39" s="466"/>
      <c r="G39" s="466"/>
      <c r="H39" s="466"/>
      <c r="I39" s="232"/>
      <c r="J39" s="466">
        <f>SUM(M25:M38)</f>
        <v>24744.666666666664</v>
      </c>
      <c r="K39" s="477"/>
      <c r="L39" s="466"/>
      <c r="M39" s="466"/>
      <c r="N39" s="232"/>
      <c r="O39" s="565">
        <f>C39+J39</f>
        <v>136029</v>
      </c>
      <c r="P39" s="342"/>
      <c r="Q39" s="343"/>
      <c r="R39" s="202"/>
    </row>
    <row r="40" spans="1:18" s="324" customFormat="1" ht="13.15" customHeight="1" thickBot="1" x14ac:dyDescent="0.35">
      <c r="B40" s="1053" t="s">
        <v>371</v>
      </c>
      <c r="C40" s="309"/>
      <c r="D40" s="309"/>
      <c r="E40" s="309"/>
      <c r="F40" s="309"/>
      <c r="G40" s="309"/>
      <c r="H40" s="555"/>
      <c r="I40" s="581"/>
      <c r="J40" s="597"/>
      <c r="K40" s="480"/>
      <c r="L40" s="309"/>
      <c r="M40" s="555"/>
      <c r="N40" s="581"/>
      <c r="O40" s="566"/>
      <c r="P40" s="468"/>
      <c r="Q40" s="468"/>
      <c r="R40" s="469"/>
    </row>
    <row r="41" spans="1:18" s="324" customFormat="1" ht="13.15" customHeight="1" x14ac:dyDescent="0.3">
      <c r="B41" s="429" t="s">
        <v>114</v>
      </c>
      <c r="C41" s="430" t="s">
        <v>13</v>
      </c>
      <c r="D41" s="431" t="s">
        <v>108</v>
      </c>
      <c r="E41" s="432">
        <v>1</v>
      </c>
      <c r="F41" s="422">
        <v>800</v>
      </c>
      <c r="G41" s="432">
        <v>12</v>
      </c>
      <c r="H41" s="433">
        <f>E41*F41*G41</f>
        <v>9600</v>
      </c>
      <c r="I41" s="585"/>
      <c r="J41" s="598">
        <v>1</v>
      </c>
      <c r="K41" s="435">
        <f>F41*1.03</f>
        <v>824</v>
      </c>
      <c r="L41" s="434">
        <v>6</v>
      </c>
      <c r="M41" s="433">
        <f>J41*K41*L41</f>
        <v>4944</v>
      </c>
      <c r="N41" s="585"/>
      <c r="O41" s="568">
        <f>H41+M41</f>
        <v>14544</v>
      </c>
      <c r="P41" s="436"/>
      <c r="Q41" s="437"/>
      <c r="R41" s="437" t="s">
        <v>167</v>
      </c>
    </row>
    <row r="42" spans="1:18" s="324" customFormat="1" ht="13.15" customHeight="1" x14ac:dyDescent="0.3">
      <c r="B42" s="182" t="s">
        <v>236</v>
      </c>
      <c r="C42" s="155" t="s">
        <v>9</v>
      </c>
      <c r="D42" s="224" t="s">
        <v>108</v>
      </c>
      <c r="E42" s="225">
        <v>0.5</v>
      </c>
      <c r="F42" s="168">
        <v>3815</v>
      </c>
      <c r="G42" s="225">
        <v>12</v>
      </c>
      <c r="H42" s="321">
        <f>E42*F42*G42</f>
        <v>22890</v>
      </c>
      <c r="I42" s="585"/>
      <c r="J42" s="594">
        <v>0.5</v>
      </c>
      <c r="K42" s="338">
        <f>F42*1.03</f>
        <v>3929.4500000000003</v>
      </c>
      <c r="L42" s="322">
        <v>6</v>
      </c>
      <c r="M42" s="321">
        <f>J42*K42*L42</f>
        <v>11788.35</v>
      </c>
      <c r="N42" s="585"/>
      <c r="O42" s="564">
        <f>H42+M42</f>
        <v>34678.35</v>
      </c>
      <c r="P42" s="428"/>
      <c r="Q42" s="190"/>
      <c r="R42" s="190" t="s">
        <v>168</v>
      </c>
    </row>
    <row r="43" spans="1:18" s="324" customFormat="1" ht="13.15" customHeight="1" x14ac:dyDescent="0.3">
      <c r="B43" s="542" t="s">
        <v>372</v>
      </c>
      <c r="C43" s="406"/>
      <c r="D43" s="407"/>
      <c r="E43" s="408"/>
      <c r="F43" s="408"/>
      <c r="G43" s="408"/>
      <c r="H43" s="409"/>
      <c r="I43" s="329"/>
      <c r="J43" s="599"/>
      <c r="K43" s="426"/>
      <c r="L43" s="336"/>
      <c r="M43" s="556"/>
      <c r="N43" s="330"/>
      <c r="O43" s="569"/>
      <c r="P43" s="337"/>
      <c r="Q43" s="337"/>
      <c r="R43" s="335"/>
    </row>
    <row r="44" spans="1:18" s="416" customFormat="1" ht="13.15" customHeight="1" x14ac:dyDescent="0.3">
      <c r="A44" s="417"/>
      <c r="B44" s="246" t="s">
        <v>334</v>
      </c>
      <c r="C44" s="283" t="s">
        <v>13</v>
      </c>
      <c r="D44" s="394" t="s">
        <v>108</v>
      </c>
      <c r="E44" s="182">
        <v>1</v>
      </c>
      <c r="F44" s="171">
        <v>20800</v>
      </c>
      <c r="G44" s="182">
        <v>1</v>
      </c>
      <c r="H44" s="321">
        <f>E44*F44*G44</f>
        <v>20800</v>
      </c>
      <c r="I44" s="582"/>
      <c r="J44" s="594"/>
      <c r="K44" s="338"/>
      <c r="L44" s="322"/>
      <c r="M44" s="321">
        <f t="shared" ref="M44" si="7">J44*K44*L44</f>
        <v>0</v>
      </c>
      <c r="N44" s="582"/>
      <c r="O44" s="564">
        <f>H44+M44</f>
        <v>20800</v>
      </c>
      <c r="P44" s="323"/>
      <c r="Q44" s="392"/>
      <c r="R44" s="392" t="s">
        <v>109</v>
      </c>
    </row>
    <row r="45" spans="1:18" s="416" customFormat="1" ht="13.15" customHeight="1" x14ac:dyDescent="0.3">
      <c r="A45" s="417"/>
      <c r="B45" s="246" t="s">
        <v>335</v>
      </c>
      <c r="C45" s="283" t="s">
        <v>13</v>
      </c>
      <c r="D45" s="394" t="s">
        <v>108</v>
      </c>
      <c r="E45" s="182">
        <v>1</v>
      </c>
      <c r="F45" s="171">
        <v>21030</v>
      </c>
      <c r="G45" s="182">
        <v>1</v>
      </c>
      <c r="H45" s="321">
        <f>E45*F45*G45</f>
        <v>21030</v>
      </c>
      <c r="I45" s="582"/>
      <c r="J45" s="594"/>
      <c r="K45" s="338"/>
      <c r="L45" s="322"/>
      <c r="M45" s="321">
        <f>J45*K45*L45</f>
        <v>0</v>
      </c>
      <c r="N45" s="582"/>
      <c r="O45" s="564">
        <f>H45+M45</f>
        <v>21030</v>
      </c>
      <c r="P45" s="323"/>
      <c r="Q45" s="392"/>
      <c r="R45" s="392" t="s">
        <v>109</v>
      </c>
    </row>
    <row r="46" spans="1:18" s="324" customFormat="1" ht="13.15" customHeight="1" x14ac:dyDescent="0.3">
      <c r="B46" s="717" t="s">
        <v>373</v>
      </c>
      <c r="C46" s="410"/>
      <c r="D46" s="411"/>
      <c r="E46" s="412"/>
      <c r="F46" s="412"/>
      <c r="G46" s="412"/>
      <c r="H46" s="413"/>
      <c r="I46" s="329"/>
      <c r="J46" s="599"/>
      <c r="K46" s="426"/>
      <c r="L46" s="336"/>
      <c r="M46" s="556"/>
      <c r="N46" s="330"/>
      <c r="O46" s="569"/>
      <c r="P46" s="337"/>
      <c r="Q46" s="337"/>
      <c r="R46" s="335"/>
    </row>
    <row r="47" spans="1:18" s="324" customFormat="1" ht="13.15" customHeight="1" x14ac:dyDescent="0.3">
      <c r="A47" s="414"/>
      <c r="B47" s="405" t="s">
        <v>272</v>
      </c>
      <c r="C47" s="190"/>
      <c r="D47" s="273"/>
      <c r="E47" s="228"/>
      <c r="F47" s="306"/>
      <c r="G47" s="228"/>
      <c r="H47" s="280"/>
      <c r="I47" s="580"/>
      <c r="J47" s="600"/>
      <c r="K47" s="427"/>
      <c r="L47" s="228"/>
      <c r="M47" s="280"/>
      <c r="N47" s="580"/>
      <c r="O47" s="570"/>
      <c r="P47" s="275"/>
      <c r="Q47" s="228"/>
      <c r="R47" s="228"/>
    </row>
    <row r="48" spans="1:18" s="393" customFormat="1" ht="13.15" customHeight="1" x14ac:dyDescent="0.3">
      <c r="A48" s="528"/>
      <c r="B48" s="182" t="s">
        <v>273</v>
      </c>
      <c r="C48" s="283" t="s">
        <v>13</v>
      </c>
      <c r="D48" s="394" t="s">
        <v>108</v>
      </c>
      <c r="E48" s="182">
        <v>1</v>
      </c>
      <c r="F48" s="171">
        <v>34980</v>
      </c>
      <c r="G48" s="182">
        <v>1</v>
      </c>
      <c r="H48" s="321">
        <f t="shared" ref="H48:H49" si="8">E48*F48*G48</f>
        <v>34980</v>
      </c>
      <c r="I48" s="582"/>
      <c r="J48" s="594"/>
      <c r="K48" s="338"/>
      <c r="L48" s="322"/>
      <c r="M48" s="321">
        <f t="shared" ref="M48:M49" si="9">J48*K48*L48</f>
        <v>0</v>
      </c>
      <c r="N48" s="582"/>
      <c r="O48" s="564">
        <f t="shared" ref="O48:O49" si="10">H48+M48</f>
        <v>34980</v>
      </c>
      <c r="P48" s="323"/>
      <c r="Q48" s="392"/>
      <c r="R48" s="392" t="s">
        <v>110</v>
      </c>
    </row>
    <row r="49" spans="1:18" s="393" customFormat="1" ht="13.15" customHeight="1" x14ac:dyDescent="0.3">
      <c r="A49" s="418"/>
      <c r="B49" s="182" t="s">
        <v>274</v>
      </c>
      <c r="C49" s="283" t="s">
        <v>13</v>
      </c>
      <c r="D49" s="394" t="s">
        <v>108</v>
      </c>
      <c r="E49" s="182">
        <v>1</v>
      </c>
      <c r="F49" s="171">
        <v>34980</v>
      </c>
      <c r="G49" s="182">
        <v>1</v>
      </c>
      <c r="H49" s="321">
        <f t="shared" si="8"/>
        <v>34980</v>
      </c>
      <c r="I49" s="582"/>
      <c r="J49" s="594"/>
      <c r="K49" s="338"/>
      <c r="L49" s="322"/>
      <c r="M49" s="321">
        <f t="shared" si="9"/>
        <v>0</v>
      </c>
      <c r="N49" s="582"/>
      <c r="O49" s="564">
        <f t="shared" si="10"/>
        <v>34980</v>
      </c>
      <c r="P49" s="323"/>
      <c r="Q49" s="392"/>
      <c r="R49" s="392" t="s">
        <v>110</v>
      </c>
    </row>
    <row r="50" spans="1:18" s="324" customFormat="1" ht="13.15" customHeight="1" x14ac:dyDescent="0.3">
      <c r="B50" s="415" t="s">
        <v>275</v>
      </c>
      <c r="C50" s="171"/>
      <c r="D50" s="170"/>
      <c r="E50" s="419"/>
      <c r="F50" s="419"/>
      <c r="G50" s="419"/>
      <c r="H50" s="420"/>
      <c r="I50" s="329"/>
      <c r="J50" s="601"/>
      <c r="K50" s="425"/>
      <c r="L50" s="419"/>
      <c r="M50" s="420"/>
      <c r="N50" s="330"/>
      <c r="O50" s="571"/>
      <c r="P50" s="421"/>
      <c r="Q50" s="421"/>
      <c r="R50" s="259"/>
    </row>
    <row r="51" spans="1:18" s="326" customFormat="1" ht="13.15" customHeight="1" x14ac:dyDescent="0.3">
      <c r="B51" s="182" t="s">
        <v>276</v>
      </c>
      <c r="C51" s="283" t="s">
        <v>13</v>
      </c>
      <c r="D51" s="394" t="s">
        <v>108</v>
      </c>
      <c r="E51" s="182">
        <v>1</v>
      </c>
      <c r="F51" s="171">
        <v>4170</v>
      </c>
      <c r="G51" s="182">
        <v>1</v>
      </c>
      <c r="H51" s="321">
        <f>E51*F51*G51</f>
        <v>4170</v>
      </c>
      <c r="I51" s="582"/>
      <c r="J51" s="594"/>
      <c r="K51" s="338"/>
      <c r="L51" s="322"/>
      <c r="M51" s="321">
        <f>J51*K51*L51</f>
        <v>0</v>
      </c>
      <c r="N51" s="582"/>
      <c r="O51" s="564">
        <f>H51+M51</f>
        <v>4170</v>
      </c>
      <c r="P51" s="323"/>
      <c r="Q51" s="392"/>
      <c r="R51" s="392" t="s">
        <v>111</v>
      </c>
    </row>
    <row r="52" spans="1:18" s="324" customFormat="1" ht="13.15" customHeight="1" x14ac:dyDescent="0.3">
      <c r="B52" s="182" t="s">
        <v>277</v>
      </c>
      <c r="C52" s="283" t="s">
        <v>13</v>
      </c>
      <c r="D52" s="394" t="s">
        <v>108</v>
      </c>
      <c r="E52" s="182">
        <v>1</v>
      </c>
      <c r="F52" s="171">
        <v>250</v>
      </c>
      <c r="G52" s="182">
        <v>12</v>
      </c>
      <c r="H52" s="321">
        <f>E52*F52*G52</f>
        <v>3000</v>
      </c>
      <c r="I52" s="582"/>
      <c r="J52" s="602">
        <v>1</v>
      </c>
      <c r="K52" s="481">
        <v>250</v>
      </c>
      <c r="L52" s="182">
        <v>6</v>
      </c>
      <c r="M52" s="321">
        <f>J52*K52*L52</f>
        <v>1500</v>
      </c>
      <c r="N52" s="582"/>
      <c r="O52" s="564">
        <f>H52+M52</f>
        <v>4500</v>
      </c>
      <c r="P52" s="323"/>
      <c r="Q52" s="392"/>
      <c r="R52" s="392" t="s">
        <v>169</v>
      </c>
    </row>
    <row r="53" spans="1:18" s="324" customFormat="1" ht="13.15" customHeight="1" x14ac:dyDescent="0.3">
      <c r="B53" s="246" t="s">
        <v>376</v>
      </c>
      <c r="C53" s="171"/>
      <c r="D53" s="170"/>
      <c r="E53" s="419"/>
      <c r="F53" s="419"/>
      <c r="G53" s="419"/>
      <c r="H53" s="420"/>
      <c r="I53" s="329"/>
      <c r="J53" s="601"/>
      <c r="K53" s="425"/>
      <c r="L53" s="419"/>
      <c r="M53" s="420"/>
      <c r="N53" s="330"/>
      <c r="O53" s="571"/>
      <c r="P53" s="421"/>
      <c r="Q53" s="421"/>
      <c r="R53" s="259"/>
    </row>
    <row r="54" spans="1:18" s="278" customFormat="1" ht="13.15" customHeight="1" x14ac:dyDescent="0.3">
      <c r="B54" s="544" t="s">
        <v>347</v>
      </c>
      <c r="C54" s="283" t="s">
        <v>13</v>
      </c>
      <c r="D54" s="394" t="s">
        <v>108</v>
      </c>
      <c r="E54" s="182">
        <v>1</v>
      </c>
      <c r="F54" s="523">
        <v>967.53</v>
      </c>
      <c r="G54" s="182">
        <v>20</v>
      </c>
      <c r="H54" s="518">
        <f t="shared" ref="H54" si="11">E54*F54*G54</f>
        <v>19350.599999999999</v>
      </c>
      <c r="I54" s="583"/>
      <c r="J54" s="524"/>
      <c r="K54" s="525"/>
      <c r="L54" s="525"/>
      <c r="M54" s="518">
        <f t="shared" ref="M54" si="12">J54*K54*L54</f>
        <v>0</v>
      </c>
      <c r="N54" s="583"/>
      <c r="O54" s="521">
        <f t="shared" ref="O54" si="13">H54+M54</f>
        <v>19350.599999999999</v>
      </c>
      <c r="P54" s="522"/>
      <c r="Q54" s="272"/>
      <c r="R54" s="392" t="s">
        <v>169</v>
      </c>
    </row>
    <row r="55" spans="1:18" s="324" customFormat="1" ht="13.15" customHeight="1" x14ac:dyDescent="0.3">
      <c r="B55" s="182" t="s">
        <v>278</v>
      </c>
      <c r="C55" s="283" t="s">
        <v>13</v>
      </c>
      <c r="D55" s="394" t="s">
        <v>108</v>
      </c>
      <c r="E55" s="182">
        <v>1</v>
      </c>
      <c r="F55" s="171">
        <v>2000</v>
      </c>
      <c r="G55" s="182">
        <v>2</v>
      </c>
      <c r="H55" s="321">
        <f t="shared" ref="H55:H68" si="14">E55*F55*G55</f>
        <v>4000</v>
      </c>
      <c r="I55" s="582"/>
      <c r="J55" s="594"/>
      <c r="K55" s="338"/>
      <c r="L55" s="322"/>
      <c r="M55" s="321">
        <f t="shared" ref="M55:M68" si="15">J55*K55*L55</f>
        <v>0</v>
      </c>
      <c r="N55" s="582"/>
      <c r="O55" s="564">
        <f t="shared" ref="O55:O68" si="16">H55+M55</f>
        <v>4000</v>
      </c>
      <c r="P55" s="323"/>
      <c r="Q55" s="392"/>
      <c r="R55" s="392" t="s">
        <v>169</v>
      </c>
    </row>
    <row r="56" spans="1:18" s="324" customFormat="1" ht="13.15" customHeight="1" x14ac:dyDescent="0.3">
      <c r="B56" s="182" t="s">
        <v>279</v>
      </c>
      <c r="C56" s="283" t="s">
        <v>13</v>
      </c>
      <c r="D56" s="394" t="s">
        <v>108</v>
      </c>
      <c r="E56" s="182">
        <v>1</v>
      </c>
      <c r="F56" s="171">
        <v>350</v>
      </c>
      <c r="G56" s="182">
        <v>5</v>
      </c>
      <c r="H56" s="321">
        <f t="shared" si="14"/>
        <v>1750</v>
      </c>
      <c r="I56" s="582"/>
      <c r="J56" s="594"/>
      <c r="K56" s="338"/>
      <c r="L56" s="322"/>
      <c r="M56" s="321">
        <f t="shared" si="15"/>
        <v>0</v>
      </c>
      <c r="N56" s="582"/>
      <c r="O56" s="564">
        <f t="shared" si="16"/>
        <v>1750</v>
      </c>
      <c r="P56" s="323"/>
      <c r="Q56" s="392"/>
      <c r="R56" s="392" t="s">
        <v>169</v>
      </c>
    </row>
    <row r="57" spans="1:18" s="324" customFormat="1" ht="13.15" customHeight="1" x14ac:dyDescent="0.3">
      <c r="B57" s="182" t="s">
        <v>280</v>
      </c>
      <c r="C57" s="283" t="s">
        <v>13</v>
      </c>
      <c r="D57" s="394" t="s">
        <v>108</v>
      </c>
      <c r="E57" s="182">
        <v>1</v>
      </c>
      <c r="F57" s="171">
        <v>6000</v>
      </c>
      <c r="G57" s="182">
        <v>5</v>
      </c>
      <c r="H57" s="321">
        <f t="shared" si="14"/>
        <v>30000</v>
      </c>
      <c r="I57" s="582"/>
      <c r="J57" s="594"/>
      <c r="K57" s="338"/>
      <c r="L57" s="322"/>
      <c r="M57" s="321">
        <f t="shared" si="15"/>
        <v>0</v>
      </c>
      <c r="N57" s="582"/>
      <c r="O57" s="564">
        <f t="shared" si="16"/>
        <v>30000</v>
      </c>
      <c r="P57" s="323"/>
      <c r="Q57" s="392"/>
      <c r="R57" s="392" t="s">
        <v>169</v>
      </c>
    </row>
    <row r="58" spans="1:18" s="324" customFormat="1" ht="13.15" customHeight="1" x14ac:dyDescent="0.3">
      <c r="B58" s="182" t="s">
        <v>281</v>
      </c>
      <c r="C58" s="283" t="s">
        <v>13</v>
      </c>
      <c r="D58" s="394" t="s">
        <v>108</v>
      </c>
      <c r="E58" s="182">
        <v>1</v>
      </c>
      <c r="F58" s="171">
        <v>6000</v>
      </c>
      <c r="G58" s="182">
        <v>5</v>
      </c>
      <c r="H58" s="321">
        <f t="shared" si="14"/>
        <v>30000</v>
      </c>
      <c r="I58" s="582"/>
      <c r="J58" s="594"/>
      <c r="K58" s="338"/>
      <c r="L58" s="322"/>
      <c r="M58" s="321">
        <f t="shared" si="15"/>
        <v>0</v>
      </c>
      <c r="N58" s="582"/>
      <c r="O58" s="564">
        <f t="shared" si="16"/>
        <v>30000</v>
      </c>
      <c r="P58" s="323"/>
      <c r="Q58" s="392"/>
      <c r="R58" s="392" t="s">
        <v>169</v>
      </c>
    </row>
    <row r="59" spans="1:18" s="324" customFormat="1" ht="13.15" customHeight="1" x14ac:dyDescent="0.3">
      <c r="B59" s="182" t="s">
        <v>282</v>
      </c>
      <c r="C59" s="283" t="s">
        <v>13</v>
      </c>
      <c r="D59" s="394" t="s">
        <v>108</v>
      </c>
      <c r="E59" s="182">
        <v>1</v>
      </c>
      <c r="F59" s="171">
        <v>750</v>
      </c>
      <c r="G59" s="182">
        <v>5</v>
      </c>
      <c r="H59" s="321">
        <f t="shared" si="14"/>
        <v>3750</v>
      </c>
      <c r="I59" s="582"/>
      <c r="J59" s="594"/>
      <c r="K59" s="338"/>
      <c r="L59" s="322"/>
      <c r="M59" s="321">
        <f t="shared" si="15"/>
        <v>0</v>
      </c>
      <c r="N59" s="582"/>
      <c r="O59" s="564">
        <f t="shared" si="16"/>
        <v>3750</v>
      </c>
      <c r="P59" s="323"/>
      <c r="Q59" s="392"/>
      <c r="R59" s="392" t="s">
        <v>169</v>
      </c>
    </row>
    <row r="60" spans="1:18" s="324" customFormat="1" ht="13.15" customHeight="1" x14ac:dyDescent="0.3">
      <c r="B60" s="182" t="s">
        <v>283</v>
      </c>
      <c r="C60" s="283" t="s">
        <v>13</v>
      </c>
      <c r="D60" s="394" t="s">
        <v>108</v>
      </c>
      <c r="E60" s="182">
        <v>1</v>
      </c>
      <c r="F60" s="171">
        <v>100</v>
      </c>
      <c r="G60" s="182">
        <v>5</v>
      </c>
      <c r="H60" s="321">
        <f t="shared" si="14"/>
        <v>500</v>
      </c>
      <c r="I60" s="582"/>
      <c r="J60" s="594"/>
      <c r="K60" s="338"/>
      <c r="L60" s="322"/>
      <c r="M60" s="321">
        <f t="shared" si="15"/>
        <v>0</v>
      </c>
      <c r="N60" s="582"/>
      <c r="O60" s="564">
        <f t="shared" si="16"/>
        <v>500</v>
      </c>
      <c r="P60" s="323"/>
      <c r="Q60" s="392"/>
      <c r="R60" s="392" t="s">
        <v>169</v>
      </c>
    </row>
    <row r="61" spans="1:18" s="324" customFormat="1" ht="13.15" customHeight="1" x14ac:dyDescent="0.3">
      <c r="B61" s="182" t="s">
        <v>284</v>
      </c>
      <c r="C61" s="283" t="s">
        <v>13</v>
      </c>
      <c r="D61" s="394" t="s">
        <v>108</v>
      </c>
      <c r="E61" s="182">
        <v>1</v>
      </c>
      <c r="F61" s="171">
        <v>600</v>
      </c>
      <c r="G61" s="182">
        <v>5</v>
      </c>
      <c r="H61" s="321">
        <f t="shared" si="14"/>
        <v>3000</v>
      </c>
      <c r="I61" s="582"/>
      <c r="J61" s="594"/>
      <c r="K61" s="338"/>
      <c r="L61" s="322"/>
      <c r="M61" s="321">
        <f t="shared" si="15"/>
        <v>0</v>
      </c>
      <c r="N61" s="582"/>
      <c r="O61" s="564">
        <f t="shared" si="16"/>
        <v>3000</v>
      </c>
      <c r="P61" s="323"/>
      <c r="Q61" s="392"/>
      <c r="R61" s="392" t="s">
        <v>169</v>
      </c>
    </row>
    <row r="62" spans="1:18" s="324" customFormat="1" ht="13.15" customHeight="1" x14ac:dyDescent="0.3">
      <c r="B62" s="182" t="s">
        <v>285</v>
      </c>
      <c r="C62" s="283" t="s">
        <v>13</v>
      </c>
      <c r="D62" s="394" t="s">
        <v>108</v>
      </c>
      <c r="E62" s="182">
        <v>1</v>
      </c>
      <c r="F62" s="171">
        <v>500</v>
      </c>
      <c r="G62" s="182">
        <v>20</v>
      </c>
      <c r="H62" s="321">
        <f t="shared" si="14"/>
        <v>10000</v>
      </c>
      <c r="I62" s="582"/>
      <c r="J62" s="594"/>
      <c r="K62" s="338"/>
      <c r="L62" s="322"/>
      <c r="M62" s="321">
        <f t="shared" si="15"/>
        <v>0</v>
      </c>
      <c r="N62" s="582"/>
      <c r="O62" s="564">
        <f t="shared" si="16"/>
        <v>10000</v>
      </c>
      <c r="P62" s="323"/>
      <c r="Q62" s="392"/>
      <c r="R62" s="392" t="s">
        <v>169</v>
      </c>
    </row>
    <row r="63" spans="1:18" s="324" customFormat="1" ht="13.15" customHeight="1" x14ac:dyDescent="0.3">
      <c r="B63" s="182" t="s">
        <v>286</v>
      </c>
      <c r="C63" s="283" t="s">
        <v>13</v>
      </c>
      <c r="D63" s="394" t="s">
        <v>108</v>
      </c>
      <c r="E63" s="182">
        <v>1</v>
      </c>
      <c r="F63" s="171">
        <v>50</v>
      </c>
      <c r="G63" s="182">
        <v>20</v>
      </c>
      <c r="H63" s="321">
        <f t="shared" si="14"/>
        <v>1000</v>
      </c>
      <c r="I63" s="582"/>
      <c r="J63" s="594"/>
      <c r="K63" s="338"/>
      <c r="L63" s="322"/>
      <c r="M63" s="321">
        <f t="shared" si="15"/>
        <v>0</v>
      </c>
      <c r="N63" s="582"/>
      <c r="O63" s="564">
        <f t="shared" si="16"/>
        <v>1000</v>
      </c>
      <c r="P63" s="323"/>
      <c r="Q63" s="392"/>
      <c r="R63" s="392" t="s">
        <v>169</v>
      </c>
    </row>
    <row r="64" spans="1:18" s="324" customFormat="1" ht="13.15" customHeight="1" x14ac:dyDescent="0.3">
      <c r="B64" s="182" t="s">
        <v>287</v>
      </c>
      <c r="C64" s="283" t="s">
        <v>13</v>
      </c>
      <c r="D64" s="394" t="s">
        <v>108</v>
      </c>
      <c r="E64" s="182">
        <v>240</v>
      </c>
      <c r="F64" s="171">
        <v>12</v>
      </c>
      <c r="G64" s="182">
        <v>1</v>
      </c>
      <c r="H64" s="321">
        <f t="shared" si="14"/>
        <v>2880</v>
      </c>
      <c r="I64" s="582"/>
      <c r="J64" s="594"/>
      <c r="K64" s="338"/>
      <c r="L64" s="322"/>
      <c r="M64" s="321">
        <f t="shared" si="15"/>
        <v>0</v>
      </c>
      <c r="N64" s="582"/>
      <c r="O64" s="564">
        <f t="shared" si="16"/>
        <v>2880</v>
      </c>
      <c r="P64" s="323"/>
      <c r="Q64" s="392"/>
      <c r="R64" s="392" t="s">
        <v>169</v>
      </c>
    </row>
    <row r="65" spans="1:18" s="324" customFormat="1" ht="13.15" customHeight="1" x14ac:dyDescent="0.3">
      <c r="B65" s="182" t="s">
        <v>288</v>
      </c>
      <c r="C65" s="283" t="s">
        <v>13</v>
      </c>
      <c r="D65" s="394" t="s">
        <v>108</v>
      </c>
      <c r="E65" s="182">
        <v>1</v>
      </c>
      <c r="F65" s="171">
        <v>300</v>
      </c>
      <c r="G65" s="182">
        <v>20</v>
      </c>
      <c r="H65" s="321">
        <f t="shared" si="14"/>
        <v>6000</v>
      </c>
      <c r="I65" s="582"/>
      <c r="J65" s="594"/>
      <c r="K65" s="338"/>
      <c r="L65" s="322"/>
      <c r="M65" s="321">
        <f t="shared" si="15"/>
        <v>0</v>
      </c>
      <c r="N65" s="582"/>
      <c r="O65" s="564">
        <f t="shared" si="16"/>
        <v>6000</v>
      </c>
      <c r="P65" s="323"/>
      <c r="Q65" s="392"/>
      <c r="R65" s="392" t="s">
        <v>169</v>
      </c>
    </row>
    <row r="66" spans="1:18" s="324" customFormat="1" ht="13.15" customHeight="1" x14ac:dyDescent="0.3">
      <c r="B66" s="182" t="s">
        <v>289</v>
      </c>
      <c r="C66" s="283" t="s">
        <v>13</v>
      </c>
      <c r="D66" s="394" t="s">
        <v>108</v>
      </c>
      <c r="E66" s="182">
        <v>1</v>
      </c>
      <c r="F66" s="171">
        <v>4500</v>
      </c>
      <c r="G66" s="182">
        <v>5</v>
      </c>
      <c r="H66" s="321">
        <f t="shared" si="14"/>
        <v>22500</v>
      </c>
      <c r="I66" s="582"/>
      <c r="J66" s="594"/>
      <c r="K66" s="338"/>
      <c r="L66" s="322"/>
      <c r="M66" s="321">
        <f t="shared" si="15"/>
        <v>0</v>
      </c>
      <c r="N66" s="582"/>
      <c r="O66" s="564">
        <f t="shared" si="16"/>
        <v>22500</v>
      </c>
      <c r="P66" s="323"/>
      <c r="Q66" s="392"/>
      <c r="R66" s="392" t="s">
        <v>169</v>
      </c>
    </row>
    <row r="67" spans="1:18" s="324" customFormat="1" ht="13.15" customHeight="1" x14ac:dyDescent="0.3">
      <c r="B67" s="182" t="s">
        <v>290</v>
      </c>
      <c r="C67" s="283" t="s">
        <v>13</v>
      </c>
      <c r="D67" s="394" t="s">
        <v>108</v>
      </c>
      <c r="E67" s="182">
        <v>1</v>
      </c>
      <c r="F67" s="171">
        <v>250</v>
      </c>
      <c r="G67" s="182">
        <v>25</v>
      </c>
      <c r="H67" s="321">
        <f t="shared" si="14"/>
        <v>6250</v>
      </c>
      <c r="I67" s="582"/>
      <c r="J67" s="594"/>
      <c r="K67" s="338"/>
      <c r="L67" s="322"/>
      <c r="M67" s="321">
        <f t="shared" si="15"/>
        <v>0</v>
      </c>
      <c r="N67" s="582"/>
      <c r="O67" s="564">
        <f t="shared" si="16"/>
        <v>6250</v>
      </c>
      <c r="P67" s="323"/>
      <c r="Q67" s="392"/>
      <c r="R67" s="392" t="s">
        <v>169</v>
      </c>
    </row>
    <row r="68" spans="1:18" s="326" customFormat="1" ht="13.15" customHeight="1" x14ac:dyDescent="0.3">
      <c r="B68" s="182" t="s">
        <v>291</v>
      </c>
      <c r="C68" s="283" t="s">
        <v>13</v>
      </c>
      <c r="D68" s="394" t="s">
        <v>108</v>
      </c>
      <c r="E68" s="182">
        <v>1</v>
      </c>
      <c r="F68" s="171">
        <v>1000</v>
      </c>
      <c r="G68" s="182">
        <v>1</v>
      </c>
      <c r="H68" s="321">
        <f t="shared" si="14"/>
        <v>1000</v>
      </c>
      <c r="I68" s="582"/>
      <c r="J68" s="602"/>
      <c r="K68" s="481"/>
      <c r="L68" s="182"/>
      <c r="M68" s="321">
        <f t="shared" si="15"/>
        <v>0</v>
      </c>
      <c r="N68" s="582"/>
      <c r="O68" s="564">
        <f t="shared" si="16"/>
        <v>1000</v>
      </c>
      <c r="P68" s="323"/>
      <c r="Q68" s="392"/>
      <c r="R68" s="392" t="s">
        <v>169</v>
      </c>
    </row>
    <row r="69" spans="1:18" s="152" customFormat="1" ht="13.15" customHeight="1" x14ac:dyDescent="0.3">
      <c r="A69" s="326"/>
      <c r="B69" s="260" t="s">
        <v>377</v>
      </c>
      <c r="C69" s="253"/>
      <c r="D69" s="451"/>
      <c r="E69" s="255"/>
      <c r="F69" s="255"/>
      <c r="G69" s="255"/>
      <c r="H69" s="255"/>
      <c r="I69" s="251"/>
      <c r="J69" s="255"/>
      <c r="K69" s="482"/>
      <c r="L69" s="255"/>
      <c r="M69" s="255"/>
      <c r="N69" s="252"/>
      <c r="O69" s="572"/>
      <c r="P69" s="257"/>
      <c r="Q69" s="257"/>
      <c r="R69" s="258"/>
    </row>
    <row r="70" spans="1:18" s="324" customFormat="1" ht="12.65" customHeight="1" x14ac:dyDescent="0.3">
      <c r="B70" s="182" t="s">
        <v>379</v>
      </c>
      <c r="C70" s="173"/>
      <c r="D70" s="224"/>
      <c r="E70" s="225"/>
      <c r="F70" s="168"/>
      <c r="G70" s="225"/>
      <c r="H70" s="321"/>
      <c r="I70" s="584"/>
      <c r="J70" s="594"/>
      <c r="K70" s="338"/>
      <c r="L70" s="322"/>
      <c r="M70" s="321"/>
      <c r="N70" s="584"/>
      <c r="O70" s="564"/>
      <c r="P70" s="323"/>
      <c r="Q70" s="174"/>
      <c r="R70" s="174" t="s">
        <v>115</v>
      </c>
    </row>
    <row r="71" spans="1:18" s="324" customFormat="1" ht="13.15" customHeight="1" x14ac:dyDescent="0.3">
      <c r="B71" s="182" t="s">
        <v>292</v>
      </c>
      <c r="C71" s="283" t="s">
        <v>13</v>
      </c>
      <c r="D71" s="394" t="s">
        <v>108</v>
      </c>
      <c r="E71" s="182">
        <v>1</v>
      </c>
      <c r="F71" s="171">
        <v>5600</v>
      </c>
      <c r="G71" s="182">
        <v>1</v>
      </c>
      <c r="H71" s="321">
        <f>E71*F71*G71</f>
        <v>5600</v>
      </c>
      <c r="I71" s="582"/>
      <c r="J71" s="594">
        <v>1</v>
      </c>
      <c r="K71" s="338">
        <v>2100</v>
      </c>
      <c r="L71" s="322">
        <v>1</v>
      </c>
      <c r="M71" s="321">
        <f t="shared" ref="M71:M81" si="17">J71*K71*L71</f>
        <v>2100</v>
      </c>
      <c r="N71" s="582"/>
      <c r="O71" s="564">
        <f t="shared" ref="O71:O81" si="18">H71+M71</f>
        <v>7700</v>
      </c>
      <c r="P71" s="323"/>
      <c r="Q71" s="392"/>
      <c r="R71" s="392" t="s">
        <v>172</v>
      </c>
    </row>
    <row r="72" spans="1:18" s="326" customFormat="1" ht="13.15" customHeight="1" x14ac:dyDescent="0.3">
      <c r="B72" s="182" t="s">
        <v>293</v>
      </c>
      <c r="C72" s="283" t="s">
        <v>13</v>
      </c>
      <c r="D72" s="394" t="s">
        <v>108</v>
      </c>
      <c r="E72" s="182">
        <v>1</v>
      </c>
      <c r="F72" s="171">
        <v>4320</v>
      </c>
      <c r="G72" s="182">
        <v>1</v>
      </c>
      <c r="H72" s="321">
        <f t="shared" ref="H72:H74" si="19">E72*F72*G72</f>
        <v>4320</v>
      </c>
      <c r="I72" s="582"/>
      <c r="J72" s="594">
        <v>1</v>
      </c>
      <c r="K72" s="338">
        <v>2160</v>
      </c>
      <c r="L72" s="322">
        <v>1</v>
      </c>
      <c r="M72" s="321">
        <f t="shared" si="17"/>
        <v>2160</v>
      </c>
      <c r="N72" s="582"/>
      <c r="O72" s="564">
        <f t="shared" si="18"/>
        <v>6480</v>
      </c>
      <c r="P72" s="323"/>
      <c r="Q72" s="392"/>
      <c r="R72" s="392" t="s">
        <v>173</v>
      </c>
    </row>
    <row r="73" spans="1:18" s="393" customFormat="1" ht="13.15" customHeight="1" x14ac:dyDescent="0.3">
      <c r="B73" s="182" t="s">
        <v>294</v>
      </c>
      <c r="C73" s="182"/>
      <c r="D73" s="394" t="s">
        <v>108</v>
      </c>
      <c r="E73" s="182">
        <v>1</v>
      </c>
      <c r="F73" s="171">
        <v>3608</v>
      </c>
      <c r="G73" s="182">
        <v>1</v>
      </c>
      <c r="H73" s="321">
        <f t="shared" si="19"/>
        <v>3608</v>
      </c>
      <c r="I73" s="582"/>
      <c r="J73" s="594"/>
      <c r="K73" s="338"/>
      <c r="L73" s="322"/>
      <c r="M73" s="321"/>
      <c r="N73" s="582"/>
      <c r="O73" s="564">
        <f t="shared" si="18"/>
        <v>3608</v>
      </c>
      <c r="P73" s="323"/>
      <c r="Q73" s="392"/>
      <c r="R73" s="392"/>
    </row>
    <row r="74" spans="1:18" s="515" customFormat="1" ht="13.15" customHeight="1" x14ac:dyDescent="0.3">
      <c r="B74" s="182" t="s">
        <v>295</v>
      </c>
      <c r="C74" s="283" t="s">
        <v>13</v>
      </c>
      <c r="D74" s="394" t="s">
        <v>108</v>
      </c>
      <c r="E74" s="182">
        <v>1</v>
      </c>
      <c r="F74" s="171">
        <v>4320</v>
      </c>
      <c r="G74" s="182">
        <v>1</v>
      </c>
      <c r="H74" s="321">
        <f t="shared" si="19"/>
        <v>4320</v>
      </c>
      <c r="I74" s="582"/>
      <c r="J74" s="594">
        <v>1</v>
      </c>
      <c r="K74" s="338">
        <v>2160</v>
      </c>
      <c r="L74" s="322">
        <v>1</v>
      </c>
      <c r="M74" s="321">
        <f t="shared" si="17"/>
        <v>2160</v>
      </c>
      <c r="N74" s="582"/>
      <c r="O74" s="564">
        <f t="shared" si="18"/>
        <v>6480</v>
      </c>
      <c r="P74" s="323"/>
      <c r="Q74" s="392"/>
      <c r="R74" s="392" t="s">
        <v>116</v>
      </c>
    </row>
    <row r="75" spans="1:18" s="393" customFormat="1" ht="13.15" customHeight="1" x14ac:dyDescent="0.3">
      <c r="B75" s="182" t="s">
        <v>296</v>
      </c>
      <c r="C75" s="283"/>
      <c r="D75" s="394"/>
      <c r="E75" s="182"/>
      <c r="F75" s="171"/>
      <c r="G75" s="182"/>
      <c r="H75" s="321"/>
      <c r="I75" s="582"/>
      <c r="J75" s="594"/>
      <c r="K75" s="338"/>
      <c r="L75" s="322"/>
      <c r="M75" s="321"/>
      <c r="N75" s="582"/>
      <c r="O75" s="564"/>
      <c r="P75" s="323"/>
      <c r="Q75" s="392"/>
      <c r="R75" s="392"/>
    </row>
    <row r="76" spans="1:18" s="515" customFormat="1" ht="13.15" customHeight="1" x14ac:dyDescent="0.3">
      <c r="B76" s="182" t="s">
        <v>297</v>
      </c>
      <c r="C76" s="283" t="s">
        <v>13</v>
      </c>
      <c r="D76" s="394" t="s">
        <v>108</v>
      </c>
      <c r="E76" s="182">
        <v>1</v>
      </c>
      <c r="F76" s="171">
        <v>5174</v>
      </c>
      <c r="G76" s="182">
        <v>1</v>
      </c>
      <c r="H76" s="321">
        <f t="shared" ref="H76:H81" si="20">E76*F76*G76</f>
        <v>5174</v>
      </c>
      <c r="I76" s="582"/>
      <c r="J76" s="594">
        <v>1</v>
      </c>
      <c r="K76" s="338">
        <v>3774</v>
      </c>
      <c r="L76" s="322">
        <v>1</v>
      </c>
      <c r="M76" s="321">
        <f t="shared" si="17"/>
        <v>3774</v>
      </c>
      <c r="N76" s="582"/>
      <c r="O76" s="564">
        <f t="shared" si="18"/>
        <v>8948</v>
      </c>
      <c r="P76" s="323"/>
      <c r="Q76" s="392"/>
      <c r="R76" s="392" t="s">
        <v>117</v>
      </c>
    </row>
    <row r="77" spans="1:18" s="515" customFormat="1" ht="13.15" customHeight="1" x14ac:dyDescent="0.3">
      <c r="B77" s="182" t="s">
        <v>298</v>
      </c>
      <c r="C77" s="283" t="s">
        <v>13</v>
      </c>
      <c r="D77" s="394" t="s">
        <v>108</v>
      </c>
      <c r="E77" s="182">
        <v>1</v>
      </c>
      <c r="F77" s="171">
        <v>8540</v>
      </c>
      <c r="G77" s="182">
        <v>1</v>
      </c>
      <c r="H77" s="321">
        <f t="shared" si="20"/>
        <v>8540</v>
      </c>
      <c r="I77" s="582"/>
      <c r="J77" s="594">
        <v>1</v>
      </c>
      <c r="K77" s="338">
        <v>4270</v>
      </c>
      <c r="L77" s="322">
        <v>1</v>
      </c>
      <c r="M77" s="321">
        <f t="shared" si="17"/>
        <v>4270</v>
      </c>
      <c r="N77" s="582"/>
      <c r="O77" s="564">
        <f t="shared" si="18"/>
        <v>12810</v>
      </c>
      <c r="P77" s="323"/>
      <c r="Q77" s="392"/>
      <c r="R77" s="392" t="s">
        <v>111</v>
      </c>
    </row>
    <row r="78" spans="1:18" s="515" customFormat="1" ht="13.15" customHeight="1" x14ac:dyDescent="0.3">
      <c r="B78" s="182" t="s">
        <v>299</v>
      </c>
      <c r="C78" s="283" t="s">
        <v>13</v>
      </c>
      <c r="D78" s="394" t="s">
        <v>108</v>
      </c>
      <c r="E78" s="182">
        <v>1</v>
      </c>
      <c r="F78" s="171">
        <v>8340</v>
      </c>
      <c r="G78" s="182">
        <v>1</v>
      </c>
      <c r="H78" s="321">
        <f t="shared" si="20"/>
        <v>8340</v>
      </c>
      <c r="I78" s="582"/>
      <c r="J78" s="594">
        <v>1</v>
      </c>
      <c r="K78" s="338">
        <v>4170</v>
      </c>
      <c r="L78" s="322">
        <v>1</v>
      </c>
      <c r="M78" s="321">
        <f t="shared" si="17"/>
        <v>4170</v>
      </c>
      <c r="N78" s="582"/>
      <c r="O78" s="564">
        <f t="shared" si="18"/>
        <v>12510</v>
      </c>
      <c r="P78" s="323"/>
      <c r="Q78" s="392"/>
      <c r="R78" s="392" t="s">
        <v>111</v>
      </c>
    </row>
    <row r="79" spans="1:18" s="515" customFormat="1" ht="13.15" customHeight="1" x14ac:dyDescent="0.3">
      <c r="B79" s="182" t="s">
        <v>118</v>
      </c>
      <c r="C79" s="283" t="s">
        <v>13</v>
      </c>
      <c r="D79" s="394" t="s">
        <v>108</v>
      </c>
      <c r="E79" s="182">
        <v>1</v>
      </c>
      <c r="F79" s="171">
        <v>800</v>
      </c>
      <c r="G79" s="182">
        <v>12</v>
      </c>
      <c r="H79" s="321">
        <f t="shared" si="20"/>
        <v>9600</v>
      </c>
      <c r="I79" s="582"/>
      <c r="J79" s="594">
        <v>1</v>
      </c>
      <c r="K79" s="338">
        <f>F79*1.03</f>
        <v>824</v>
      </c>
      <c r="L79" s="322">
        <v>6</v>
      </c>
      <c r="M79" s="321">
        <f t="shared" si="17"/>
        <v>4944</v>
      </c>
      <c r="N79" s="582"/>
      <c r="O79" s="564">
        <f t="shared" si="18"/>
        <v>14544</v>
      </c>
      <c r="P79" s="323"/>
      <c r="Q79" s="392"/>
      <c r="R79" s="392" t="s">
        <v>119</v>
      </c>
    </row>
    <row r="80" spans="1:18" s="515" customFormat="1" ht="13.15" customHeight="1" x14ac:dyDescent="0.3">
      <c r="B80" s="182" t="s">
        <v>120</v>
      </c>
      <c r="C80" s="283" t="s">
        <v>13</v>
      </c>
      <c r="D80" s="394" t="s">
        <v>108</v>
      </c>
      <c r="E80" s="182">
        <v>4</v>
      </c>
      <c r="F80" s="171">
        <v>300</v>
      </c>
      <c r="G80" s="182">
        <v>12</v>
      </c>
      <c r="H80" s="321">
        <f t="shared" si="20"/>
        <v>14400</v>
      </c>
      <c r="I80" s="582"/>
      <c r="J80" s="594">
        <v>4</v>
      </c>
      <c r="K80" s="338">
        <f>300*1.03</f>
        <v>309</v>
      </c>
      <c r="L80" s="322">
        <v>6</v>
      </c>
      <c r="M80" s="321">
        <f t="shared" si="17"/>
        <v>7416</v>
      </c>
      <c r="N80" s="582"/>
      <c r="O80" s="564">
        <f t="shared" si="18"/>
        <v>21816</v>
      </c>
      <c r="P80" s="323"/>
      <c r="Q80" s="392"/>
      <c r="R80" s="392" t="s">
        <v>119</v>
      </c>
    </row>
    <row r="81" spans="1:22" s="278" customFormat="1" ht="13.15" customHeight="1" x14ac:dyDescent="0.3">
      <c r="B81" s="546" t="s">
        <v>348</v>
      </c>
      <c r="C81" s="282" t="s">
        <v>9</v>
      </c>
      <c r="D81" s="512" t="s">
        <v>108</v>
      </c>
      <c r="E81" s="512">
        <v>1</v>
      </c>
      <c r="F81" s="511">
        <f>3762.5*30%</f>
        <v>1128.75</v>
      </c>
      <c r="G81" s="512">
        <v>12</v>
      </c>
      <c r="H81" s="518">
        <f t="shared" si="20"/>
        <v>13545</v>
      </c>
      <c r="I81" s="583"/>
      <c r="J81" s="519">
        <v>1</v>
      </c>
      <c r="K81" s="520">
        <f t="shared" ref="K81" si="21">F81*1.03</f>
        <v>1162.6125</v>
      </c>
      <c r="L81" s="512">
        <v>6</v>
      </c>
      <c r="M81" s="518">
        <f t="shared" si="17"/>
        <v>6975.6749999999993</v>
      </c>
      <c r="N81" s="583"/>
      <c r="O81" s="521">
        <f t="shared" si="18"/>
        <v>20520.674999999999</v>
      </c>
      <c r="P81" s="522"/>
      <c r="Q81" s="272"/>
      <c r="R81" s="272"/>
    </row>
    <row r="82" spans="1:22" s="324" customFormat="1" ht="13.15" customHeight="1" x14ac:dyDescent="0.3">
      <c r="A82" s="393"/>
      <c r="B82" s="173" t="s">
        <v>178</v>
      </c>
      <c r="C82" s="155" t="s">
        <v>88</v>
      </c>
      <c r="D82" s="224" t="s">
        <v>108</v>
      </c>
      <c r="E82" s="225">
        <v>4</v>
      </c>
      <c r="F82" s="170">
        <f>70*5</f>
        <v>350</v>
      </c>
      <c r="G82" s="225">
        <v>7</v>
      </c>
      <c r="H82" s="321">
        <f>E82*F82*G82</f>
        <v>9800</v>
      </c>
      <c r="I82" s="586"/>
      <c r="J82" s="594">
        <v>4</v>
      </c>
      <c r="K82" s="338">
        <f>70*5</f>
        <v>350</v>
      </c>
      <c r="L82" s="322">
        <v>3</v>
      </c>
      <c r="M82" s="321">
        <f>J82*K82*L82</f>
        <v>4200</v>
      </c>
      <c r="N82" s="584"/>
      <c r="O82" s="564">
        <f>H82+M82</f>
        <v>14000</v>
      </c>
      <c r="P82" s="323"/>
      <c r="Q82" s="174"/>
      <c r="R82" s="174"/>
    </row>
    <row r="83" spans="1:22" s="324" customFormat="1" ht="13.15" customHeight="1" x14ac:dyDescent="0.3">
      <c r="B83" s="173" t="s">
        <v>174</v>
      </c>
      <c r="C83" s="155" t="s">
        <v>12</v>
      </c>
      <c r="D83" s="224" t="s">
        <v>108</v>
      </c>
      <c r="E83" s="340">
        <v>1</v>
      </c>
      <c r="F83" s="341">
        <v>300</v>
      </c>
      <c r="G83" s="340">
        <v>2</v>
      </c>
      <c r="H83" s="321">
        <f t="shared" ref="H83:H87" si="22">E83*F83*G83</f>
        <v>600</v>
      </c>
      <c r="I83" s="586"/>
      <c r="J83" s="603">
        <v>1</v>
      </c>
      <c r="K83" s="358">
        <v>300</v>
      </c>
      <c r="L83" s="340">
        <v>1</v>
      </c>
      <c r="M83" s="321">
        <f t="shared" ref="M83:M87" si="23">J83*K83*L83</f>
        <v>300</v>
      </c>
      <c r="N83" s="586"/>
      <c r="O83" s="564">
        <f t="shared" ref="O83:O87" si="24">H83+M83</f>
        <v>900</v>
      </c>
      <c r="P83" s="323"/>
      <c r="Q83" s="174"/>
      <c r="R83" s="174"/>
    </row>
    <row r="84" spans="1:22" s="324" customFormat="1" ht="13.15" customHeight="1" x14ac:dyDescent="0.3">
      <c r="B84" s="173" t="s">
        <v>175</v>
      </c>
      <c r="C84" s="155" t="s">
        <v>12</v>
      </c>
      <c r="D84" s="224" t="s">
        <v>108</v>
      </c>
      <c r="E84" s="340">
        <v>1</v>
      </c>
      <c r="F84" s="341">
        <v>300</v>
      </c>
      <c r="G84" s="340">
        <v>2</v>
      </c>
      <c r="H84" s="321">
        <f t="shared" si="22"/>
        <v>600</v>
      </c>
      <c r="I84" s="586"/>
      <c r="J84" s="603">
        <v>1</v>
      </c>
      <c r="K84" s="358">
        <v>300</v>
      </c>
      <c r="L84" s="340">
        <v>1</v>
      </c>
      <c r="M84" s="321">
        <f t="shared" si="23"/>
        <v>300</v>
      </c>
      <c r="N84" s="586"/>
      <c r="O84" s="564">
        <f t="shared" si="24"/>
        <v>900</v>
      </c>
      <c r="P84" s="323"/>
      <c r="Q84" s="174"/>
      <c r="R84" s="174"/>
    </row>
    <row r="85" spans="1:22" s="324" customFormat="1" ht="13.15" customHeight="1" x14ac:dyDescent="0.3">
      <c r="B85" s="173" t="s">
        <v>176</v>
      </c>
      <c r="C85" s="155" t="s">
        <v>12</v>
      </c>
      <c r="D85" s="224" t="s">
        <v>108</v>
      </c>
      <c r="E85" s="340">
        <v>1</v>
      </c>
      <c r="F85" s="341">
        <v>300</v>
      </c>
      <c r="G85" s="340">
        <v>2</v>
      </c>
      <c r="H85" s="321">
        <f t="shared" si="22"/>
        <v>600</v>
      </c>
      <c r="I85" s="586"/>
      <c r="J85" s="603">
        <v>1</v>
      </c>
      <c r="K85" s="358">
        <v>300</v>
      </c>
      <c r="L85" s="340">
        <v>1</v>
      </c>
      <c r="M85" s="321">
        <f t="shared" si="23"/>
        <v>300</v>
      </c>
      <c r="N85" s="586"/>
      <c r="O85" s="564">
        <f t="shared" si="24"/>
        <v>900</v>
      </c>
      <c r="P85" s="323"/>
      <c r="Q85" s="174"/>
      <c r="R85" s="174"/>
    </row>
    <row r="86" spans="1:22" s="324" customFormat="1" ht="13.15" customHeight="1" x14ac:dyDescent="0.3">
      <c r="B86" s="173" t="s">
        <v>177</v>
      </c>
      <c r="C86" s="155" t="s">
        <v>12</v>
      </c>
      <c r="D86" s="224" t="s">
        <v>108</v>
      </c>
      <c r="E86" s="340">
        <v>6</v>
      </c>
      <c r="F86" s="341">
        <v>30</v>
      </c>
      <c r="G86" s="340">
        <v>12</v>
      </c>
      <c r="H86" s="321">
        <f t="shared" si="22"/>
        <v>2160</v>
      </c>
      <c r="I86" s="586"/>
      <c r="J86" s="603">
        <v>6</v>
      </c>
      <c r="K86" s="358">
        <v>30</v>
      </c>
      <c r="L86" s="340">
        <v>6</v>
      </c>
      <c r="M86" s="321">
        <f t="shared" si="23"/>
        <v>1080</v>
      </c>
      <c r="N86" s="584"/>
      <c r="O86" s="564">
        <f t="shared" si="24"/>
        <v>3240</v>
      </c>
      <c r="P86" s="323"/>
      <c r="Q86" s="174"/>
      <c r="R86" s="174"/>
    </row>
    <row r="87" spans="1:22" s="324" customFormat="1" ht="13.15" customHeight="1" x14ac:dyDescent="0.3">
      <c r="B87" s="173" t="s">
        <v>218</v>
      </c>
      <c r="C87" s="155" t="s">
        <v>12</v>
      </c>
      <c r="D87" s="224" t="s">
        <v>108</v>
      </c>
      <c r="E87" s="340">
        <v>3</v>
      </c>
      <c r="F87" s="341">
        <v>30</v>
      </c>
      <c r="G87" s="340">
        <v>12</v>
      </c>
      <c r="H87" s="321">
        <f t="shared" si="22"/>
        <v>1080</v>
      </c>
      <c r="I87" s="586"/>
      <c r="J87" s="603">
        <v>3</v>
      </c>
      <c r="K87" s="358">
        <v>30</v>
      </c>
      <c r="L87" s="340">
        <v>6</v>
      </c>
      <c r="M87" s="321">
        <f t="shared" si="23"/>
        <v>540</v>
      </c>
      <c r="N87" s="584"/>
      <c r="O87" s="564">
        <f t="shared" si="24"/>
        <v>1620</v>
      </c>
      <c r="P87" s="323"/>
      <c r="Q87" s="174"/>
      <c r="R87" s="174"/>
    </row>
    <row r="88" spans="1:22" s="393" customFormat="1" ht="13.15" customHeight="1" x14ac:dyDescent="0.3">
      <c r="B88" s="182" t="s">
        <v>217</v>
      </c>
      <c r="C88" s="283" t="s">
        <v>216</v>
      </c>
      <c r="D88" s="394" t="s">
        <v>108</v>
      </c>
      <c r="E88" s="182">
        <v>1</v>
      </c>
      <c r="F88" s="171">
        <v>893</v>
      </c>
      <c r="G88" s="182">
        <v>12</v>
      </c>
      <c r="H88" s="321">
        <f>E88*F88*G88</f>
        <v>10716</v>
      </c>
      <c r="I88" s="606"/>
      <c r="J88" s="604">
        <v>1</v>
      </c>
      <c r="K88" s="441">
        <f>F88*1.03</f>
        <v>919.79000000000008</v>
      </c>
      <c r="L88" s="396">
        <v>6</v>
      </c>
      <c r="M88" s="321">
        <f>J88*K88*L88</f>
        <v>5518.7400000000007</v>
      </c>
      <c r="N88" s="582"/>
      <c r="O88" s="564">
        <f>H88+M88</f>
        <v>16234.740000000002</v>
      </c>
      <c r="P88" s="323"/>
      <c r="Q88" s="392"/>
      <c r="R88" s="392"/>
    </row>
    <row r="89" spans="1:22" s="324" customFormat="1" ht="13.15" customHeight="1" x14ac:dyDescent="0.3">
      <c r="B89" s="247" t="s">
        <v>352</v>
      </c>
      <c r="C89" s="283" t="s">
        <v>9</v>
      </c>
      <c r="D89" s="396" t="s">
        <v>108</v>
      </c>
      <c r="E89" s="396">
        <v>0.1</v>
      </c>
      <c r="F89" s="397">
        <f>5157</f>
        <v>5157</v>
      </c>
      <c r="G89" s="396">
        <v>12</v>
      </c>
      <c r="H89" s="321">
        <f t="shared" ref="H89" si="25">E89*F89*G89</f>
        <v>6188.4000000000005</v>
      </c>
      <c r="I89" s="584"/>
      <c r="J89" s="604">
        <v>0.5</v>
      </c>
      <c r="K89" s="441">
        <f>5157*20%</f>
        <v>1031.4000000000001</v>
      </c>
      <c r="L89" s="396">
        <v>6</v>
      </c>
      <c r="M89" s="321">
        <f t="shared" ref="M89" si="26">J89*K89*L89</f>
        <v>3094.2000000000003</v>
      </c>
      <c r="N89" s="584"/>
      <c r="O89" s="564">
        <f t="shared" ref="O89" si="27">H89+M89</f>
        <v>9282.6</v>
      </c>
      <c r="P89" s="323"/>
      <c r="Q89" s="392"/>
      <c r="R89" s="392"/>
    </row>
    <row r="90" spans="1:22" s="324" customFormat="1" ht="13.15" customHeight="1" x14ac:dyDescent="0.3">
      <c r="B90" s="274" t="s">
        <v>231</v>
      </c>
      <c r="C90" s="486"/>
      <c r="D90" s="470"/>
      <c r="E90" s="470"/>
      <c r="F90" s="470"/>
      <c r="G90" s="470"/>
      <c r="H90" s="557">
        <f>SUM(H41:H89)</f>
        <v>402622</v>
      </c>
      <c r="I90" s="232"/>
      <c r="J90" s="486"/>
      <c r="K90" s="483"/>
      <c r="L90" s="470"/>
      <c r="M90" s="557">
        <f>SUM(M41:M89)</f>
        <v>71534.964999999997</v>
      </c>
      <c r="N90" s="232"/>
      <c r="O90" s="565">
        <f>H90+M90</f>
        <v>474156.96499999997</v>
      </c>
      <c r="P90" s="342"/>
      <c r="Q90" s="343"/>
      <c r="R90" s="202"/>
    </row>
    <row r="91" spans="1:22" s="344" customFormat="1" ht="13.15" customHeight="1" x14ac:dyDescent="0.3">
      <c r="B91" s="276" t="s">
        <v>219</v>
      </c>
      <c r="C91" s="345"/>
      <c r="D91" s="186"/>
      <c r="E91" s="226"/>
      <c r="F91" s="307"/>
      <c r="G91" s="226"/>
      <c r="H91" s="346">
        <f>H22+C39+H90</f>
        <v>567288.33333333337</v>
      </c>
      <c r="I91" s="584"/>
      <c r="J91" s="347"/>
      <c r="K91" s="484"/>
      <c r="L91" s="348"/>
      <c r="M91" s="346">
        <f>M22+J39+M90</f>
        <v>104829.66166666665</v>
      </c>
      <c r="N91" s="447"/>
      <c r="O91" s="349">
        <f>H91+M91</f>
        <v>672117.995</v>
      </c>
      <c r="P91" s="350"/>
      <c r="Q91" s="351"/>
      <c r="R91" s="351"/>
    </row>
    <row r="92" spans="1:22" s="344" customFormat="1" ht="13.15" customHeight="1" thickBot="1" x14ac:dyDescent="0.35">
      <c r="D92" s="352"/>
      <c r="F92" s="353"/>
      <c r="H92" s="354"/>
      <c r="I92" s="447"/>
      <c r="K92" s="354"/>
      <c r="M92" s="354"/>
      <c r="N92" s="447"/>
      <c r="O92" s="354"/>
      <c r="P92" s="355"/>
    </row>
    <row r="93" spans="1:22" s="737" customFormat="1" ht="15" customHeight="1" thickBot="1" x14ac:dyDescent="0.35">
      <c r="B93" s="894" t="s">
        <v>48</v>
      </c>
      <c r="C93" s="895"/>
      <c r="D93" s="896"/>
      <c r="E93" s="897"/>
      <c r="F93" s="897"/>
      <c r="G93" s="897"/>
      <c r="H93" s="906"/>
      <c r="I93" s="870"/>
      <c r="J93" s="894"/>
      <c r="K93" s="897"/>
      <c r="L93" s="897"/>
      <c r="M93" s="906"/>
      <c r="N93" s="870"/>
      <c r="O93" s="894"/>
      <c r="P93" s="897"/>
      <c r="Q93" s="897"/>
      <c r="R93" s="906"/>
      <c r="T93" s="698"/>
      <c r="U93" s="698"/>
      <c r="V93" s="698"/>
    </row>
    <row r="94" spans="1:22" s="737" customFormat="1" ht="15" customHeight="1" thickBot="1" x14ac:dyDescent="0.35">
      <c r="B94" s="900" t="s">
        <v>41</v>
      </c>
      <c r="C94" s="901"/>
      <c r="D94" s="902"/>
      <c r="E94" s="903"/>
      <c r="F94" s="904"/>
      <c r="G94" s="903"/>
      <c r="H94" s="905"/>
      <c r="I94" s="167"/>
      <c r="J94" s="907"/>
      <c r="K94" s="904"/>
      <c r="L94" s="904"/>
      <c r="M94" s="905"/>
      <c r="N94" s="167"/>
      <c r="O94" s="908"/>
      <c r="P94" s="902"/>
      <c r="Q94" s="902"/>
      <c r="R94" s="909"/>
      <c r="T94" s="532"/>
      <c r="U94" s="533"/>
      <c r="V94" s="698"/>
    </row>
    <row r="95" spans="1:22" s="324" customFormat="1" ht="13.15" customHeight="1" x14ac:dyDescent="0.3">
      <c r="B95" s="247" t="s">
        <v>352</v>
      </c>
      <c r="C95" s="283" t="s">
        <v>9</v>
      </c>
      <c r="D95" s="396" t="s">
        <v>108</v>
      </c>
      <c r="E95" s="396">
        <v>0.1</v>
      </c>
      <c r="F95" s="397">
        <f>5157</f>
        <v>5157</v>
      </c>
      <c r="G95" s="396">
        <v>12</v>
      </c>
      <c r="H95" s="321">
        <f t="shared" ref="H95" si="28">E95*F95*G95</f>
        <v>6188.4000000000005</v>
      </c>
      <c r="I95" s="584"/>
      <c r="J95" s="604">
        <v>0.5</v>
      </c>
      <c r="K95" s="441">
        <f>5157*20%</f>
        <v>1031.4000000000001</v>
      </c>
      <c r="L95" s="396">
        <v>6</v>
      </c>
      <c r="M95" s="321">
        <f t="shared" ref="M95" si="29">J95*K95*L95</f>
        <v>3094.2000000000003</v>
      </c>
      <c r="N95" s="584"/>
      <c r="O95" s="564">
        <f t="shared" ref="O95" si="30">H95+M95</f>
        <v>9282.6</v>
      </c>
      <c r="P95" s="323"/>
      <c r="Q95" s="392"/>
      <c r="R95" s="392"/>
    </row>
    <row r="96" spans="1:22" s="324" customFormat="1" ht="13.15" customHeight="1" x14ac:dyDescent="0.3">
      <c r="B96" s="182" t="s">
        <v>236</v>
      </c>
      <c r="C96" s="283" t="s">
        <v>9</v>
      </c>
      <c r="D96" s="394" t="s">
        <v>108</v>
      </c>
      <c r="E96" s="182">
        <v>0.5</v>
      </c>
      <c r="F96" s="171">
        <v>3815</v>
      </c>
      <c r="G96" s="182">
        <v>12</v>
      </c>
      <c r="H96" s="321">
        <f>E96*F96*G96</f>
        <v>22890</v>
      </c>
      <c r="I96" s="585"/>
      <c r="J96" s="594">
        <v>0.5</v>
      </c>
      <c r="K96" s="338">
        <f>F96*1.03</f>
        <v>3929.4500000000003</v>
      </c>
      <c r="L96" s="322">
        <v>6</v>
      </c>
      <c r="M96" s="321">
        <f>J96*K96*L96</f>
        <v>11788.35</v>
      </c>
      <c r="N96" s="585"/>
      <c r="O96" s="564">
        <f>H96+M96</f>
        <v>34678.35</v>
      </c>
      <c r="P96" s="444"/>
      <c r="Q96" s="247"/>
      <c r="R96" s="247" t="s">
        <v>168</v>
      </c>
    </row>
    <row r="97" spans="1:22" s="326" customFormat="1" ht="13.15" customHeight="1" x14ac:dyDescent="0.3">
      <c r="B97" s="182" t="s">
        <v>121</v>
      </c>
      <c r="C97" s="283" t="s">
        <v>9</v>
      </c>
      <c r="D97" s="396" t="s">
        <v>108</v>
      </c>
      <c r="E97" s="396">
        <v>1</v>
      </c>
      <c r="F97" s="397">
        <f>4202*40%</f>
        <v>1680.8000000000002</v>
      </c>
      <c r="G97" s="396">
        <v>12</v>
      </c>
      <c r="H97" s="321">
        <f>E97*F97*G97</f>
        <v>20169.600000000002</v>
      </c>
      <c r="I97" s="584"/>
      <c r="J97" s="604">
        <v>1</v>
      </c>
      <c r="K97" s="441">
        <f>F97</f>
        <v>1680.8000000000002</v>
      </c>
      <c r="L97" s="396">
        <v>6</v>
      </c>
      <c r="M97" s="321">
        <f>J97*K97*L97</f>
        <v>10084.800000000001</v>
      </c>
      <c r="N97" s="584"/>
      <c r="O97" s="564">
        <f>H97+M97</f>
        <v>30254.400000000001</v>
      </c>
      <c r="P97" s="323"/>
      <c r="Q97" s="392"/>
      <c r="R97" s="392"/>
    </row>
    <row r="98" spans="1:22" s="357" customFormat="1" ht="13.15" customHeight="1" x14ac:dyDescent="0.3">
      <c r="A98" s="356"/>
      <c r="B98" s="247" t="s">
        <v>220</v>
      </c>
      <c r="C98" s="283" t="s">
        <v>9</v>
      </c>
      <c r="D98" s="396" t="s">
        <v>108</v>
      </c>
      <c r="E98" s="396">
        <v>1</v>
      </c>
      <c r="F98" s="397">
        <f>3000</f>
        <v>3000</v>
      </c>
      <c r="G98" s="396">
        <v>12</v>
      </c>
      <c r="H98" s="558">
        <f t="shared" ref="H98:H101" si="31">G98*E98*F98</f>
        <v>36000</v>
      </c>
      <c r="I98" s="587"/>
      <c r="J98" s="604">
        <v>1</v>
      </c>
      <c r="K98" s="441">
        <f>F98*1.03</f>
        <v>3090</v>
      </c>
      <c r="L98" s="396">
        <v>6</v>
      </c>
      <c r="M98" s="558">
        <f>J98*K98*L98</f>
        <v>18540</v>
      </c>
      <c r="N98" s="587"/>
      <c r="O98" s="573">
        <f>H98+M98</f>
        <v>54540</v>
      </c>
      <c r="P98" s="443"/>
      <c r="Q98" s="423"/>
      <c r="R98" s="247" t="s">
        <v>122</v>
      </c>
    </row>
    <row r="99" spans="1:22" s="357" customFormat="1" ht="13.15" customHeight="1" x14ac:dyDescent="0.3">
      <c r="A99" s="356"/>
      <c r="B99" s="247" t="s">
        <v>244</v>
      </c>
      <c r="C99" s="283" t="s">
        <v>9</v>
      </c>
      <c r="D99" s="396" t="s">
        <v>108</v>
      </c>
      <c r="E99" s="396">
        <v>1</v>
      </c>
      <c r="F99" s="397">
        <f>843*30%</f>
        <v>252.89999999999998</v>
      </c>
      <c r="G99" s="396">
        <v>12</v>
      </c>
      <c r="H99" s="558">
        <f t="shared" si="31"/>
        <v>3034.7999999999997</v>
      </c>
      <c r="I99" s="587"/>
      <c r="J99" s="604">
        <v>1</v>
      </c>
      <c r="K99" s="441">
        <f>210.75*1.03</f>
        <v>217.07250000000002</v>
      </c>
      <c r="L99" s="396">
        <v>6</v>
      </c>
      <c r="M99" s="558">
        <f t="shared" ref="M99:M101" si="32">J99*K99*L99</f>
        <v>1302.4350000000002</v>
      </c>
      <c r="N99" s="587"/>
      <c r="O99" s="573">
        <f t="shared" ref="O99:O101" si="33">H99+M99</f>
        <v>4337.2349999999997</v>
      </c>
      <c r="P99" s="443"/>
      <c r="Q99" s="423"/>
      <c r="R99" s="247" t="s">
        <v>122</v>
      </c>
    </row>
    <row r="100" spans="1:22" s="357" customFormat="1" ht="13.15" customHeight="1" x14ac:dyDescent="0.3">
      <c r="A100" s="356"/>
      <c r="B100" s="247" t="s">
        <v>245</v>
      </c>
      <c r="C100" s="283" t="s">
        <v>9</v>
      </c>
      <c r="D100" s="396" t="s">
        <v>108</v>
      </c>
      <c r="E100" s="396">
        <v>1</v>
      </c>
      <c r="F100" s="397">
        <f>1426*20%</f>
        <v>285.2</v>
      </c>
      <c r="G100" s="396">
        <v>12</v>
      </c>
      <c r="H100" s="558">
        <f t="shared" si="31"/>
        <v>3422.3999999999996</v>
      </c>
      <c r="I100" s="587"/>
      <c r="J100" s="604">
        <v>1</v>
      </c>
      <c r="K100" s="441">
        <f t="shared" ref="K100:K101" si="34">F100*1.03</f>
        <v>293.75599999999997</v>
      </c>
      <c r="L100" s="396">
        <v>6</v>
      </c>
      <c r="M100" s="558">
        <f t="shared" si="32"/>
        <v>1762.5359999999998</v>
      </c>
      <c r="N100" s="587"/>
      <c r="O100" s="573">
        <f t="shared" si="33"/>
        <v>5184.9359999999997</v>
      </c>
      <c r="P100" s="443"/>
      <c r="Q100" s="423"/>
      <c r="R100" s="247" t="s">
        <v>122</v>
      </c>
    </row>
    <row r="101" spans="1:22" s="357" customFormat="1" ht="13.15" customHeight="1" thickBot="1" x14ac:dyDescent="0.35">
      <c r="A101" s="356"/>
      <c r="B101" s="247" t="s">
        <v>246</v>
      </c>
      <c r="C101" s="283" t="s">
        <v>9</v>
      </c>
      <c r="D101" s="396" t="s">
        <v>108</v>
      </c>
      <c r="E101" s="396">
        <v>1</v>
      </c>
      <c r="F101" s="397">
        <f>2344*20%</f>
        <v>468.8</v>
      </c>
      <c r="G101" s="396">
        <v>12</v>
      </c>
      <c r="H101" s="558">
        <f t="shared" si="31"/>
        <v>5625.6</v>
      </c>
      <c r="I101" s="587"/>
      <c r="J101" s="604">
        <v>1</v>
      </c>
      <c r="K101" s="441">
        <f t="shared" si="34"/>
        <v>482.86400000000003</v>
      </c>
      <c r="L101" s="396">
        <v>6</v>
      </c>
      <c r="M101" s="558">
        <f t="shared" si="32"/>
        <v>2897.1840000000002</v>
      </c>
      <c r="N101" s="587"/>
      <c r="O101" s="573">
        <f t="shared" si="33"/>
        <v>8522.7839999999997</v>
      </c>
      <c r="P101" s="443"/>
      <c r="Q101" s="423"/>
      <c r="R101" s="247" t="s">
        <v>122</v>
      </c>
    </row>
    <row r="102" spans="1:22" s="737" customFormat="1" ht="15" customHeight="1" thickBot="1" x14ac:dyDescent="0.35">
      <c r="B102" s="919" t="s">
        <v>42</v>
      </c>
      <c r="C102" s="901"/>
      <c r="D102" s="902"/>
      <c r="E102" s="920"/>
      <c r="F102" s="921"/>
      <c r="G102" s="920"/>
      <c r="H102" s="922"/>
      <c r="I102" s="167"/>
      <c r="J102" s="923"/>
      <c r="K102" s="921"/>
      <c r="L102" s="921"/>
      <c r="M102" s="922"/>
      <c r="N102" s="167"/>
      <c r="O102" s="908"/>
      <c r="P102" s="902"/>
      <c r="Q102" s="902"/>
      <c r="R102" s="924"/>
      <c r="T102" s="532">
        <f t="shared" ref="T102" si="35">(E102*F102*G102)+(J102*K102*L102)</f>
        <v>0</v>
      </c>
      <c r="U102" s="533" t="b">
        <f t="shared" ref="U102" si="36">O102=T102</f>
        <v>1</v>
      </c>
      <c r="V102" s="698"/>
    </row>
    <row r="103" spans="1:22" s="326" customFormat="1" ht="13.15" customHeight="1" thickBot="1" x14ac:dyDescent="0.35">
      <c r="B103" s="190" t="s">
        <v>232</v>
      </c>
      <c r="C103" s="445" t="s">
        <v>10</v>
      </c>
      <c r="D103" s="340" t="s">
        <v>108</v>
      </c>
      <c r="E103" s="340">
        <v>3</v>
      </c>
      <c r="F103" s="341">
        <v>2000</v>
      </c>
      <c r="G103" s="340">
        <v>1</v>
      </c>
      <c r="H103" s="321">
        <f t="shared" ref="H103" si="37">E103*F103*G103</f>
        <v>6000</v>
      </c>
      <c r="I103" s="584"/>
      <c r="J103" s="603"/>
      <c r="K103" s="358"/>
      <c r="L103" s="340"/>
      <c r="M103" s="321">
        <f t="shared" ref="M103" si="38">J103*K103*L103</f>
        <v>0</v>
      </c>
      <c r="N103" s="584"/>
      <c r="O103" s="564">
        <f t="shared" ref="O103" si="39">H103+M103</f>
        <v>6000</v>
      </c>
      <c r="P103" s="323"/>
      <c r="Q103" s="174"/>
      <c r="R103" s="174"/>
    </row>
    <row r="104" spans="1:22" s="737" customFormat="1" ht="15" customHeight="1" thickBot="1" x14ac:dyDescent="0.35">
      <c r="B104" s="919" t="s">
        <v>43</v>
      </c>
      <c r="C104" s="901"/>
      <c r="D104" s="902"/>
      <c r="E104" s="920"/>
      <c r="F104" s="921"/>
      <c r="G104" s="920"/>
      <c r="H104" s="922"/>
      <c r="I104" s="167"/>
      <c r="J104" s="923"/>
      <c r="K104" s="921"/>
      <c r="L104" s="921"/>
      <c r="M104" s="922"/>
      <c r="N104" s="167"/>
      <c r="O104" s="908"/>
      <c r="P104" s="902"/>
      <c r="Q104" s="902"/>
      <c r="R104" s="924"/>
      <c r="T104" s="532">
        <f t="shared" ref="T104" si="40">(E104*F104*G104)+(J104*K104*L104)</f>
        <v>0</v>
      </c>
      <c r="U104" s="533" t="b">
        <f t="shared" ref="U104" si="41">O104=T104</f>
        <v>1</v>
      </c>
      <c r="V104" s="698"/>
    </row>
    <row r="105" spans="1:22" s="334" customFormat="1" ht="13.15" customHeight="1" x14ac:dyDescent="0.3">
      <c r="B105" s="227" t="s">
        <v>139</v>
      </c>
      <c r="C105" s="155" t="s">
        <v>30</v>
      </c>
      <c r="D105" s="340" t="s">
        <v>108</v>
      </c>
      <c r="E105" s="340">
        <v>1</v>
      </c>
      <c r="F105" s="341">
        <v>1200</v>
      </c>
      <c r="G105" s="340">
        <v>1</v>
      </c>
      <c r="H105" s="559">
        <f>E105*F105*G105</f>
        <v>1200</v>
      </c>
      <c r="I105" s="588"/>
      <c r="J105" s="603"/>
      <c r="K105" s="358"/>
      <c r="L105" s="340"/>
      <c r="M105" s="559">
        <f>J105*K105*L105</f>
        <v>0</v>
      </c>
      <c r="N105" s="588"/>
      <c r="O105" s="574">
        <f>H105+M105</f>
        <v>1200</v>
      </c>
      <c r="P105" s="359"/>
      <c r="Q105" s="340"/>
      <c r="R105" s="190" t="s">
        <v>140</v>
      </c>
    </row>
    <row r="106" spans="1:22" s="334" customFormat="1" ht="13.15" customHeight="1" x14ac:dyDescent="0.3">
      <c r="B106" s="227" t="s">
        <v>141</v>
      </c>
      <c r="C106" s="155" t="s">
        <v>30</v>
      </c>
      <c r="D106" s="340" t="s">
        <v>108</v>
      </c>
      <c r="E106" s="340">
        <v>2</v>
      </c>
      <c r="F106" s="341">
        <v>80</v>
      </c>
      <c r="G106" s="340">
        <v>1</v>
      </c>
      <c r="H106" s="559">
        <f t="shared" ref="H106:H108" si="42">E106*F106*G106</f>
        <v>160</v>
      </c>
      <c r="I106" s="588"/>
      <c r="J106" s="603"/>
      <c r="K106" s="358"/>
      <c r="L106" s="340"/>
      <c r="M106" s="559">
        <f t="shared" ref="M106:M108" si="43">J106*K106*L106</f>
        <v>0</v>
      </c>
      <c r="N106" s="588"/>
      <c r="O106" s="574">
        <f t="shared" ref="O106:O108" si="44">H106+M106</f>
        <v>160</v>
      </c>
      <c r="P106" s="359"/>
      <c r="Q106" s="340"/>
      <c r="R106" s="190" t="s">
        <v>140</v>
      </c>
    </row>
    <row r="107" spans="1:22" s="334" customFormat="1" ht="13.15" customHeight="1" x14ac:dyDescent="0.3">
      <c r="B107" s="227" t="s">
        <v>142</v>
      </c>
      <c r="C107" s="155" t="s">
        <v>30</v>
      </c>
      <c r="D107" s="340" t="s">
        <v>108</v>
      </c>
      <c r="E107" s="340">
        <v>2</v>
      </c>
      <c r="F107" s="341">
        <v>120</v>
      </c>
      <c r="G107" s="340">
        <v>1</v>
      </c>
      <c r="H107" s="559">
        <f t="shared" si="42"/>
        <v>240</v>
      </c>
      <c r="I107" s="588"/>
      <c r="J107" s="603"/>
      <c r="K107" s="358"/>
      <c r="L107" s="340"/>
      <c r="M107" s="559">
        <f t="shared" si="43"/>
        <v>0</v>
      </c>
      <c r="N107" s="588"/>
      <c r="O107" s="574">
        <f t="shared" si="44"/>
        <v>240</v>
      </c>
      <c r="P107" s="359"/>
      <c r="Q107" s="340"/>
      <c r="R107" s="190" t="s">
        <v>140</v>
      </c>
    </row>
    <row r="108" spans="1:22" s="357" customFormat="1" ht="13.15" customHeight="1" thickBot="1" x14ac:dyDescent="0.35">
      <c r="B108" s="227" t="s">
        <v>225</v>
      </c>
      <c r="C108" s="155" t="s">
        <v>30</v>
      </c>
      <c r="D108" s="340" t="s">
        <v>108</v>
      </c>
      <c r="E108" s="340">
        <v>1</v>
      </c>
      <c r="F108" s="341">
        <v>3000</v>
      </c>
      <c r="G108" s="340">
        <v>1</v>
      </c>
      <c r="H108" s="559">
        <f t="shared" si="42"/>
        <v>3000</v>
      </c>
      <c r="I108" s="587"/>
      <c r="J108" s="603">
        <v>1</v>
      </c>
      <c r="K108" s="358">
        <v>1500</v>
      </c>
      <c r="L108" s="340">
        <v>1</v>
      </c>
      <c r="M108" s="559">
        <f t="shared" si="43"/>
        <v>1500</v>
      </c>
      <c r="N108" s="587"/>
      <c r="O108" s="574">
        <f t="shared" si="44"/>
        <v>4500</v>
      </c>
      <c r="P108" s="359"/>
      <c r="Q108" s="340"/>
      <c r="R108" s="190" t="s">
        <v>140</v>
      </c>
    </row>
    <row r="109" spans="1:22" s="737" customFormat="1" ht="15" customHeight="1" thickBot="1" x14ac:dyDescent="0.35">
      <c r="B109" s="919" t="s">
        <v>44</v>
      </c>
      <c r="C109" s="901"/>
      <c r="D109" s="902"/>
      <c r="E109" s="920"/>
      <c r="F109" s="921"/>
      <c r="G109" s="920"/>
      <c r="H109" s="922"/>
      <c r="I109" s="167"/>
      <c r="J109" s="923"/>
      <c r="K109" s="921"/>
      <c r="L109" s="921"/>
      <c r="M109" s="922"/>
      <c r="N109" s="167"/>
      <c r="O109" s="908"/>
      <c r="P109" s="902"/>
      <c r="Q109" s="902"/>
      <c r="R109" s="924"/>
      <c r="T109" s="532">
        <f t="shared" ref="T109" si="45">(E109*F109*G109)+(J109*K109*L109)</f>
        <v>0</v>
      </c>
      <c r="U109" s="533" t="b">
        <f t="shared" ref="U109" si="46">O109=T109</f>
        <v>1</v>
      </c>
      <c r="V109" s="698"/>
    </row>
    <row r="110" spans="1:22" s="324" customFormat="1" ht="13.15" customHeight="1" thickBot="1" x14ac:dyDescent="0.35">
      <c r="A110" s="393"/>
      <c r="B110" s="173"/>
      <c r="C110" s="173"/>
      <c r="D110" s="398"/>
      <c r="E110" s="173"/>
      <c r="F110" s="171"/>
      <c r="G110" s="173"/>
      <c r="H110" s="321"/>
      <c r="I110" s="586"/>
      <c r="J110" s="594"/>
      <c r="K110" s="338"/>
      <c r="L110" s="322"/>
      <c r="M110" s="321"/>
      <c r="N110" s="584"/>
      <c r="O110" s="564"/>
      <c r="P110" s="323"/>
      <c r="Q110" s="174"/>
      <c r="R110" s="174"/>
    </row>
    <row r="111" spans="1:22" s="737" customFormat="1" ht="15" customHeight="1" thickBot="1" x14ac:dyDescent="0.35">
      <c r="B111" s="919" t="s">
        <v>46</v>
      </c>
      <c r="C111" s="901"/>
      <c r="D111" s="902"/>
      <c r="E111" s="920"/>
      <c r="F111" s="921"/>
      <c r="G111" s="920"/>
      <c r="H111" s="922"/>
      <c r="I111" s="167"/>
      <c r="J111" s="923"/>
      <c r="K111" s="921"/>
      <c r="L111" s="921"/>
      <c r="M111" s="922"/>
      <c r="N111" s="167"/>
      <c r="O111" s="908"/>
      <c r="P111" s="902"/>
      <c r="Q111" s="902"/>
      <c r="R111" s="924"/>
      <c r="T111" s="532">
        <f t="shared" ref="T111" si="47">(E111*F111*G111)+(J111*K111*L111)</f>
        <v>0</v>
      </c>
      <c r="U111" s="533" t="b">
        <f t="shared" ref="U111" si="48">O111=T111</f>
        <v>1</v>
      </c>
      <c r="V111" s="698"/>
    </row>
    <row r="112" spans="1:22" s="357" customFormat="1" ht="13.15" customHeight="1" x14ac:dyDescent="0.3">
      <c r="B112" s="190" t="s">
        <v>144</v>
      </c>
      <c r="C112" s="155" t="s">
        <v>12</v>
      </c>
      <c r="D112" s="340" t="s">
        <v>108</v>
      </c>
      <c r="E112" s="340">
        <v>1200</v>
      </c>
      <c r="F112" s="446">
        <f>1.5*0.2</f>
        <v>0.30000000000000004</v>
      </c>
      <c r="G112" s="340">
        <v>12</v>
      </c>
      <c r="H112" s="559">
        <f>E112*F112*G112</f>
        <v>4320.0000000000009</v>
      </c>
      <c r="I112" s="587"/>
      <c r="J112" s="603">
        <v>1200</v>
      </c>
      <c r="K112" s="358">
        <f>1.5*0.2</f>
        <v>0.30000000000000004</v>
      </c>
      <c r="L112" s="340">
        <v>6</v>
      </c>
      <c r="M112" s="559">
        <f>J112*K112*L112</f>
        <v>2160.0000000000005</v>
      </c>
      <c r="N112" s="587"/>
      <c r="O112" s="574">
        <f>H112+M112</f>
        <v>6480.0000000000018</v>
      </c>
      <c r="P112" s="359"/>
      <c r="Q112" s="340"/>
      <c r="R112" s="190" t="s">
        <v>140</v>
      </c>
    </row>
    <row r="113" spans="1:22" s="334" customFormat="1" ht="13.15" customHeight="1" thickBot="1" x14ac:dyDescent="0.35">
      <c r="B113" s="190" t="s">
        <v>145</v>
      </c>
      <c r="C113" s="155" t="s">
        <v>12</v>
      </c>
      <c r="D113" s="340" t="s">
        <v>108</v>
      </c>
      <c r="E113" s="340">
        <v>1</v>
      </c>
      <c r="F113" s="341">
        <v>300</v>
      </c>
      <c r="G113" s="340">
        <v>12</v>
      </c>
      <c r="H113" s="559">
        <f t="shared" ref="H113" si="49">E113*F113*G113</f>
        <v>3600</v>
      </c>
      <c r="I113" s="588"/>
      <c r="J113" s="603">
        <v>1</v>
      </c>
      <c r="K113" s="358">
        <v>300</v>
      </c>
      <c r="L113" s="340">
        <v>6</v>
      </c>
      <c r="M113" s="559">
        <f t="shared" ref="M113" si="50">J113*K113*L113</f>
        <v>1800</v>
      </c>
      <c r="N113" s="588"/>
      <c r="O113" s="574">
        <f t="shared" ref="O113" si="51">H113+M113</f>
        <v>5400</v>
      </c>
      <c r="P113" s="359"/>
      <c r="Q113" s="340"/>
      <c r="R113" s="190" t="s">
        <v>140</v>
      </c>
    </row>
    <row r="114" spans="1:22" s="737" customFormat="1" ht="15" customHeight="1" thickBot="1" x14ac:dyDescent="0.35">
      <c r="B114" s="919" t="s">
        <v>47</v>
      </c>
      <c r="C114" s="901"/>
      <c r="D114" s="902"/>
      <c r="E114" s="920"/>
      <c r="F114" s="921"/>
      <c r="G114" s="920"/>
      <c r="H114" s="922"/>
      <c r="I114" s="167"/>
      <c r="J114" s="923"/>
      <c r="K114" s="921"/>
      <c r="L114" s="921"/>
      <c r="M114" s="922"/>
      <c r="N114" s="167"/>
      <c r="O114" s="908"/>
      <c r="P114" s="902"/>
      <c r="Q114" s="902"/>
      <c r="R114" s="924"/>
      <c r="T114" s="532">
        <f t="shared" ref="T114" si="52">(E114*F114*G114)+(J114*K114*L114)</f>
        <v>0</v>
      </c>
      <c r="U114" s="533" t="b">
        <f t="shared" ref="U114" si="53">O114=T114</f>
        <v>1</v>
      </c>
      <c r="V114" s="698"/>
    </row>
    <row r="115" spans="1:22" s="334" customFormat="1" ht="13.15" customHeight="1" x14ac:dyDescent="0.3">
      <c r="A115" s="344"/>
      <c r="B115" s="190" t="s">
        <v>132</v>
      </c>
      <c r="C115" s="155" t="s">
        <v>216</v>
      </c>
      <c r="D115" s="340" t="s">
        <v>108</v>
      </c>
      <c r="E115" s="340">
        <v>1</v>
      </c>
      <c r="F115" s="341">
        <v>400</v>
      </c>
      <c r="G115" s="340">
        <v>12</v>
      </c>
      <c r="H115" s="559">
        <f t="shared" ref="H115:H125" si="54">G115*E115*F115</f>
        <v>4800</v>
      </c>
      <c r="I115" s="588"/>
      <c r="J115" s="603">
        <v>1</v>
      </c>
      <c r="K115" s="358">
        <f t="shared" ref="K115:K125" si="55">F115*1.03</f>
        <v>412</v>
      </c>
      <c r="L115" s="340">
        <v>6</v>
      </c>
      <c r="M115" s="559">
        <f t="shared" ref="M115:M125" si="56">J115*K115*L115</f>
        <v>2472</v>
      </c>
      <c r="N115" s="588"/>
      <c r="O115" s="574">
        <f t="shared" ref="O115:O132" si="57">H115+M115</f>
        <v>7272</v>
      </c>
      <c r="P115" s="359"/>
      <c r="Q115" s="273"/>
      <c r="R115" s="190" t="s">
        <v>122</v>
      </c>
    </row>
    <row r="116" spans="1:22" s="334" customFormat="1" ht="13.15" customHeight="1" x14ac:dyDescent="0.3">
      <c r="A116" s="344"/>
      <c r="B116" s="190" t="s">
        <v>133</v>
      </c>
      <c r="C116" s="155" t="s">
        <v>216</v>
      </c>
      <c r="D116" s="340" t="s">
        <v>108</v>
      </c>
      <c r="E116" s="340">
        <v>1</v>
      </c>
      <c r="F116" s="341">
        <v>275</v>
      </c>
      <c r="G116" s="340">
        <v>12</v>
      </c>
      <c r="H116" s="559">
        <f t="shared" si="54"/>
        <v>3300</v>
      </c>
      <c r="I116" s="588"/>
      <c r="J116" s="603">
        <v>1</v>
      </c>
      <c r="K116" s="358">
        <f t="shared" si="55"/>
        <v>283.25</v>
      </c>
      <c r="L116" s="340">
        <v>6</v>
      </c>
      <c r="M116" s="559">
        <f t="shared" si="56"/>
        <v>1699.5</v>
      </c>
      <c r="N116" s="588"/>
      <c r="O116" s="574">
        <f t="shared" si="57"/>
        <v>4999.5</v>
      </c>
      <c r="P116" s="359"/>
      <c r="Q116" s="273"/>
      <c r="R116" s="190" t="s">
        <v>122</v>
      </c>
    </row>
    <row r="117" spans="1:22" s="357" customFormat="1" ht="13.15" customHeight="1" x14ac:dyDescent="0.3">
      <c r="A117" s="356"/>
      <c r="B117" s="190" t="s">
        <v>221</v>
      </c>
      <c r="C117" s="155" t="s">
        <v>216</v>
      </c>
      <c r="D117" s="340" t="s">
        <v>108</v>
      </c>
      <c r="E117" s="340">
        <v>1</v>
      </c>
      <c r="F117" s="341">
        <v>446</v>
      </c>
      <c r="G117" s="340">
        <v>12</v>
      </c>
      <c r="H117" s="559">
        <f t="shared" si="54"/>
        <v>5352</v>
      </c>
      <c r="I117" s="587"/>
      <c r="J117" s="603">
        <v>1</v>
      </c>
      <c r="K117" s="358">
        <f t="shared" si="55"/>
        <v>459.38</v>
      </c>
      <c r="L117" s="340">
        <v>6</v>
      </c>
      <c r="M117" s="559">
        <f t="shared" si="56"/>
        <v>2756.2799999999997</v>
      </c>
      <c r="N117" s="587"/>
      <c r="O117" s="574">
        <f t="shared" si="57"/>
        <v>8108.28</v>
      </c>
      <c r="P117" s="359"/>
      <c r="Q117" s="273"/>
      <c r="R117" s="190" t="s">
        <v>122</v>
      </c>
    </row>
    <row r="118" spans="1:22" s="357" customFormat="1" ht="13.15" customHeight="1" x14ac:dyDescent="0.3">
      <c r="A118" s="356"/>
      <c r="B118" s="190" t="s">
        <v>222</v>
      </c>
      <c r="C118" s="155" t="s">
        <v>216</v>
      </c>
      <c r="D118" s="340" t="s">
        <v>108</v>
      </c>
      <c r="E118" s="340">
        <v>1</v>
      </c>
      <c r="F118" s="341">
        <v>600</v>
      </c>
      <c r="G118" s="340">
        <v>12</v>
      </c>
      <c r="H118" s="559">
        <f t="shared" si="54"/>
        <v>7200</v>
      </c>
      <c r="I118" s="587"/>
      <c r="J118" s="603">
        <v>1</v>
      </c>
      <c r="K118" s="358">
        <f t="shared" si="55"/>
        <v>618</v>
      </c>
      <c r="L118" s="340">
        <v>6</v>
      </c>
      <c r="M118" s="559">
        <f t="shared" si="56"/>
        <v>3708</v>
      </c>
      <c r="N118" s="587"/>
      <c r="O118" s="574">
        <f t="shared" si="57"/>
        <v>10908</v>
      </c>
      <c r="P118" s="359"/>
      <c r="Q118" s="273"/>
      <c r="R118" s="190" t="s">
        <v>122</v>
      </c>
    </row>
    <row r="119" spans="1:22" s="334" customFormat="1" ht="13.15" customHeight="1" x14ac:dyDescent="0.3">
      <c r="A119" s="344"/>
      <c r="B119" s="190" t="s">
        <v>134</v>
      </c>
      <c r="C119" s="155" t="s">
        <v>216</v>
      </c>
      <c r="D119" s="340" t="s">
        <v>108</v>
      </c>
      <c r="E119" s="340">
        <v>1</v>
      </c>
      <c r="F119" s="341">
        <v>260</v>
      </c>
      <c r="G119" s="340">
        <v>12</v>
      </c>
      <c r="H119" s="559">
        <f t="shared" si="54"/>
        <v>3120</v>
      </c>
      <c r="I119" s="588"/>
      <c r="J119" s="603">
        <v>1</v>
      </c>
      <c r="K119" s="358">
        <f t="shared" si="55"/>
        <v>267.8</v>
      </c>
      <c r="L119" s="340">
        <v>6</v>
      </c>
      <c r="M119" s="559">
        <f t="shared" si="56"/>
        <v>1606.8000000000002</v>
      </c>
      <c r="N119" s="588"/>
      <c r="O119" s="574">
        <f t="shared" si="57"/>
        <v>4726.8</v>
      </c>
      <c r="P119" s="359"/>
      <c r="Q119" s="273"/>
      <c r="R119" s="190" t="s">
        <v>122</v>
      </c>
    </row>
    <row r="120" spans="1:22" s="357" customFormat="1" ht="13.15" customHeight="1" x14ac:dyDescent="0.3">
      <c r="A120" s="356"/>
      <c r="B120" s="190" t="s">
        <v>223</v>
      </c>
      <c r="C120" s="155" t="s">
        <v>216</v>
      </c>
      <c r="D120" s="340" t="s">
        <v>108</v>
      </c>
      <c r="E120" s="340">
        <v>1</v>
      </c>
      <c r="F120" s="341">
        <v>400</v>
      </c>
      <c r="G120" s="340">
        <v>12</v>
      </c>
      <c r="H120" s="559">
        <f t="shared" si="54"/>
        <v>4800</v>
      </c>
      <c r="I120" s="587"/>
      <c r="J120" s="603">
        <v>1</v>
      </c>
      <c r="K120" s="358">
        <f t="shared" si="55"/>
        <v>412</v>
      </c>
      <c r="L120" s="340">
        <v>6</v>
      </c>
      <c r="M120" s="559">
        <f t="shared" si="56"/>
        <v>2472</v>
      </c>
      <c r="N120" s="587"/>
      <c r="O120" s="574">
        <f t="shared" si="57"/>
        <v>7272</v>
      </c>
      <c r="P120" s="359"/>
      <c r="Q120" s="273"/>
      <c r="R120" s="190" t="s">
        <v>122</v>
      </c>
    </row>
    <row r="121" spans="1:22" s="334" customFormat="1" ht="13.15" customHeight="1" x14ac:dyDescent="0.3">
      <c r="A121" s="344"/>
      <c r="B121" s="190" t="s">
        <v>135</v>
      </c>
      <c r="C121" s="155" t="s">
        <v>216</v>
      </c>
      <c r="D121" s="340" t="s">
        <v>108</v>
      </c>
      <c r="E121" s="340">
        <v>1</v>
      </c>
      <c r="F121" s="341">
        <v>350</v>
      </c>
      <c r="G121" s="340">
        <v>12</v>
      </c>
      <c r="H121" s="559">
        <f t="shared" si="54"/>
        <v>4200</v>
      </c>
      <c r="I121" s="588"/>
      <c r="J121" s="603">
        <v>1</v>
      </c>
      <c r="K121" s="358">
        <f t="shared" si="55"/>
        <v>360.5</v>
      </c>
      <c r="L121" s="340">
        <v>6</v>
      </c>
      <c r="M121" s="559">
        <f t="shared" si="56"/>
        <v>2163</v>
      </c>
      <c r="N121" s="588"/>
      <c r="O121" s="574">
        <f t="shared" si="57"/>
        <v>6363</v>
      </c>
      <c r="P121" s="359"/>
      <c r="Q121" s="273"/>
      <c r="R121" s="190" t="s">
        <v>122</v>
      </c>
    </row>
    <row r="122" spans="1:22" s="334" customFormat="1" ht="13.15" customHeight="1" x14ac:dyDescent="0.3">
      <c r="A122" s="344"/>
      <c r="B122" s="190" t="s">
        <v>136</v>
      </c>
      <c r="C122" s="155" t="s">
        <v>216</v>
      </c>
      <c r="D122" s="340" t="s">
        <v>108</v>
      </c>
      <c r="E122" s="340">
        <v>1</v>
      </c>
      <c r="F122" s="341">
        <v>425.98</v>
      </c>
      <c r="G122" s="340">
        <v>12</v>
      </c>
      <c r="H122" s="559">
        <f t="shared" si="54"/>
        <v>5111.76</v>
      </c>
      <c r="I122" s="588"/>
      <c r="J122" s="603">
        <v>1</v>
      </c>
      <c r="K122" s="358">
        <f t="shared" si="55"/>
        <v>438.75940000000003</v>
      </c>
      <c r="L122" s="340">
        <v>6</v>
      </c>
      <c r="M122" s="559">
        <f t="shared" si="56"/>
        <v>2632.5564000000004</v>
      </c>
      <c r="N122" s="588"/>
      <c r="O122" s="574">
        <f t="shared" si="57"/>
        <v>7744.3164000000006</v>
      </c>
      <c r="P122" s="359"/>
      <c r="Q122" s="273"/>
      <c r="R122" s="190" t="s">
        <v>122</v>
      </c>
    </row>
    <row r="123" spans="1:22" s="334" customFormat="1" ht="13.15" customHeight="1" x14ac:dyDescent="0.3">
      <c r="A123" s="344"/>
      <c r="B123" s="190" t="s">
        <v>137</v>
      </c>
      <c r="C123" s="155" t="s">
        <v>216</v>
      </c>
      <c r="D123" s="340" t="s">
        <v>108</v>
      </c>
      <c r="E123" s="340">
        <v>1</v>
      </c>
      <c r="F123" s="341">
        <v>385</v>
      </c>
      <c r="G123" s="340">
        <v>12</v>
      </c>
      <c r="H123" s="559">
        <f t="shared" si="54"/>
        <v>4620</v>
      </c>
      <c r="I123" s="588"/>
      <c r="J123" s="603">
        <v>1</v>
      </c>
      <c r="K123" s="358">
        <f t="shared" si="55"/>
        <v>396.55</v>
      </c>
      <c r="L123" s="340">
        <v>6</v>
      </c>
      <c r="M123" s="559">
        <f t="shared" si="56"/>
        <v>2379.3000000000002</v>
      </c>
      <c r="N123" s="588"/>
      <c r="O123" s="574">
        <f t="shared" si="57"/>
        <v>6999.3</v>
      </c>
      <c r="P123" s="359"/>
      <c r="Q123" s="273"/>
      <c r="R123" s="190" t="s">
        <v>122</v>
      </c>
    </row>
    <row r="124" spans="1:22" s="357" customFormat="1" ht="13.15" customHeight="1" x14ac:dyDescent="0.3">
      <c r="A124" s="356"/>
      <c r="B124" s="190" t="s">
        <v>224</v>
      </c>
      <c r="C124" s="155" t="s">
        <v>216</v>
      </c>
      <c r="D124" s="340" t="s">
        <v>108</v>
      </c>
      <c r="E124" s="340">
        <v>1</v>
      </c>
      <c r="F124" s="341">
        <v>600</v>
      </c>
      <c r="G124" s="340">
        <v>12</v>
      </c>
      <c r="H124" s="559">
        <f t="shared" si="54"/>
        <v>7200</v>
      </c>
      <c r="I124" s="587"/>
      <c r="J124" s="603">
        <v>1</v>
      </c>
      <c r="K124" s="358">
        <f t="shared" si="55"/>
        <v>618</v>
      </c>
      <c r="L124" s="340">
        <v>6</v>
      </c>
      <c r="M124" s="559">
        <f t="shared" si="56"/>
        <v>3708</v>
      </c>
      <c r="N124" s="587"/>
      <c r="O124" s="574">
        <f t="shared" si="57"/>
        <v>10908</v>
      </c>
      <c r="P124" s="359"/>
      <c r="Q124" s="273"/>
      <c r="R124" s="190" t="s">
        <v>122</v>
      </c>
    </row>
    <row r="125" spans="1:22" s="334" customFormat="1" ht="13.15" customHeight="1" x14ac:dyDescent="0.3">
      <c r="A125" s="344"/>
      <c r="B125" s="190" t="s">
        <v>138</v>
      </c>
      <c r="C125" s="155" t="s">
        <v>216</v>
      </c>
      <c r="D125" s="340" t="s">
        <v>108</v>
      </c>
      <c r="E125" s="340">
        <v>1</v>
      </c>
      <c r="F125" s="341">
        <v>450</v>
      </c>
      <c r="G125" s="340">
        <v>12</v>
      </c>
      <c r="H125" s="559">
        <f t="shared" si="54"/>
        <v>5400</v>
      </c>
      <c r="I125" s="588"/>
      <c r="J125" s="603">
        <v>1</v>
      </c>
      <c r="K125" s="358">
        <f t="shared" si="55"/>
        <v>463.5</v>
      </c>
      <c r="L125" s="340">
        <v>6</v>
      </c>
      <c r="M125" s="559">
        <f t="shared" si="56"/>
        <v>2781</v>
      </c>
      <c r="N125" s="588"/>
      <c r="O125" s="574">
        <f t="shared" si="57"/>
        <v>8181</v>
      </c>
      <c r="P125" s="359"/>
      <c r="Q125" s="273"/>
      <c r="R125" s="190" t="s">
        <v>122</v>
      </c>
    </row>
    <row r="126" spans="1:22" s="357" customFormat="1" ht="13.15" customHeight="1" x14ac:dyDescent="0.3">
      <c r="B126" s="190" t="s">
        <v>148</v>
      </c>
      <c r="C126" s="155" t="s">
        <v>216</v>
      </c>
      <c r="D126" s="340" t="s">
        <v>108</v>
      </c>
      <c r="E126" s="340">
        <v>1</v>
      </c>
      <c r="F126" s="341">
        <v>721</v>
      </c>
      <c r="G126" s="340">
        <v>12</v>
      </c>
      <c r="H126" s="559">
        <f t="shared" ref="H126:H132" si="58">E126*F126*G126</f>
        <v>8652</v>
      </c>
      <c r="I126" s="587"/>
      <c r="J126" s="603">
        <v>1</v>
      </c>
      <c r="K126" s="358">
        <v>721</v>
      </c>
      <c r="L126" s="340">
        <v>6</v>
      </c>
      <c r="M126" s="559">
        <f>L126*J126*K126</f>
        <v>4326</v>
      </c>
      <c r="N126" s="589"/>
      <c r="O126" s="574">
        <f t="shared" si="57"/>
        <v>12978</v>
      </c>
      <c r="P126" s="360"/>
      <c r="Q126" s="273"/>
      <c r="R126" s="190" t="s">
        <v>147</v>
      </c>
    </row>
    <row r="127" spans="1:22" s="357" customFormat="1" ht="13.15" customHeight="1" x14ac:dyDescent="0.3">
      <c r="B127" s="190" t="s">
        <v>149</v>
      </c>
      <c r="C127" s="155" t="s">
        <v>216</v>
      </c>
      <c r="D127" s="340" t="s">
        <v>108</v>
      </c>
      <c r="E127" s="340">
        <v>1</v>
      </c>
      <c r="F127" s="341">
        <v>885</v>
      </c>
      <c r="G127" s="340">
        <v>12</v>
      </c>
      <c r="H127" s="559">
        <f t="shared" si="58"/>
        <v>10620</v>
      </c>
      <c r="I127" s="587"/>
      <c r="J127" s="603">
        <v>1</v>
      </c>
      <c r="K127" s="358">
        <v>885</v>
      </c>
      <c r="L127" s="340">
        <v>6</v>
      </c>
      <c r="M127" s="559">
        <f>L127*J127*K127</f>
        <v>5310</v>
      </c>
      <c r="N127" s="589"/>
      <c r="O127" s="574">
        <f t="shared" si="57"/>
        <v>15930</v>
      </c>
      <c r="P127" s="360"/>
      <c r="Q127" s="273"/>
      <c r="R127" s="190" t="s">
        <v>147</v>
      </c>
    </row>
    <row r="128" spans="1:22" s="357" customFormat="1" ht="13.15" customHeight="1" x14ac:dyDescent="0.3">
      <c r="B128" s="227" t="s">
        <v>247</v>
      </c>
      <c r="C128" s="155" t="s">
        <v>216</v>
      </c>
      <c r="D128" s="340" t="s">
        <v>108</v>
      </c>
      <c r="E128" s="340">
        <v>3</v>
      </c>
      <c r="F128" s="397">
        <v>5000</v>
      </c>
      <c r="G128" s="340">
        <v>1</v>
      </c>
      <c r="H128" s="559">
        <f t="shared" si="58"/>
        <v>15000</v>
      </c>
      <c r="I128" s="587"/>
      <c r="J128" s="603"/>
      <c r="K128" s="358"/>
      <c r="L128" s="340"/>
      <c r="M128" s="559">
        <f>J128*K128*L128</f>
        <v>0</v>
      </c>
      <c r="N128" s="587"/>
      <c r="O128" s="574">
        <f t="shared" si="57"/>
        <v>15000</v>
      </c>
      <c r="P128" s="443"/>
      <c r="Q128" s="340"/>
      <c r="R128" s="190" t="s">
        <v>140</v>
      </c>
    </row>
    <row r="129" spans="2:22" s="334" customFormat="1" ht="13.15" customHeight="1" x14ac:dyDescent="0.3">
      <c r="B129" s="227" t="s">
        <v>254</v>
      </c>
      <c r="C129" s="155" t="s">
        <v>216</v>
      </c>
      <c r="D129" s="340" t="s">
        <v>108</v>
      </c>
      <c r="E129" s="340">
        <v>4</v>
      </c>
      <c r="F129" s="341">
        <v>600</v>
      </c>
      <c r="G129" s="340">
        <v>1</v>
      </c>
      <c r="H129" s="559">
        <f t="shared" si="58"/>
        <v>2400</v>
      </c>
      <c r="I129" s="588"/>
      <c r="J129" s="603"/>
      <c r="K129" s="358"/>
      <c r="L129" s="340"/>
      <c r="M129" s="559">
        <f>J129*K129*L129</f>
        <v>0</v>
      </c>
      <c r="N129" s="588"/>
      <c r="O129" s="574">
        <f t="shared" si="57"/>
        <v>2400</v>
      </c>
      <c r="P129" s="359"/>
      <c r="Q129" s="340"/>
      <c r="R129" s="190" t="s">
        <v>140</v>
      </c>
    </row>
    <row r="130" spans="2:22" s="334" customFormat="1" ht="13.15" customHeight="1" x14ac:dyDescent="0.3">
      <c r="B130" s="227" t="s">
        <v>143</v>
      </c>
      <c r="C130" s="155" t="s">
        <v>216</v>
      </c>
      <c r="D130" s="340" t="s">
        <v>108</v>
      </c>
      <c r="E130" s="340">
        <v>1</v>
      </c>
      <c r="F130" s="341">
        <v>250</v>
      </c>
      <c r="G130" s="340">
        <v>1</v>
      </c>
      <c r="H130" s="559">
        <f t="shared" si="58"/>
        <v>250</v>
      </c>
      <c r="I130" s="588"/>
      <c r="J130" s="603"/>
      <c r="K130" s="358"/>
      <c r="L130" s="340"/>
      <c r="M130" s="559">
        <f>J130*K130*L130</f>
        <v>0</v>
      </c>
      <c r="N130" s="588"/>
      <c r="O130" s="574">
        <f t="shared" si="57"/>
        <v>250</v>
      </c>
      <c r="P130" s="359"/>
      <c r="Q130" s="340"/>
      <c r="R130" s="190" t="s">
        <v>140</v>
      </c>
    </row>
    <row r="131" spans="2:22" s="334" customFormat="1" ht="13.15" customHeight="1" x14ac:dyDescent="0.3">
      <c r="B131" s="227" t="s">
        <v>255</v>
      </c>
      <c r="C131" s="155" t="s">
        <v>216</v>
      </c>
      <c r="D131" s="340" t="s">
        <v>108</v>
      </c>
      <c r="E131" s="340">
        <v>3</v>
      </c>
      <c r="F131" s="341">
        <v>80</v>
      </c>
      <c r="G131" s="340">
        <v>1</v>
      </c>
      <c r="H131" s="559">
        <f t="shared" si="58"/>
        <v>240</v>
      </c>
      <c r="I131" s="588"/>
      <c r="J131" s="603"/>
      <c r="K131" s="358"/>
      <c r="L131" s="340"/>
      <c r="M131" s="559">
        <f>J131*K131*L131</f>
        <v>0</v>
      </c>
      <c r="N131" s="588"/>
      <c r="O131" s="574">
        <f t="shared" si="57"/>
        <v>240</v>
      </c>
      <c r="P131" s="359"/>
      <c r="Q131" s="340"/>
      <c r="R131" s="190" t="s">
        <v>140</v>
      </c>
    </row>
    <row r="132" spans="2:22" s="334" customFormat="1" ht="13.15" customHeight="1" thickBot="1" x14ac:dyDescent="0.35">
      <c r="B132" s="227" t="s">
        <v>256</v>
      </c>
      <c r="C132" s="155" t="s">
        <v>216</v>
      </c>
      <c r="D132" s="340" t="s">
        <v>108</v>
      </c>
      <c r="E132" s="340">
        <v>3</v>
      </c>
      <c r="F132" s="341">
        <v>120</v>
      </c>
      <c r="G132" s="340">
        <v>1</v>
      </c>
      <c r="H132" s="559">
        <f t="shared" si="58"/>
        <v>360</v>
      </c>
      <c r="I132" s="588"/>
      <c r="J132" s="603"/>
      <c r="K132" s="358"/>
      <c r="L132" s="340"/>
      <c r="M132" s="559">
        <f>J132*K132*L132</f>
        <v>0</v>
      </c>
      <c r="N132" s="588"/>
      <c r="O132" s="574">
        <f t="shared" si="57"/>
        <v>360</v>
      </c>
      <c r="P132" s="359"/>
      <c r="Q132" s="340"/>
      <c r="R132" s="190" t="s">
        <v>140</v>
      </c>
    </row>
    <row r="133" spans="2:22" s="737" customFormat="1" ht="15" customHeight="1" thickBot="1" x14ac:dyDescent="0.35">
      <c r="B133" s="919" t="s">
        <v>45</v>
      </c>
      <c r="C133" s="901"/>
      <c r="D133" s="902"/>
      <c r="E133" s="920"/>
      <c r="F133" s="921"/>
      <c r="G133" s="920"/>
      <c r="H133" s="922"/>
      <c r="I133" s="167"/>
      <c r="J133" s="923"/>
      <c r="K133" s="921"/>
      <c r="L133" s="921"/>
      <c r="M133" s="922"/>
      <c r="N133" s="167"/>
      <c r="O133" s="908"/>
      <c r="P133" s="902"/>
      <c r="Q133" s="902"/>
      <c r="R133" s="924"/>
      <c r="T133" s="532">
        <f t="shared" ref="T133" si="59">(E133*F133*G133)+(J133*K133*L133)</f>
        <v>0</v>
      </c>
      <c r="U133" s="533" t="b">
        <f t="shared" ref="U133" si="60">O133=T133</f>
        <v>1</v>
      </c>
      <c r="V133" s="698"/>
    </row>
    <row r="134" spans="2:22" s="357" customFormat="1" ht="13.15" customHeight="1" x14ac:dyDescent="0.3">
      <c r="B134" s="190" t="s">
        <v>146</v>
      </c>
      <c r="C134" s="155" t="s">
        <v>14</v>
      </c>
      <c r="D134" s="340" t="s">
        <v>108</v>
      </c>
      <c r="E134" s="340">
        <v>1</v>
      </c>
      <c r="F134" s="341">
        <v>2400</v>
      </c>
      <c r="G134" s="340">
        <v>12</v>
      </c>
      <c r="H134" s="559">
        <f>E134*F134*G134</f>
        <v>28800</v>
      </c>
      <c r="I134" s="587"/>
      <c r="J134" s="603">
        <v>1</v>
      </c>
      <c r="K134" s="358">
        <v>2400</v>
      </c>
      <c r="L134" s="340">
        <v>6</v>
      </c>
      <c r="M134" s="559">
        <f>L134*J134*K134</f>
        <v>14400</v>
      </c>
      <c r="N134" s="587"/>
      <c r="O134" s="574">
        <f>H134+M134</f>
        <v>43200</v>
      </c>
      <c r="P134" s="360"/>
      <c r="Q134" s="273"/>
      <c r="R134" s="190" t="s">
        <v>147</v>
      </c>
    </row>
    <row r="135" spans="2:22" s="334" customFormat="1" ht="13.15" customHeight="1" x14ac:dyDescent="0.3">
      <c r="B135" s="190" t="s">
        <v>179</v>
      </c>
      <c r="C135" s="155" t="s">
        <v>14</v>
      </c>
      <c r="D135" s="340" t="s">
        <v>108</v>
      </c>
      <c r="E135" s="340">
        <v>1</v>
      </c>
      <c r="F135" s="341">
        <f>(2200+640)*0.2</f>
        <v>568</v>
      </c>
      <c r="G135" s="340">
        <v>12</v>
      </c>
      <c r="H135" s="559">
        <f t="shared" ref="H135" si="61">E135*F135*G135</f>
        <v>6816</v>
      </c>
      <c r="I135" s="588"/>
      <c r="J135" s="603">
        <v>1</v>
      </c>
      <c r="K135" s="358">
        <f>(2200+640)*0.2</f>
        <v>568</v>
      </c>
      <c r="L135" s="340">
        <v>6</v>
      </c>
      <c r="M135" s="559">
        <f t="shared" ref="M135:M136" si="62">L135*J135*K135</f>
        <v>3408</v>
      </c>
      <c r="N135" s="588"/>
      <c r="O135" s="574">
        <f t="shared" ref="O135" si="63">H135+M135</f>
        <v>10224</v>
      </c>
      <c r="P135" s="360"/>
      <c r="Q135" s="273"/>
      <c r="R135" s="190" t="s">
        <v>147</v>
      </c>
    </row>
    <row r="136" spans="2:22" s="357" customFormat="1" ht="13.15" customHeight="1" x14ac:dyDescent="0.3">
      <c r="B136" s="190" t="s">
        <v>248</v>
      </c>
      <c r="C136" s="155" t="s">
        <v>14</v>
      </c>
      <c r="D136" s="340" t="s">
        <v>108</v>
      </c>
      <c r="E136" s="340">
        <v>1</v>
      </c>
      <c r="F136" s="341">
        <v>12372.899418500001</v>
      </c>
      <c r="G136" s="340">
        <v>1</v>
      </c>
      <c r="H136" s="559">
        <f>E136*F136*G136</f>
        <v>12372.899418500001</v>
      </c>
      <c r="I136" s="587"/>
      <c r="J136" s="603">
        <v>1</v>
      </c>
      <c r="K136" s="358">
        <v>3179.5246735000001</v>
      </c>
      <c r="L136" s="340">
        <v>1</v>
      </c>
      <c r="M136" s="559">
        <f t="shared" si="62"/>
        <v>3179.5246735000001</v>
      </c>
      <c r="N136" s="587"/>
      <c r="O136" s="574">
        <f>H136+M136</f>
        <v>15552.424092000001</v>
      </c>
      <c r="P136" s="360"/>
      <c r="Q136" s="273"/>
      <c r="R136" s="190" t="s">
        <v>147</v>
      </c>
    </row>
    <row r="137" spans="2:22" s="365" customFormat="1" ht="13.15" customHeight="1" x14ac:dyDescent="0.3">
      <c r="B137" s="361" t="s">
        <v>39</v>
      </c>
      <c r="C137" s="361"/>
      <c r="D137" s="186"/>
      <c r="E137" s="176"/>
      <c r="F137" s="308"/>
      <c r="G137" s="176"/>
      <c r="H137" s="560">
        <f>SUM(H95:H136)</f>
        <v>256465.45941849999</v>
      </c>
      <c r="I137" s="584"/>
      <c r="J137" s="364"/>
      <c r="K137" s="485"/>
      <c r="L137" s="362"/>
      <c r="M137" s="560">
        <f>SUM(M95:M136)</f>
        <v>113931.46607350001</v>
      </c>
      <c r="N137" s="590"/>
      <c r="O137" s="575">
        <f>SUM(O95:O136)</f>
        <v>370396.92549199995</v>
      </c>
      <c r="P137" s="363"/>
      <c r="Q137" s="362"/>
      <c r="R137" s="364"/>
    </row>
    <row r="138" spans="2:22" s="324" customFormat="1" ht="13.15" customHeight="1" x14ac:dyDescent="0.3">
      <c r="B138" s="471"/>
      <c r="C138" s="471"/>
      <c r="D138" s="471" t="s">
        <v>38</v>
      </c>
      <c r="E138" s="366"/>
      <c r="F138" s="367"/>
      <c r="G138" s="366"/>
      <c r="H138" s="593">
        <f>H137+H91</f>
        <v>823753.79275183333</v>
      </c>
      <c r="I138" s="584"/>
      <c r="J138" s="605"/>
      <c r="K138" s="281"/>
      <c r="L138" s="179"/>
      <c r="M138" s="561">
        <f>M137+M91</f>
        <v>218761.12774016667</v>
      </c>
      <c r="N138" s="584"/>
      <c r="O138" s="576">
        <f>O137+O91</f>
        <v>1042514.9204919999</v>
      </c>
      <c r="P138" s="277"/>
      <c r="Q138" s="180"/>
      <c r="R138" s="279"/>
    </row>
    <row r="139" spans="2:22" s="324" customFormat="1" ht="13.15" customHeight="1" x14ac:dyDescent="0.3">
      <c r="B139" s="471"/>
      <c r="C139" s="471"/>
      <c r="D139" s="471"/>
      <c r="E139" s="366"/>
      <c r="F139" s="367"/>
      <c r="G139" s="366"/>
      <c r="H139" s="593"/>
      <c r="I139" s="584"/>
      <c r="J139" s="605"/>
      <c r="K139" s="281"/>
      <c r="L139" s="179"/>
      <c r="M139" s="561"/>
      <c r="N139" s="584"/>
      <c r="O139" s="576"/>
      <c r="P139" s="277"/>
      <c r="Q139" s="180"/>
      <c r="R139" s="279"/>
    </row>
    <row r="140" spans="2:22" s="324" customFormat="1" ht="13.15" customHeight="1" x14ac:dyDescent="0.3">
      <c r="B140" s="472"/>
      <c r="C140" s="472"/>
      <c r="D140" s="187" t="s">
        <v>49</v>
      </c>
      <c r="E140" s="181"/>
      <c r="F140" s="289"/>
      <c r="G140" s="181"/>
      <c r="H140" s="562">
        <f>H138*7%</f>
        <v>57662.765492628336</v>
      </c>
      <c r="I140" s="584"/>
      <c r="J140" s="578"/>
      <c r="K140" s="368"/>
      <c r="L140" s="369"/>
      <c r="M140" s="562">
        <f>M138*7%</f>
        <v>15313.278941811668</v>
      </c>
      <c r="N140" s="591"/>
      <c r="O140" s="577">
        <f>O138*7%</f>
        <v>72976.044434440002</v>
      </c>
      <c r="P140" s="370"/>
      <c r="Q140" s="369"/>
    </row>
    <row r="141" spans="2:22" s="324" customFormat="1" ht="13.15" customHeight="1" x14ac:dyDescent="0.3">
      <c r="B141" s="371"/>
      <c r="C141" s="371"/>
      <c r="D141" s="371" t="s">
        <v>21</v>
      </c>
      <c r="E141" s="372"/>
      <c r="F141" s="373"/>
      <c r="G141" s="372"/>
      <c r="H141" s="562">
        <f>H138+H140</f>
        <v>881416.55824446166</v>
      </c>
      <c r="I141" s="584"/>
      <c r="J141" s="578"/>
      <c r="K141" s="368"/>
      <c r="L141" s="369"/>
      <c r="M141" s="562">
        <f>M138+M140</f>
        <v>234074.40668197835</v>
      </c>
      <c r="N141" s="591"/>
      <c r="O141" s="578">
        <f>O138+O140</f>
        <v>1115490.96492644</v>
      </c>
      <c r="P141" s="370"/>
      <c r="Q141" s="369"/>
    </row>
    <row r="142" spans="2:22" s="324" customFormat="1" ht="13.15" customHeight="1" x14ac:dyDescent="0.3">
      <c r="D142" s="374"/>
      <c r="F142" s="375"/>
      <c r="H142" s="376"/>
      <c r="I142" s="584"/>
      <c r="K142" s="376"/>
      <c r="M142" s="376"/>
      <c r="N142" s="416"/>
      <c r="O142" s="377"/>
      <c r="P142" s="378"/>
      <c r="Q142" s="378"/>
    </row>
    <row r="143" spans="2:22" s="324" customFormat="1" ht="13.15" customHeight="1" x14ac:dyDescent="0.3">
      <c r="B143" s="379"/>
      <c r="C143" s="379"/>
      <c r="D143" s="380"/>
      <c r="E143" s="381"/>
      <c r="F143" s="375"/>
      <c r="G143" s="334"/>
      <c r="H143" s="377"/>
      <c r="I143" s="447"/>
      <c r="J143" s="334"/>
      <c r="K143" s="377"/>
      <c r="L143" s="334"/>
      <c r="M143" s="376"/>
      <c r="N143" s="416"/>
      <c r="O143" s="377"/>
      <c r="P143" s="378"/>
    </row>
    <row r="144" spans="2:22" s="324" customFormat="1" ht="13.15" customHeight="1" x14ac:dyDescent="0.3">
      <c r="D144" s="374"/>
      <c r="E144" s="382"/>
      <c r="F144" s="375"/>
      <c r="G144" s="334"/>
      <c r="H144" s="377"/>
      <c r="I144" s="447"/>
      <c r="J144" s="334"/>
      <c r="K144" s="377"/>
      <c r="L144" s="334"/>
      <c r="M144" s="376"/>
      <c r="N144" s="416"/>
      <c r="O144" s="377"/>
      <c r="P144" s="378"/>
    </row>
    <row r="145" spans="2:16" s="324" customFormat="1" ht="13.15" customHeight="1" x14ac:dyDescent="0.3">
      <c r="B145" s="312"/>
      <c r="C145" s="312"/>
      <c r="D145" s="312"/>
      <c r="E145" s="313"/>
      <c r="F145" s="375"/>
      <c r="H145" s="376"/>
      <c r="I145" s="416"/>
      <c r="K145" s="376"/>
      <c r="M145" s="376"/>
      <c r="N145" s="416"/>
      <c r="O145" s="377"/>
      <c r="P145" s="378"/>
    </row>
    <row r="146" spans="2:16" s="324" customFormat="1" ht="13.15" customHeight="1" x14ac:dyDescent="0.3">
      <c r="D146" s="383"/>
      <c r="E146" s="382"/>
      <c r="F146" s="375"/>
      <c r="H146" s="376"/>
      <c r="I146" s="416"/>
      <c r="K146" s="376"/>
      <c r="M146" s="376"/>
      <c r="N146" s="416"/>
      <c r="O146" s="377"/>
      <c r="P146" s="378"/>
    </row>
    <row r="147" spans="2:16" s="324" customFormat="1" ht="13.15" customHeight="1" x14ac:dyDescent="0.3">
      <c r="B147" s="324" t="s">
        <v>27</v>
      </c>
      <c r="D147" s="374"/>
      <c r="E147" s="382"/>
      <c r="F147" s="375"/>
      <c r="H147" s="376"/>
      <c r="I147" s="416"/>
      <c r="K147" s="376"/>
      <c r="M147" s="376"/>
      <c r="N147" s="416"/>
      <c r="O147" s="377"/>
      <c r="P147" s="378"/>
    </row>
    <row r="148" spans="2:16" s="324" customFormat="1" ht="13.15" customHeight="1" x14ac:dyDescent="0.3">
      <c r="B148" s="324" t="s">
        <v>28</v>
      </c>
      <c r="D148" s="374"/>
      <c r="E148" s="382"/>
      <c r="F148" s="375"/>
      <c r="H148" s="376"/>
      <c r="I148" s="416"/>
      <c r="K148" s="376"/>
      <c r="M148" s="376"/>
      <c r="N148" s="416"/>
      <c r="O148" s="377"/>
      <c r="P148" s="378"/>
    </row>
    <row r="149" spans="2:16" s="324" customFormat="1" ht="13.15" customHeight="1" x14ac:dyDescent="0.3">
      <c r="B149" s="310"/>
      <c r="C149" s="310"/>
      <c r="D149" s="310"/>
      <c r="E149" s="311"/>
      <c r="F149" s="375"/>
      <c r="H149" s="376"/>
      <c r="I149" s="416"/>
      <c r="K149" s="376"/>
      <c r="M149" s="376"/>
      <c r="N149" s="416"/>
      <c r="O149" s="377"/>
      <c r="P149" s="378"/>
    </row>
    <row r="150" spans="2:16" s="324" customFormat="1" ht="13.15" customHeight="1" x14ac:dyDescent="0.3">
      <c r="D150" s="374"/>
      <c r="F150" s="375"/>
      <c r="H150" s="376"/>
      <c r="I150" s="416"/>
      <c r="K150" s="376"/>
      <c r="M150" s="376"/>
      <c r="N150" s="416"/>
      <c r="O150" s="377"/>
      <c r="P150" s="378"/>
    </row>
    <row r="151" spans="2:16" s="324" customFormat="1" ht="13.15" customHeight="1" x14ac:dyDescent="0.3">
      <c r="B151" s="384"/>
      <c r="C151" s="384"/>
      <c r="D151" s="385"/>
      <c r="E151" s="325"/>
      <c r="F151" s="375"/>
      <c r="H151" s="376"/>
      <c r="I151" s="416"/>
      <c r="K151" s="376"/>
      <c r="M151" s="376"/>
      <c r="N151" s="416"/>
      <c r="O151" s="377"/>
      <c r="P151" s="378"/>
    </row>
    <row r="152" spans="2:16" s="324" customFormat="1" ht="13.15" customHeight="1" x14ac:dyDescent="0.3">
      <c r="D152" s="374"/>
      <c r="E152" s="382"/>
      <c r="F152" s="375"/>
      <c r="H152" s="376"/>
      <c r="I152" s="416"/>
      <c r="K152" s="376"/>
      <c r="M152" s="376"/>
      <c r="N152" s="416"/>
      <c r="O152" s="377"/>
      <c r="P152" s="378"/>
    </row>
    <row r="153" spans="2:16" s="324" customFormat="1" ht="13.15" customHeight="1" x14ac:dyDescent="0.3">
      <c r="D153" s="374"/>
      <c r="E153" s="382"/>
      <c r="F153" s="375"/>
      <c r="H153" s="376"/>
      <c r="I153" s="416"/>
      <c r="K153" s="376"/>
      <c r="M153" s="376"/>
      <c r="N153" s="416"/>
      <c r="O153" s="377"/>
      <c r="P153" s="378"/>
    </row>
    <row r="154" spans="2:16" s="324" customFormat="1" ht="13.15" customHeight="1" x14ac:dyDescent="0.3">
      <c r="D154" s="374"/>
      <c r="E154" s="382"/>
      <c r="F154" s="375"/>
      <c r="H154" s="376"/>
      <c r="I154" s="416"/>
      <c r="K154" s="376"/>
      <c r="M154" s="376"/>
      <c r="N154" s="416"/>
      <c r="O154" s="377"/>
      <c r="P154" s="378"/>
    </row>
    <row r="155" spans="2:16" s="324" customFormat="1" ht="13.15" customHeight="1" x14ac:dyDescent="0.3">
      <c r="D155" s="374"/>
      <c r="E155" s="382"/>
      <c r="F155" s="375"/>
      <c r="H155" s="376"/>
      <c r="I155" s="416"/>
      <c r="K155" s="376"/>
      <c r="M155" s="376"/>
      <c r="N155" s="416"/>
      <c r="O155" s="377"/>
      <c r="P155" s="378"/>
    </row>
    <row r="156" spans="2:16" s="324" customFormat="1" ht="13.15" customHeight="1" x14ac:dyDescent="0.3">
      <c r="D156" s="374"/>
      <c r="E156" s="382"/>
      <c r="F156" s="375"/>
      <c r="H156" s="376"/>
      <c r="I156" s="416"/>
      <c r="K156" s="376"/>
      <c r="M156" s="376"/>
      <c r="N156" s="416"/>
      <c r="O156" s="377"/>
      <c r="P156" s="378"/>
    </row>
    <row r="157" spans="2:16" s="324" customFormat="1" ht="13.15" customHeight="1" x14ac:dyDescent="0.3">
      <c r="D157" s="374"/>
      <c r="E157" s="382"/>
      <c r="F157" s="375"/>
      <c r="H157" s="376"/>
      <c r="I157" s="416"/>
      <c r="K157" s="376"/>
      <c r="M157" s="376"/>
      <c r="N157" s="416"/>
      <c r="O157" s="377"/>
      <c r="P157" s="378"/>
    </row>
    <row r="158" spans="2:16" s="324" customFormat="1" ht="13.15" customHeight="1" x14ac:dyDescent="0.3">
      <c r="B158" s="386"/>
      <c r="C158" s="386"/>
      <c r="D158" s="387"/>
      <c r="E158" s="388"/>
      <c r="F158" s="375"/>
      <c r="H158" s="376"/>
      <c r="I158" s="416"/>
      <c r="K158" s="376"/>
      <c r="M158" s="376"/>
      <c r="N158" s="416"/>
      <c r="O158" s="377"/>
      <c r="P158" s="378"/>
    </row>
    <row r="159" spans="2:16" s="324" customFormat="1" ht="13.15" customHeight="1" x14ac:dyDescent="0.3">
      <c r="D159" s="374"/>
      <c r="F159" s="375"/>
      <c r="H159" s="376"/>
      <c r="I159" s="416"/>
      <c r="K159" s="376"/>
      <c r="M159" s="376"/>
      <c r="N159" s="416"/>
      <c r="O159" s="377"/>
      <c r="P159" s="378"/>
    </row>
    <row r="160" spans="2:16" s="324" customFormat="1" ht="13.15" customHeight="1" x14ac:dyDescent="0.3">
      <c r="D160" s="374"/>
      <c r="F160" s="375"/>
      <c r="H160" s="376"/>
      <c r="I160" s="416"/>
      <c r="K160" s="376"/>
      <c r="M160" s="376"/>
      <c r="N160" s="416"/>
      <c r="O160" s="377"/>
      <c r="P160" s="378"/>
    </row>
    <row r="161" spans="4:16" s="324" customFormat="1" ht="13.15" customHeight="1" x14ac:dyDescent="0.3">
      <c r="D161" s="374"/>
      <c r="F161" s="375"/>
      <c r="H161" s="376"/>
      <c r="I161" s="416"/>
      <c r="K161" s="376"/>
      <c r="M161" s="376"/>
      <c r="N161" s="416"/>
      <c r="O161" s="377"/>
      <c r="P161" s="378"/>
    </row>
    <row r="162" spans="4:16" s="324" customFormat="1" ht="13.15" customHeight="1" x14ac:dyDescent="0.3">
      <c r="D162" s="374"/>
      <c r="F162" s="375"/>
      <c r="H162" s="376"/>
      <c r="I162" s="416"/>
      <c r="K162" s="376"/>
      <c r="M162" s="376"/>
      <c r="N162" s="416"/>
      <c r="O162" s="377"/>
      <c r="P162" s="378"/>
    </row>
    <row r="163" spans="4:16" s="324" customFormat="1" ht="13.15" customHeight="1" x14ac:dyDescent="0.3">
      <c r="D163" s="374"/>
      <c r="F163" s="375"/>
      <c r="H163" s="376"/>
      <c r="I163" s="416"/>
      <c r="K163" s="376"/>
      <c r="M163" s="376"/>
      <c r="N163" s="416"/>
      <c r="O163" s="377"/>
      <c r="P163" s="378"/>
    </row>
    <row r="164" spans="4:16" s="324" customFormat="1" ht="13.15" customHeight="1" x14ac:dyDescent="0.3">
      <c r="D164" s="374"/>
      <c r="F164" s="375"/>
      <c r="H164" s="376"/>
      <c r="I164" s="416"/>
      <c r="K164" s="376"/>
      <c r="M164" s="376"/>
      <c r="N164" s="416"/>
      <c r="O164" s="377"/>
      <c r="P164" s="378"/>
    </row>
    <row r="165" spans="4:16" s="324" customFormat="1" ht="13.15" customHeight="1" x14ac:dyDescent="0.3">
      <c r="D165" s="374"/>
      <c r="F165" s="375"/>
      <c r="H165" s="376"/>
      <c r="I165" s="416"/>
      <c r="K165" s="376"/>
      <c r="M165" s="376"/>
      <c r="N165" s="416"/>
      <c r="O165" s="377"/>
      <c r="P165" s="378"/>
    </row>
    <row r="166" spans="4:16" s="324" customFormat="1" ht="13.15" customHeight="1" x14ac:dyDescent="0.3">
      <c r="D166" s="374"/>
      <c r="F166" s="375"/>
      <c r="H166" s="376"/>
      <c r="I166" s="416"/>
      <c r="K166" s="376"/>
      <c r="M166" s="376"/>
      <c r="N166" s="416"/>
      <c r="O166" s="377"/>
      <c r="P166" s="378"/>
    </row>
    <row r="167" spans="4:16" s="324" customFormat="1" ht="13.15" customHeight="1" x14ac:dyDescent="0.3">
      <c r="D167" s="374"/>
      <c r="F167" s="375"/>
      <c r="H167" s="376"/>
      <c r="I167" s="416"/>
      <c r="K167" s="376"/>
      <c r="M167" s="376"/>
      <c r="N167" s="416"/>
      <c r="O167" s="377"/>
      <c r="P167" s="378"/>
    </row>
    <row r="168" spans="4:16" s="324" customFormat="1" ht="13.15" customHeight="1" x14ac:dyDescent="0.3">
      <c r="D168" s="374"/>
      <c r="F168" s="375"/>
      <c r="H168" s="376"/>
      <c r="I168" s="416"/>
      <c r="K168" s="376"/>
      <c r="M168" s="376"/>
      <c r="N168" s="416"/>
      <c r="O168" s="377"/>
      <c r="P168" s="378"/>
    </row>
    <row r="169" spans="4:16" s="324" customFormat="1" ht="13.15" customHeight="1" x14ac:dyDescent="0.3">
      <c r="D169" s="374"/>
      <c r="F169" s="375"/>
      <c r="H169" s="376"/>
      <c r="I169" s="416"/>
      <c r="K169" s="376"/>
      <c r="M169" s="376"/>
      <c r="N169" s="416"/>
      <c r="O169" s="377"/>
      <c r="P169" s="378"/>
    </row>
    <row r="170" spans="4:16" s="324" customFormat="1" ht="13.15" customHeight="1" x14ac:dyDescent="0.3">
      <c r="D170" s="374"/>
      <c r="F170" s="375"/>
      <c r="H170" s="376"/>
      <c r="I170" s="416"/>
      <c r="K170" s="376"/>
      <c r="M170" s="376"/>
      <c r="N170" s="416"/>
      <c r="O170" s="377"/>
      <c r="P170" s="378"/>
    </row>
    <row r="171" spans="4:16" s="324" customFormat="1" ht="13.15" customHeight="1" x14ac:dyDescent="0.3">
      <c r="D171" s="374"/>
      <c r="F171" s="375"/>
      <c r="H171" s="376"/>
      <c r="I171" s="416"/>
      <c r="K171" s="376"/>
      <c r="M171" s="376"/>
      <c r="N171" s="416"/>
      <c r="O171" s="377"/>
      <c r="P171" s="378"/>
    </row>
    <row r="172" spans="4:16" s="324" customFormat="1" ht="13.15" customHeight="1" x14ac:dyDescent="0.3">
      <c r="D172" s="374"/>
      <c r="F172" s="375"/>
      <c r="H172" s="376"/>
      <c r="I172" s="416"/>
      <c r="K172" s="376"/>
      <c r="M172" s="376"/>
      <c r="N172" s="416"/>
      <c r="O172" s="377"/>
      <c r="P172" s="378"/>
    </row>
    <row r="173" spans="4:16" s="324" customFormat="1" ht="13.15" customHeight="1" x14ac:dyDescent="0.3">
      <c r="D173" s="374"/>
      <c r="F173" s="375"/>
      <c r="H173" s="376"/>
      <c r="I173" s="416"/>
      <c r="K173" s="376"/>
      <c r="M173" s="376"/>
      <c r="N173" s="416"/>
      <c r="O173" s="377"/>
      <c r="P173" s="378"/>
    </row>
    <row r="174" spans="4:16" s="324" customFormat="1" ht="13.15" customHeight="1" x14ac:dyDescent="0.3">
      <c r="D174" s="374"/>
      <c r="F174" s="375"/>
      <c r="H174" s="376"/>
      <c r="I174" s="416"/>
      <c r="K174" s="376"/>
      <c r="M174" s="376"/>
      <c r="N174" s="416"/>
      <c r="O174" s="377"/>
      <c r="P174" s="378"/>
    </row>
    <row r="175" spans="4:16" s="324" customFormat="1" ht="13.15" customHeight="1" x14ac:dyDescent="0.3">
      <c r="D175" s="374"/>
      <c r="F175" s="375"/>
      <c r="H175" s="376"/>
      <c r="I175" s="416"/>
      <c r="K175" s="376"/>
      <c r="M175" s="376"/>
      <c r="N175" s="416"/>
      <c r="O175" s="377"/>
      <c r="P175" s="378"/>
    </row>
    <row r="176" spans="4:16" s="324" customFormat="1" ht="13.15" customHeight="1" x14ac:dyDescent="0.3">
      <c r="D176" s="374"/>
      <c r="F176" s="375"/>
      <c r="H176" s="376"/>
      <c r="I176" s="416"/>
      <c r="K176" s="376"/>
      <c r="M176" s="376"/>
      <c r="N176" s="416"/>
      <c r="O176" s="377"/>
      <c r="P176" s="378"/>
    </row>
    <row r="177" spans="4:16" s="324" customFormat="1" ht="13.15" customHeight="1" x14ac:dyDescent="0.3">
      <c r="D177" s="374"/>
      <c r="F177" s="375"/>
      <c r="H177" s="376"/>
      <c r="I177" s="416"/>
      <c r="K177" s="376"/>
      <c r="M177" s="376"/>
      <c r="N177" s="416"/>
      <c r="O177" s="377"/>
      <c r="P177" s="378"/>
    </row>
    <row r="178" spans="4:16" s="324" customFormat="1" ht="13.15" customHeight="1" x14ac:dyDescent="0.3">
      <c r="D178" s="374"/>
      <c r="F178" s="375"/>
      <c r="H178" s="376"/>
      <c r="I178" s="416"/>
      <c r="K178" s="376"/>
      <c r="M178" s="376"/>
      <c r="N178" s="416"/>
      <c r="O178" s="377"/>
      <c r="P178" s="378"/>
    </row>
    <row r="179" spans="4:16" s="324" customFormat="1" ht="13.15" customHeight="1" x14ac:dyDescent="0.3">
      <c r="D179" s="374"/>
      <c r="F179" s="375"/>
      <c r="H179" s="376"/>
      <c r="I179" s="416"/>
      <c r="K179" s="376"/>
      <c r="M179" s="376"/>
      <c r="N179" s="416"/>
      <c r="O179" s="377"/>
      <c r="P179" s="378"/>
    </row>
    <row r="180" spans="4:16" s="324" customFormat="1" ht="13.15" customHeight="1" x14ac:dyDescent="0.3">
      <c r="D180" s="374"/>
      <c r="F180" s="375"/>
      <c r="H180" s="376"/>
      <c r="I180" s="416"/>
      <c r="K180" s="376"/>
      <c r="M180" s="376"/>
      <c r="N180" s="416"/>
      <c r="O180" s="377"/>
      <c r="P180" s="378"/>
    </row>
    <row r="181" spans="4:16" s="324" customFormat="1" ht="13.15" customHeight="1" x14ac:dyDescent="0.3">
      <c r="D181" s="374"/>
      <c r="F181" s="375"/>
      <c r="H181" s="376"/>
      <c r="I181" s="416"/>
      <c r="K181" s="376"/>
      <c r="M181" s="376"/>
      <c r="N181" s="416"/>
      <c r="O181" s="377"/>
      <c r="P181" s="378"/>
    </row>
    <row r="182" spans="4:16" s="324" customFormat="1" ht="13.15" customHeight="1" x14ac:dyDescent="0.3">
      <c r="D182" s="374"/>
      <c r="F182" s="375"/>
      <c r="H182" s="376"/>
      <c r="I182" s="416"/>
      <c r="K182" s="376"/>
      <c r="M182" s="376"/>
      <c r="N182" s="416"/>
      <c r="O182" s="377"/>
      <c r="P182" s="378"/>
    </row>
    <row r="183" spans="4:16" s="324" customFormat="1" ht="13.15" customHeight="1" x14ac:dyDescent="0.3">
      <c r="D183" s="374"/>
      <c r="F183" s="375"/>
      <c r="H183" s="376"/>
      <c r="I183" s="416"/>
      <c r="K183" s="376"/>
      <c r="M183" s="376"/>
      <c r="N183" s="416"/>
      <c r="O183" s="377"/>
      <c r="P183" s="378"/>
    </row>
    <row r="184" spans="4:16" s="324" customFormat="1" ht="13.15" customHeight="1" x14ac:dyDescent="0.3">
      <c r="D184" s="374"/>
      <c r="F184" s="375"/>
      <c r="H184" s="376"/>
      <c r="I184" s="416"/>
      <c r="K184" s="376"/>
      <c r="M184" s="376"/>
      <c r="N184" s="416"/>
      <c r="O184" s="377"/>
      <c r="P184" s="378"/>
    </row>
    <row r="185" spans="4:16" s="324" customFormat="1" ht="13.15" customHeight="1" x14ac:dyDescent="0.3">
      <c r="D185" s="374"/>
      <c r="F185" s="375"/>
      <c r="H185" s="376"/>
      <c r="I185" s="416"/>
      <c r="K185" s="376"/>
      <c r="M185" s="376"/>
      <c r="N185" s="416"/>
      <c r="O185" s="377"/>
      <c r="P185" s="378"/>
    </row>
    <row r="186" spans="4:16" s="324" customFormat="1" ht="13.15" customHeight="1" x14ac:dyDescent="0.3">
      <c r="D186" s="374"/>
      <c r="F186" s="375"/>
      <c r="H186" s="376"/>
      <c r="I186" s="416"/>
      <c r="K186" s="376"/>
      <c r="M186" s="376"/>
      <c r="N186" s="416"/>
      <c r="O186" s="377"/>
      <c r="P186" s="378"/>
    </row>
    <row r="187" spans="4:16" s="324" customFormat="1" ht="13.15" customHeight="1" x14ac:dyDescent="0.3">
      <c r="D187" s="374"/>
      <c r="F187" s="375"/>
      <c r="H187" s="376"/>
      <c r="I187" s="416"/>
      <c r="K187" s="376"/>
      <c r="M187" s="376"/>
      <c r="N187" s="416"/>
      <c r="O187" s="377"/>
      <c r="P187" s="378"/>
    </row>
    <row r="188" spans="4:16" s="324" customFormat="1" ht="13.15" customHeight="1" x14ac:dyDescent="0.3">
      <c r="D188" s="374"/>
      <c r="F188" s="375"/>
      <c r="H188" s="376"/>
      <c r="I188" s="416"/>
      <c r="K188" s="376"/>
      <c r="M188" s="376"/>
      <c r="N188" s="416"/>
      <c r="O188" s="377"/>
      <c r="P188" s="378"/>
    </row>
    <row r="189" spans="4:16" s="324" customFormat="1" ht="13.15" customHeight="1" x14ac:dyDescent="0.3">
      <c r="D189" s="374"/>
      <c r="F189" s="375"/>
      <c r="H189" s="376"/>
      <c r="I189" s="416"/>
      <c r="K189" s="376"/>
      <c r="M189" s="376"/>
      <c r="N189" s="416"/>
      <c r="O189" s="377"/>
      <c r="P189" s="378"/>
    </row>
    <row r="190" spans="4:16" s="324" customFormat="1" ht="13.15" customHeight="1" x14ac:dyDescent="0.3">
      <c r="D190" s="374"/>
      <c r="F190" s="375"/>
      <c r="H190" s="376"/>
      <c r="I190" s="416"/>
      <c r="K190" s="376"/>
      <c r="M190" s="376"/>
      <c r="N190" s="416"/>
      <c r="O190" s="377"/>
      <c r="P190" s="378"/>
    </row>
    <row r="191" spans="4:16" s="324" customFormat="1" ht="13.15" customHeight="1" x14ac:dyDescent="0.3">
      <c r="D191" s="374"/>
      <c r="F191" s="375"/>
      <c r="H191" s="376"/>
      <c r="I191" s="416"/>
      <c r="K191" s="376"/>
      <c r="M191" s="376"/>
      <c r="N191" s="416"/>
      <c r="O191" s="377"/>
      <c r="P191" s="378"/>
    </row>
    <row r="192" spans="4:16" s="324" customFormat="1" ht="13.15" customHeight="1" x14ac:dyDescent="0.3">
      <c r="D192" s="374"/>
      <c r="F192" s="375"/>
      <c r="H192" s="376"/>
      <c r="I192" s="416"/>
      <c r="K192" s="376"/>
      <c r="M192" s="376"/>
      <c r="N192" s="416"/>
      <c r="O192" s="377"/>
      <c r="P192" s="378"/>
    </row>
    <row r="193" spans="4:16" s="324" customFormat="1" ht="13.15" customHeight="1" x14ac:dyDescent="0.3">
      <c r="D193" s="374"/>
      <c r="F193" s="375"/>
      <c r="H193" s="376"/>
      <c r="I193" s="416"/>
      <c r="K193" s="376"/>
      <c r="M193" s="376"/>
      <c r="N193" s="416"/>
      <c r="O193" s="377"/>
      <c r="P193" s="378"/>
    </row>
    <row r="194" spans="4:16" s="324" customFormat="1" ht="13.15" customHeight="1" x14ac:dyDescent="0.3">
      <c r="D194" s="374"/>
      <c r="F194" s="375"/>
      <c r="H194" s="376"/>
      <c r="I194" s="416"/>
      <c r="K194" s="376"/>
      <c r="M194" s="376"/>
      <c r="N194" s="416"/>
      <c r="O194" s="377"/>
      <c r="P194" s="378"/>
    </row>
    <row r="195" spans="4:16" s="324" customFormat="1" ht="13.15" customHeight="1" x14ac:dyDescent="0.3">
      <c r="D195" s="374"/>
      <c r="F195" s="375"/>
      <c r="H195" s="376"/>
      <c r="I195" s="416"/>
      <c r="K195" s="376"/>
      <c r="M195" s="376"/>
      <c r="N195" s="416"/>
      <c r="O195" s="377"/>
      <c r="P195" s="378"/>
    </row>
    <row r="196" spans="4:16" s="324" customFormat="1" ht="13.15" customHeight="1" x14ac:dyDescent="0.3">
      <c r="D196" s="374"/>
      <c r="F196" s="375"/>
      <c r="H196" s="376"/>
      <c r="I196" s="416"/>
      <c r="K196" s="376"/>
      <c r="M196" s="376"/>
      <c r="N196" s="416"/>
      <c r="O196" s="377"/>
      <c r="P196" s="378"/>
    </row>
    <row r="197" spans="4:16" s="324" customFormat="1" ht="13.15" customHeight="1" x14ac:dyDescent="0.3">
      <c r="D197" s="374"/>
      <c r="F197" s="375"/>
      <c r="H197" s="376"/>
      <c r="I197" s="416"/>
      <c r="K197" s="376"/>
      <c r="M197" s="376"/>
      <c r="N197" s="416"/>
      <c r="O197" s="377"/>
      <c r="P197" s="378"/>
    </row>
    <row r="198" spans="4:16" s="324" customFormat="1" ht="13.15" customHeight="1" x14ac:dyDescent="0.3">
      <c r="D198" s="374"/>
      <c r="F198" s="375"/>
      <c r="H198" s="376"/>
      <c r="I198" s="416"/>
      <c r="K198" s="376"/>
      <c r="M198" s="376"/>
      <c r="N198" s="416"/>
      <c r="O198" s="377"/>
      <c r="P198" s="378"/>
    </row>
    <row r="199" spans="4:16" s="324" customFormat="1" ht="13.15" customHeight="1" x14ac:dyDescent="0.3">
      <c r="D199" s="374"/>
      <c r="F199" s="375"/>
      <c r="H199" s="376"/>
      <c r="I199" s="416"/>
      <c r="K199" s="376"/>
      <c r="M199" s="376"/>
      <c r="N199" s="416"/>
      <c r="O199" s="377"/>
      <c r="P199" s="378"/>
    </row>
    <row r="200" spans="4:16" s="324" customFormat="1" ht="13.15" customHeight="1" x14ac:dyDescent="0.3">
      <c r="D200" s="374"/>
      <c r="F200" s="375"/>
      <c r="H200" s="376"/>
      <c r="I200" s="416"/>
      <c r="K200" s="376"/>
      <c r="M200" s="376"/>
      <c r="N200" s="416"/>
      <c r="O200" s="377"/>
      <c r="P200" s="378"/>
    </row>
    <row r="201" spans="4:16" s="324" customFormat="1" ht="13.15" customHeight="1" x14ac:dyDescent="0.3">
      <c r="D201" s="374"/>
      <c r="F201" s="375"/>
      <c r="H201" s="376"/>
      <c r="I201" s="416"/>
      <c r="K201" s="376"/>
      <c r="M201" s="376"/>
      <c r="N201" s="416"/>
      <c r="O201" s="377"/>
      <c r="P201" s="378"/>
    </row>
    <row r="202" spans="4:16" s="324" customFormat="1" ht="13.15" customHeight="1" x14ac:dyDescent="0.3">
      <c r="D202" s="374"/>
      <c r="F202" s="375"/>
      <c r="H202" s="376"/>
      <c r="I202" s="416"/>
      <c r="K202" s="376"/>
      <c r="M202" s="376"/>
      <c r="N202" s="416"/>
      <c r="O202" s="377"/>
      <c r="P202" s="378"/>
    </row>
    <row r="203" spans="4:16" s="324" customFormat="1" ht="13.15" customHeight="1" x14ac:dyDescent="0.3">
      <c r="D203" s="374"/>
      <c r="F203" s="375"/>
      <c r="H203" s="376"/>
      <c r="I203" s="416"/>
      <c r="K203" s="376"/>
      <c r="M203" s="376"/>
      <c r="N203" s="416"/>
      <c r="O203" s="377"/>
      <c r="P203" s="378"/>
    </row>
    <row r="204" spans="4:16" s="324" customFormat="1" ht="13.15" customHeight="1" x14ac:dyDescent="0.3">
      <c r="D204" s="374"/>
      <c r="F204" s="375"/>
      <c r="H204" s="376"/>
      <c r="I204" s="416"/>
      <c r="K204" s="376"/>
      <c r="M204" s="376"/>
      <c r="N204" s="416"/>
      <c r="O204" s="377"/>
      <c r="P204" s="378"/>
    </row>
    <row r="205" spans="4:16" s="324" customFormat="1" ht="13.15" customHeight="1" x14ac:dyDescent="0.3">
      <c r="D205" s="374"/>
      <c r="F205" s="375"/>
      <c r="H205" s="376"/>
      <c r="I205" s="416"/>
      <c r="K205" s="376"/>
      <c r="M205" s="376"/>
      <c r="N205" s="416"/>
      <c r="O205" s="377"/>
      <c r="P205" s="378"/>
    </row>
    <row r="206" spans="4:16" s="324" customFormat="1" ht="13.15" customHeight="1" x14ac:dyDescent="0.3">
      <c r="D206" s="374"/>
      <c r="F206" s="375"/>
      <c r="H206" s="376"/>
      <c r="I206" s="416"/>
      <c r="K206" s="376"/>
      <c r="M206" s="376"/>
      <c r="N206" s="416"/>
      <c r="O206" s="377"/>
      <c r="P206" s="378"/>
    </row>
    <row r="207" spans="4:16" s="324" customFormat="1" ht="13.15" customHeight="1" x14ac:dyDescent="0.3">
      <c r="D207" s="374"/>
      <c r="F207" s="375"/>
      <c r="H207" s="376"/>
      <c r="I207" s="416"/>
      <c r="K207" s="376"/>
      <c r="M207" s="376"/>
      <c r="N207" s="416"/>
      <c r="O207" s="377"/>
      <c r="P207" s="378"/>
    </row>
    <row r="208" spans="4:16" s="324" customFormat="1" ht="13.15" customHeight="1" x14ac:dyDescent="0.3">
      <c r="D208" s="374"/>
      <c r="F208" s="375"/>
      <c r="H208" s="376"/>
      <c r="I208" s="416"/>
      <c r="K208" s="376"/>
      <c r="M208" s="376"/>
      <c r="N208" s="416"/>
      <c r="O208" s="377"/>
      <c r="P208" s="378"/>
    </row>
    <row r="209" spans="4:16" s="324" customFormat="1" ht="13.15" customHeight="1" x14ac:dyDescent="0.3">
      <c r="D209" s="374"/>
      <c r="F209" s="375"/>
      <c r="H209" s="376"/>
      <c r="I209" s="416"/>
      <c r="K209" s="376"/>
      <c r="M209" s="376"/>
      <c r="N209" s="416"/>
      <c r="O209" s="377"/>
      <c r="P209" s="378"/>
    </row>
    <row r="210" spans="4:16" s="324" customFormat="1" ht="13.15" customHeight="1" x14ac:dyDescent="0.3">
      <c r="D210" s="374"/>
      <c r="F210" s="375"/>
      <c r="H210" s="376"/>
      <c r="I210" s="416"/>
      <c r="K210" s="376"/>
      <c r="M210" s="376"/>
      <c r="N210" s="416"/>
      <c r="O210" s="377"/>
      <c r="P210" s="378"/>
    </row>
    <row r="211" spans="4:16" s="324" customFormat="1" ht="13.15" customHeight="1" x14ac:dyDescent="0.3">
      <c r="D211" s="374"/>
      <c r="F211" s="375"/>
      <c r="H211" s="376"/>
      <c r="I211" s="416"/>
      <c r="K211" s="376"/>
      <c r="M211" s="376"/>
      <c r="N211" s="416"/>
      <c r="O211" s="377"/>
      <c r="P211" s="378"/>
    </row>
    <row r="212" spans="4:16" s="324" customFormat="1" ht="13.15" customHeight="1" x14ac:dyDescent="0.3">
      <c r="D212" s="374"/>
      <c r="F212" s="375"/>
      <c r="H212" s="376"/>
      <c r="I212" s="416"/>
      <c r="K212" s="376"/>
      <c r="M212" s="376"/>
      <c r="N212" s="416"/>
      <c r="O212" s="377"/>
      <c r="P212" s="378"/>
    </row>
    <row r="213" spans="4:16" s="324" customFormat="1" ht="13.15" customHeight="1" x14ac:dyDescent="0.3">
      <c r="D213" s="374"/>
      <c r="F213" s="375"/>
      <c r="H213" s="376"/>
      <c r="I213" s="416"/>
      <c r="K213" s="376"/>
      <c r="M213" s="376"/>
      <c r="N213" s="416"/>
      <c r="O213" s="377"/>
      <c r="P213" s="378"/>
    </row>
  </sheetData>
  <dataValidations count="3">
    <dataValidation type="list" allowBlank="1" showInputMessage="1" showErrorMessage="1" sqref="C16 C134:C136 C13 C110 C103 C41 C70:C80 C55:C68 C24:C38 C43:C53" xr:uid="{8ADB8F5D-4616-47BB-B398-11D84A2183C8}">
      <formula1>cate</formula1>
    </dataValidation>
    <dataValidation type="list" allowBlank="1" showInputMessage="1" showErrorMessage="1" sqref="C69" xr:uid="{5C3F3F0F-E18E-40C3-8599-47040C8BBB5F}">
      <formula1>catego</formula1>
    </dataValidation>
    <dataValidation type="list" allowBlank="1" showInputMessage="1" showErrorMessage="1" sqref="C54" xr:uid="{CB371EBC-08C5-4364-980F-31CF3E9D272D}">
      <formula1>dddd</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1ACFB-1373-40EB-892C-C112F1AB54BD}">
  <sheetPr codeName="Sheet5">
    <tabColor rgb="FFC00000"/>
  </sheetPr>
  <dimension ref="A1:V96"/>
  <sheetViews>
    <sheetView zoomScale="60" zoomScaleNormal="60" workbookViewId="0">
      <selection activeCell="B36" sqref="B36"/>
    </sheetView>
  </sheetViews>
  <sheetFormatPr baseColWidth="10" defaultColWidth="11.453125" defaultRowHeight="13.15" customHeight="1" x14ac:dyDescent="0.3"/>
  <cols>
    <col min="1" max="1" width="13.6328125" style="1" customWidth="1"/>
    <col min="2" max="2" width="58.36328125" style="116" customWidth="1"/>
    <col min="3" max="3" width="27.90625" style="1" customWidth="1"/>
    <col min="4" max="4" width="14.90625" style="102" customWidth="1"/>
    <col min="5" max="7" width="10.6328125" style="1" customWidth="1"/>
    <col min="8" max="8" width="14.453125" style="1" customWidth="1"/>
    <col min="9" max="9" width="3.36328125" style="157" customWidth="1"/>
    <col min="10" max="12" width="10.6328125" style="1" customWidth="1"/>
    <col min="13" max="13" width="12.6328125" style="1" customWidth="1"/>
    <col min="14" max="14" width="3" style="157" customWidth="1"/>
    <col min="15" max="15" width="12.36328125" style="62" customWidth="1"/>
    <col min="16" max="16" width="15.453125" style="62" customWidth="1"/>
    <col min="17" max="17" width="23.36328125" style="62" customWidth="1"/>
    <col min="18" max="18" width="70.08984375" style="113" customWidth="1"/>
    <col min="19" max="16384" width="11.453125" style="1"/>
  </cols>
  <sheetData>
    <row r="1" spans="1:22" s="60" customFormat="1" ht="13.15" customHeight="1" x14ac:dyDescent="0.3">
      <c r="B1" s="1005"/>
      <c r="D1" s="1017" t="s">
        <v>22</v>
      </c>
      <c r="E1" s="1018"/>
      <c r="F1" s="1018"/>
      <c r="G1" s="1018"/>
      <c r="I1" s="1006"/>
      <c r="N1" s="979"/>
      <c r="R1" s="1007"/>
    </row>
    <row r="2" spans="1:22" s="60" customFormat="1" ht="13.15" customHeight="1" x14ac:dyDescent="0.3">
      <c r="B2" s="1008" t="s">
        <v>18</v>
      </c>
      <c r="C2" s="84" t="s">
        <v>150</v>
      </c>
      <c r="D2" s="1009"/>
      <c r="I2" s="1006"/>
      <c r="N2" s="979"/>
      <c r="R2" s="1007"/>
    </row>
    <row r="3" spans="1:22" s="1010" customFormat="1" ht="13.15" customHeight="1" x14ac:dyDescent="0.3">
      <c r="B3" s="1011" t="s">
        <v>19</v>
      </c>
      <c r="C3" s="1009" t="s">
        <v>302</v>
      </c>
      <c r="D3" s="1012"/>
      <c r="I3" s="1006"/>
      <c r="N3" s="979"/>
      <c r="R3" s="1013"/>
    </row>
    <row r="4" spans="1:22" s="60" customFormat="1" ht="13.15" customHeight="1" x14ac:dyDescent="0.3">
      <c r="B4" s="1008" t="s">
        <v>16</v>
      </c>
      <c r="C4" s="84" t="s">
        <v>89</v>
      </c>
      <c r="D4" s="1014"/>
      <c r="E4" s="1015"/>
      <c r="F4" s="1015"/>
      <c r="G4" s="1015"/>
      <c r="H4" s="1015"/>
      <c r="I4" s="979"/>
      <c r="J4" s="1015"/>
      <c r="K4" s="1015"/>
      <c r="L4" s="1015"/>
      <c r="M4" s="1015"/>
      <c r="N4" s="979"/>
      <c r="O4" s="1015"/>
      <c r="P4" s="1015"/>
      <c r="R4" s="1007"/>
    </row>
    <row r="5" spans="1:22" s="60" customFormat="1" ht="13.15" customHeight="1" x14ac:dyDescent="0.3">
      <c r="B5" s="1008" t="s">
        <v>17</v>
      </c>
      <c r="C5" s="1016">
        <f>O77</f>
        <v>533340</v>
      </c>
      <c r="D5" s="1014"/>
      <c r="E5" s="1015"/>
      <c r="F5" s="1015"/>
      <c r="G5" s="1015"/>
      <c r="H5" s="1015"/>
      <c r="I5" s="979"/>
      <c r="J5" s="1015"/>
      <c r="K5" s="1015"/>
      <c r="L5" s="1015"/>
      <c r="M5" s="1015"/>
      <c r="N5" s="979"/>
      <c r="O5" s="1015"/>
      <c r="P5" s="1015"/>
      <c r="R5" s="1007"/>
    </row>
    <row r="6" spans="1:22" s="60" customFormat="1" ht="13.15" customHeight="1" x14ac:dyDescent="0.3">
      <c r="B6" s="1008" t="s">
        <v>31</v>
      </c>
      <c r="C6" s="85">
        <f>O78</f>
        <v>37333.800000000003</v>
      </c>
      <c r="D6" s="1014"/>
      <c r="E6" s="1015"/>
      <c r="F6" s="1015"/>
      <c r="G6" s="1015"/>
      <c r="H6" s="1015"/>
      <c r="I6" s="979"/>
      <c r="J6" s="1015"/>
      <c r="K6" s="1015"/>
      <c r="L6" s="1015"/>
      <c r="M6" s="1015"/>
      <c r="N6" s="979"/>
      <c r="O6" s="1015"/>
      <c r="P6" s="1015"/>
      <c r="R6" s="1007"/>
    </row>
    <row r="7" spans="1:22" s="60" customFormat="1" ht="13.15" customHeight="1" x14ac:dyDescent="0.3">
      <c r="B7" s="1008" t="s">
        <v>32</v>
      </c>
      <c r="C7" s="85">
        <f>O79</f>
        <v>570673.80000000005</v>
      </c>
      <c r="D7" s="1014"/>
      <c r="E7" s="1015"/>
      <c r="F7" s="1015"/>
      <c r="G7" s="1015"/>
      <c r="H7" s="1015"/>
      <c r="I7" s="979"/>
      <c r="J7" s="1015"/>
      <c r="K7" s="1015"/>
      <c r="L7" s="1015"/>
      <c r="M7" s="1015"/>
      <c r="N7" s="979"/>
      <c r="O7" s="1015"/>
      <c r="P7" s="1015"/>
      <c r="R7" s="1007"/>
    </row>
    <row r="8" spans="1:22" ht="13.15" customHeight="1" thickBot="1" x14ac:dyDescent="0.35">
      <c r="I8" s="166"/>
      <c r="N8" s="166"/>
    </row>
    <row r="9" spans="1:22" s="172" customFormat="1" ht="35" customHeight="1" thickBot="1" x14ac:dyDescent="0.35">
      <c r="B9" s="980" t="s">
        <v>69</v>
      </c>
      <c r="C9" s="980" t="s">
        <v>37</v>
      </c>
      <c r="D9" s="980" t="s">
        <v>29</v>
      </c>
      <c r="E9" s="980" t="s">
        <v>4</v>
      </c>
      <c r="F9" s="981" t="s">
        <v>5</v>
      </c>
      <c r="G9" s="981" t="s">
        <v>239</v>
      </c>
      <c r="H9" s="982" t="s">
        <v>6</v>
      </c>
      <c r="I9" s="983"/>
      <c r="J9" s="984" t="s">
        <v>4</v>
      </c>
      <c r="K9" s="981" t="s">
        <v>5</v>
      </c>
      <c r="L9" s="981" t="s">
        <v>238</v>
      </c>
      <c r="M9" s="982" t="s">
        <v>7</v>
      </c>
      <c r="N9" s="983"/>
      <c r="O9" s="984" t="s">
        <v>8</v>
      </c>
      <c r="P9" s="985" t="s">
        <v>20</v>
      </c>
      <c r="Q9" s="985" t="s">
        <v>50</v>
      </c>
      <c r="R9" s="985" t="s">
        <v>35</v>
      </c>
    </row>
    <row r="10" spans="1:22" s="650" customFormat="1" ht="15" customHeight="1" thickBot="1" x14ac:dyDescent="0.3">
      <c r="B10" s="974" t="s">
        <v>40</v>
      </c>
      <c r="C10" s="975"/>
      <c r="D10" s="976"/>
      <c r="E10" s="977"/>
      <c r="F10" s="977"/>
      <c r="G10" s="977"/>
      <c r="H10" s="978"/>
      <c r="I10" s="884"/>
      <c r="J10" s="974"/>
      <c r="K10" s="977"/>
      <c r="L10" s="977"/>
      <c r="M10" s="978"/>
      <c r="N10" s="884"/>
      <c r="O10" s="974"/>
      <c r="P10" s="977"/>
      <c r="Q10" s="977"/>
      <c r="R10" s="978"/>
    </row>
    <row r="11" spans="1:22" s="652" customFormat="1" ht="15" customHeight="1" thickBot="1" x14ac:dyDescent="0.35">
      <c r="B11" s="964" t="s">
        <v>300</v>
      </c>
      <c r="C11" s="965"/>
      <c r="D11" s="966"/>
      <c r="E11" s="967"/>
      <c r="F11" s="967"/>
      <c r="G11" s="967"/>
      <c r="H11" s="968"/>
      <c r="I11" s="884"/>
      <c r="J11" s="971"/>
      <c r="K11" s="972"/>
      <c r="L11" s="972"/>
      <c r="M11" s="973"/>
      <c r="N11" s="884"/>
      <c r="O11" s="971"/>
      <c r="P11" s="972"/>
      <c r="Q11" s="972"/>
      <c r="R11" s="973"/>
    </row>
    <row r="12" spans="1:22" ht="13.15" customHeight="1" thickBot="1" x14ac:dyDescent="0.35">
      <c r="A12" s="11"/>
      <c r="B12" s="1053" t="s">
        <v>371</v>
      </c>
      <c r="C12" s="645"/>
      <c r="D12" s="645"/>
      <c r="E12" s="645"/>
      <c r="F12" s="645"/>
      <c r="G12" s="645"/>
      <c r="H12" s="646"/>
      <c r="I12" s="625"/>
      <c r="J12" s="644"/>
      <c r="K12" s="645"/>
      <c r="L12" s="645"/>
      <c r="M12" s="646"/>
      <c r="N12" s="625"/>
      <c r="O12" s="644"/>
      <c r="P12" s="645"/>
      <c r="Q12" s="645"/>
      <c r="R12" s="646"/>
      <c r="T12" s="145" t="s">
        <v>88</v>
      </c>
      <c r="U12" s="143">
        <f>SUMIF(C14:C213, T12, O14:O213)</f>
        <v>7200</v>
      </c>
      <c r="V12" s="144">
        <f>U12/C7</f>
        <v>1.2616664721597521E-2</v>
      </c>
    </row>
    <row r="13" spans="1:22" s="172" customFormat="1" ht="13.15" customHeight="1" x14ac:dyDescent="0.3">
      <c r="B13" s="717" t="s">
        <v>373</v>
      </c>
      <c r="C13" s="910"/>
      <c r="D13" s="911"/>
      <c r="E13" s="912"/>
      <c r="F13" s="912"/>
      <c r="G13" s="912"/>
      <c r="H13" s="912"/>
      <c r="I13" s="251"/>
      <c r="J13" s="912"/>
      <c r="K13" s="912"/>
      <c r="L13" s="912"/>
      <c r="M13" s="912"/>
      <c r="N13" s="252"/>
      <c r="O13" s="913"/>
      <c r="P13" s="914"/>
      <c r="Q13" s="914"/>
      <c r="R13" s="915"/>
    </row>
    <row r="14" spans="1:22" s="175" customFormat="1" ht="13.15" customHeight="1" x14ac:dyDescent="0.3">
      <c r="A14" s="177"/>
      <c r="B14" s="264" t="s">
        <v>198</v>
      </c>
      <c r="C14" s="154" t="s">
        <v>9</v>
      </c>
      <c r="D14" s="454" t="s">
        <v>161</v>
      </c>
      <c r="E14" s="265">
        <v>2</v>
      </c>
      <c r="F14" s="266">
        <v>800</v>
      </c>
      <c r="G14" s="266">
        <v>12</v>
      </c>
      <c r="H14" s="608">
        <f>E14*F14*G14</f>
        <v>19200</v>
      </c>
      <c r="I14" s="193"/>
      <c r="J14" s="615">
        <v>2</v>
      </c>
      <c r="K14" s="266">
        <v>800</v>
      </c>
      <c r="L14" s="267">
        <v>6</v>
      </c>
      <c r="M14" s="608">
        <f>J14*K14*L14</f>
        <v>9600</v>
      </c>
      <c r="N14" s="193"/>
      <c r="O14" s="627">
        <f>H14+M14</f>
        <v>28800</v>
      </c>
      <c r="P14" s="268"/>
      <c r="Q14" s="268"/>
      <c r="R14" s="269"/>
      <c r="T14" s="532">
        <f t="shared" ref="T14:T33" si="0">(E14*F14*G14)+(J14*K14*L14)</f>
        <v>28800</v>
      </c>
      <c r="U14" s="533" t="b">
        <f t="shared" ref="U14:U33" si="1">O14=T14</f>
        <v>1</v>
      </c>
      <c r="V14" s="536"/>
    </row>
    <row r="15" spans="1:22" s="175" customFormat="1" ht="13.15" customHeight="1" x14ac:dyDescent="0.3">
      <c r="A15" s="177"/>
      <c r="B15" s="219" t="s">
        <v>182</v>
      </c>
      <c r="C15" s="154" t="s">
        <v>9</v>
      </c>
      <c r="D15" s="454" t="s">
        <v>161</v>
      </c>
      <c r="E15" s="184">
        <v>1</v>
      </c>
      <c r="F15" s="185">
        <v>800</v>
      </c>
      <c r="G15" s="185">
        <v>12</v>
      </c>
      <c r="H15" s="609">
        <f>E15*F15*G15</f>
        <v>9600</v>
      </c>
      <c r="I15" s="193"/>
      <c r="J15" s="616">
        <v>1</v>
      </c>
      <c r="K15" s="185">
        <v>800</v>
      </c>
      <c r="L15" s="191">
        <v>6</v>
      </c>
      <c r="M15" s="609">
        <f>J15*K15*L15</f>
        <v>4800</v>
      </c>
      <c r="N15" s="193"/>
      <c r="O15" s="627">
        <f>H15+M15</f>
        <v>14400</v>
      </c>
      <c r="P15" s="192"/>
      <c r="Q15" s="192"/>
      <c r="R15" s="218"/>
      <c r="T15" s="532">
        <f t="shared" si="0"/>
        <v>14400</v>
      </c>
      <c r="U15" s="533" t="b">
        <f t="shared" si="1"/>
        <v>1</v>
      </c>
      <c r="V15" s="536"/>
    </row>
    <row r="16" spans="1:22" s="151" customFormat="1" ht="13.15" customHeight="1" x14ac:dyDescent="0.3">
      <c r="B16" s="448" t="s">
        <v>301</v>
      </c>
      <c r="C16" s="161"/>
      <c r="D16" s="452"/>
      <c r="E16" s="248"/>
      <c r="F16" s="249"/>
      <c r="G16" s="248"/>
      <c r="H16" s="610"/>
      <c r="I16" s="197"/>
      <c r="J16" s="617"/>
      <c r="K16" s="250"/>
      <c r="L16" s="250"/>
      <c r="M16" s="610"/>
      <c r="N16" s="200"/>
      <c r="O16" s="627"/>
      <c r="P16" s="211"/>
      <c r="Q16" s="212"/>
      <c r="R16" s="202"/>
      <c r="T16" s="532">
        <f t="shared" si="0"/>
        <v>0</v>
      </c>
      <c r="U16" s="533" t="b">
        <f t="shared" si="1"/>
        <v>1</v>
      </c>
      <c r="V16" s="537"/>
    </row>
    <row r="17" spans="2:22" s="153" customFormat="1" ht="13.15" customHeight="1" x14ac:dyDescent="0.3">
      <c r="B17" s="220" t="s">
        <v>195</v>
      </c>
      <c r="C17" s="513" t="s">
        <v>11</v>
      </c>
      <c r="D17" s="454" t="s">
        <v>161</v>
      </c>
      <c r="E17" s="249">
        <v>10</v>
      </c>
      <c r="F17" s="249">
        <v>5000</v>
      </c>
      <c r="G17" s="249">
        <v>1</v>
      </c>
      <c r="H17" s="610">
        <f>E17*F17*G17</f>
        <v>50000</v>
      </c>
      <c r="I17" s="197"/>
      <c r="J17" s="617">
        <v>0</v>
      </c>
      <c r="K17" s="250">
        <v>0</v>
      </c>
      <c r="L17" s="250">
        <v>0</v>
      </c>
      <c r="M17" s="610">
        <f>J17*K17*L17</f>
        <v>0</v>
      </c>
      <c r="N17" s="200"/>
      <c r="O17" s="627">
        <f>H17+M17</f>
        <v>50000</v>
      </c>
      <c r="P17" s="211"/>
      <c r="Q17" s="229"/>
      <c r="R17" s="210" t="s">
        <v>303</v>
      </c>
      <c r="T17" s="534">
        <f t="shared" si="0"/>
        <v>50000</v>
      </c>
      <c r="U17" s="535" t="b">
        <f t="shared" si="1"/>
        <v>1</v>
      </c>
      <c r="V17" s="282"/>
    </row>
    <row r="18" spans="2:22" s="153" customFormat="1" ht="13.15" customHeight="1" x14ac:dyDescent="0.3">
      <c r="B18" s="220" t="s">
        <v>304</v>
      </c>
      <c r="C18" s="283" t="s">
        <v>12</v>
      </c>
      <c r="D18" s="454" t="s">
        <v>161</v>
      </c>
      <c r="E18" s="249">
        <v>2</v>
      </c>
      <c r="F18" s="249">
        <v>30</v>
      </c>
      <c r="G18" s="249">
        <v>3</v>
      </c>
      <c r="H18" s="610">
        <f>E18*F18*G18</f>
        <v>180</v>
      </c>
      <c r="I18" s="197"/>
      <c r="J18" s="617"/>
      <c r="K18" s="250"/>
      <c r="L18" s="250"/>
      <c r="M18" s="610"/>
      <c r="N18" s="200"/>
      <c r="O18" s="627">
        <f>H18+M18</f>
        <v>180</v>
      </c>
      <c r="P18" s="211"/>
      <c r="Q18" s="229"/>
      <c r="R18" s="210" t="s">
        <v>305</v>
      </c>
      <c r="T18" s="534">
        <f t="shared" si="0"/>
        <v>180</v>
      </c>
      <c r="U18" s="535" t="b">
        <f t="shared" si="1"/>
        <v>1</v>
      </c>
      <c r="V18" s="282"/>
    </row>
    <row r="19" spans="2:22" s="153" customFormat="1" ht="13.15" customHeight="1" x14ac:dyDescent="0.3">
      <c r="B19" s="220" t="s">
        <v>306</v>
      </c>
      <c r="C19" s="513" t="s">
        <v>11</v>
      </c>
      <c r="D19" s="454" t="s">
        <v>161</v>
      </c>
      <c r="E19" s="249">
        <v>10</v>
      </c>
      <c r="F19" s="249">
        <v>1200</v>
      </c>
      <c r="G19" s="249">
        <v>1</v>
      </c>
      <c r="H19" s="610">
        <f>E19*F19*G19</f>
        <v>12000</v>
      </c>
      <c r="I19" s="197"/>
      <c r="J19" s="617">
        <v>0</v>
      </c>
      <c r="K19" s="250">
        <v>0</v>
      </c>
      <c r="L19" s="250">
        <v>0</v>
      </c>
      <c r="M19" s="610">
        <f>J19*K19*L19</f>
        <v>0</v>
      </c>
      <c r="N19" s="200"/>
      <c r="O19" s="627">
        <f>H19+M19</f>
        <v>12000</v>
      </c>
      <c r="P19" s="211"/>
      <c r="Q19" s="229"/>
      <c r="R19" s="210" t="s">
        <v>307</v>
      </c>
      <c r="T19" s="534">
        <f t="shared" si="0"/>
        <v>12000</v>
      </c>
      <c r="U19" s="535" t="b">
        <f t="shared" si="1"/>
        <v>1</v>
      </c>
      <c r="V19" s="282"/>
    </row>
    <row r="20" spans="2:22" s="153" customFormat="1" ht="13.15" customHeight="1" x14ac:dyDescent="0.3">
      <c r="B20" s="220" t="s">
        <v>308</v>
      </c>
      <c r="C20" s="513" t="s">
        <v>11</v>
      </c>
      <c r="D20" s="454" t="s">
        <v>161</v>
      </c>
      <c r="E20" s="249">
        <v>1</v>
      </c>
      <c r="F20" s="249">
        <v>470</v>
      </c>
      <c r="G20" s="249">
        <v>1</v>
      </c>
      <c r="H20" s="610">
        <f>E20*F20*G20</f>
        <v>470</v>
      </c>
      <c r="I20" s="197"/>
      <c r="J20" s="617">
        <v>0</v>
      </c>
      <c r="K20" s="250">
        <v>0</v>
      </c>
      <c r="L20" s="250">
        <v>0</v>
      </c>
      <c r="M20" s="610">
        <f>J20*K20*L20</f>
        <v>0</v>
      </c>
      <c r="N20" s="200"/>
      <c r="O20" s="627">
        <f>H20+M20</f>
        <v>470</v>
      </c>
      <c r="P20" s="211"/>
      <c r="Q20" s="229"/>
      <c r="R20" s="278" t="s">
        <v>309</v>
      </c>
      <c r="T20" s="534">
        <f t="shared" si="0"/>
        <v>470</v>
      </c>
      <c r="U20" s="535" t="b">
        <f t="shared" si="1"/>
        <v>1</v>
      </c>
      <c r="V20" s="282"/>
    </row>
    <row r="21" spans="2:22" s="153" customFormat="1" ht="13.15" customHeight="1" x14ac:dyDescent="0.3">
      <c r="B21" s="220" t="s">
        <v>310</v>
      </c>
      <c r="C21" s="283" t="s">
        <v>12</v>
      </c>
      <c r="D21" s="454" t="s">
        <v>161</v>
      </c>
      <c r="E21" s="249">
        <v>12</v>
      </c>
      <c r="F21" s="249">
        <v>30</v>
      </c>
      <c r="G21" s="249">
        <v>6</v>
      </c>
      <c r="H21" s="610">
        <f>E21*F21*G21</f>
        <v>2160</v>
      </c>
      <c r="I21" s="197"/>
      <c r="J21" s="617"/>
      <c r="K21" s="250"/>
      <c r="L21" s="250"/>
      <c r="M21" s="610"/>
      <c r="N21" s="200"/>
      <c r="O21" s="627">
        <f t="shared" ref="O21:O33" si="2">H21+M21</f>
        <v>2160</v>
      </c>
      <c r="P21" s="211"/>
      <c r="Q21" s="229"/>
      <c r="R21" s="210" t="s">
        <v>311</v>
      </c>
      <c r="T21" s="534">
        <f t="shared" si="0"/>
        <v>2160</v>
      </c>
      <c r="U21" s="535" t="b">
        <f t="shared" si="1"/>
        <v>1</v>
      </c>
      <c r="V21" s="282"/>
    </row>
    <row r="22" spans="2:22" s="153" customFormat="1" ht="13.15" customHeight="1" x14ac:dyDescent="0.3">
      <c r="B22" s="220" t="s">
        <v>336</v>
      </c>
      <c r="C22" s="513" t="s">
        <v>11</v>
      </c>
      <c r="D22" s="454" t="s">
        <v>161</v>
      </c>
      <c r="E22" s="249">
        <v>20</v>
      </c>
      <c r="F22" s="249">
        <v>500</v>
      </c>
      <c r="G22" s="526">
        <v>4</v>
      </c>
      <c r="H22" s="610">
        <f t="shared" ref="H22:H33" si="3">E22*F22*G22</f>
        <v>40000</v>
      </c>
      <c r="I22" s="197"/>
      <c r="J22" s="617">
        <v>0</v>
      </c>
      <c r="K22" s="250">
        <v>0</v>
      </c>
      <c r="L22" s="250">
        <v>0</v>
      </c>
      <c r="M22" s="610">
        <f t="shared" ref="M22:M33" si="4">J22*K22*L22</f>
        <v>0</v>
      </c>
      <c r="N22" s="200"/>
      <c r="O22" s="627">
        <f t="shared" si="2"/>
        <v>40000</v>
      </c>
      <c r="P22" s="211"/>
      <c r="Q22" s="229"/>
      <c r="R22" s="507" t="s">
        <v>312</v>
      </c>
      <c r="T22" s="534">
        <f t="shared" si="0"/>
        <v>40000</v>
      </c>
      <c r="U22" s="535" t="b">
        <f t="shared" si="1"/>
        <v>1</v>
      </c>
      <c r="V22" s="282"/>
    </row>
    <row r="23" spans="2:22" s="153" customFormat="1" ht="13.15" customHeight="1" x14ac:dyDescent="0.3">
      <c r="B23" s="220" t="s">
        <v>337</v>
      </c>
      <c r="C23" s="513" t="s">
        <v>10</v>
      </c>
      <c r="D23" s="454" t="s">
        <v>161</v>
      </c>
      <c r="E23" s="249">
        <v>20</v>
      </c>
      <c r="F23" s="249">
        <v>3000</v>
      </c>
      <c r="G23" s="249">
        <v>1</v>
      </c>
      <c r="H23" s="610">
        <f t="shared" si="3"/>
        <v>60000</v>
      </c>
      <c r="I23" s="197"/>
      <c r="J23" s="617">
        <v>0</v>
      </c>
      <c r="K23" s="250">
        <v>0</v>
      </c>
      <c r="L23" s="250">
        <v>0</v>
      </c>
      <c r="M23" s="610">
        <f t="shared" si="4"/>
        <v>0</v>
      </c>
      <c r="N23" s="200"/>
      <c r="O23" s="627">
        <f t="shared" si="2"/>
        <v>60000</v>
      </c>
      <c r="P23" s="211"/>
      <c r="Q23" s="229"/>
      <c r="R23" s="210" t="s">
        <v>313</v>
      </c>
      <c r="T23" s="534">
        <f t="shared" si="0"/>
        <v>60000</v>
      </c>
      <c r="U23" s="535" t="b">
        <f t="shared" si="1"/>
        <v>1</v>
      </c>
      <c r="V23" s="282"/>
    </row>
    <row r="24" spans="2:22" s="153" customFormat="1" ht="13.15" customHeight="1" x14ac:dyDescent="0.3">
      <c r="B24" s="220" t="s">
        <v>353</v>
      </c>
      <c r="C24" s="513" t="s">
        <v>10</v>
      </c>
      <c r="D24" s="454" t="s">
        <v>161</v>
      </c>
      <c r="E24" s="249">
        <v>10</v>
      </c>
      <c r="F24" s="249">
        <v>600</v>
      </c>
      <c r="G24" s="249">
        <v>1</v>
      </c>
      <c r="H24" s="610">
        <f t="shared" si="3"/>
        <v>6000</v>
      </c>
      <c r="I24" s="197"/>
      <c r="J24" s="617">
        <v>0</v>
      </c>
      <c r="K24" s="250">
        <v>0</v>
      </c>
      <c r="L24" s="250">
        <v>0</v>
      </c>
      <c r="M24" s="610">
        <f t="shared" si="4"/>
        <v>0</v>
      </c>
      <c r="N24" s="200"/>
      <c r="O24" s="627">
        <f t="shared" si="2"/>
        <v>6000</v>
      </c>
      <c r="P24" s="211"/>
      <c r="Q24" s="229"/>
      <c r="R24" s="210" t="s">
        <v>354</v>
      </c>
      <c r="T24" s="534">
        <f t="shared" si="0"/>
        <v>6000</v>
      </c>
      <c r="U24" s="535" t="b">
        <f t="shared" si="1"/>
        <v>1</v>
      </c>
      <c r="V24" s="282"/>
    </row>
    <row r="25" spans="2:22" s="153" customFormat="1" ht="13.15" customHeight="1" x14ac:dyDescent="0.3">
      <c r="B25" s="220" t="s">
        <v>338</v>
      </c>
      <c r="C25" s="283" t="s">
        <v>12</v>
      </c>
      <c r="D25" s="454" t="s">
        <v>161</v>
      </c>
      <c r="E25" s="249">
        <v>21</v>
      </c>
      <c r="F25" s="249">
        <v>30</v>
      </c>
      <c r="G25" s="249">
        <v>16</v>
      </c>
      <c r="H25" s="610">
        <f t="shared" si="3"/>
        <v>10080</v>
      </c>
      <c r="I25" s="197"/>
      <c r="J25" s="617"/>
      <c r="K25" s="250"/>
      <c r="L25" s="250"/>
      <c r="M25" s="610"/>
      <c r="N25" s="200"/>
      <c r="O25" s="627">
        <f t="shared" si="2"/>
        <v>10080</v>
      </c>
      <c r="P25" s="211"/>
      <c r="Q25" s="229"/>
      <c r="R25" s="210" t="s">
        <v>314</v>
      </c>
      <c r="T25" s="534">
        <f t="shared" si="0"/>
        <v>10080</v>
      </c>
      <c r="U25" s="535" t="b">
        <f t="shared" si="1"/>
        <v>1</v>
      </c>
      <c r="V25" s="282"/>
    </row>
    <row r="26" spans="2:22" s="153" customFormat="1" ht="13.15" customHeight="1" x14ac:dyDescent="0.3">
      <c r="B26" s="220" t="s">
        <v>339</v>
      </c>
      <c r="C26" s="283" t="s">
        <v>13</v>
      </c>
      <c r="D26" s="454" t="s">
        <v>161</v>
      </c>
      <c r="E26" s="249">
        <v>600</v>
      </c>
      <c r="F26" s="249">
        <v>5</v>
      </c>
      <c r="G26" s="249">
        <v>1</v>
      </c>
      <c r="H26" s="610">
        <f t="shared" si="3"/>
        <v>3000</v>
      </c>
      <c r="I26" s="197"/>
      <c r="J26" s="617">
        <v>0</v>
      </c>
      <c r="K26" s="250">
        <v>0</v>
      </c>
      <c r="L26" s="250">
        <v>0</v>
      </c>
      <c r="M26" s="610">
        <f t="shared" si="4"/>
        <v>0</v>
      </c>
      <c r="N26" s="200"/>
      <c r="O26" s="627">
        <f t="shared" si="2"/>
        <v>3000</v>
      </c>
      <c r="P26" s="211"/>
      <c r="Q26" s="229"/>
      <c r="R26" s="210" t="s">
        <v>315</v>
      </c>
      <c r="T26" s="534">
        <f t="shared" si="0"/>
        <v>3000</v>
      </c>
      <c r="U26" s="535" t="b">
        <f t="shared" si="1"/>
        <v>1</v>
      </c>
      <c r="V26" s="282"/>
    </row>
    <row r="27" spans="2:22" s="153" customFormat="1" ht="13.15" customHeight="1" x14ac:dyDescent="0.3">
      <c r="B27" s="220" t="s">
        <v>340</v>
      </c>
      <c r="C27" s="283" t="s">
        <v>13</v>
      </c>
      <c r="D27" s="454" t="s">
        <v>161</v>
      </c>
      <c r="E27" s="249">
        <v>20</v>
      </c>
      <c r="F27" s="249">
        <v>75</v>
      </c>
      <c r="G27" s="249">
        <v>1</v>
      </c>
      <c r="H27" s="610">
        <f t="shared" si="3"/>
        <v>1500</v>
      </c>
      <c r="I27" s="197"/>
      <c r="J27" s="617">
        <v>0</v>
      </c>
      <c r="K27" s="250">
        <v>0</v>
      </c>
      <c r="L27" s="250">
        <v>0</v>
      </c>
      <c r="M27" s="610">
        <f t="shared" si="4"/>
        <v>0</v>
      </c>
      <c r="N27" s="200"/>
      <c r="O27" s="627">
        <f t="shared" si="2"/>
        <v>1500</v>
      </c>
      <c r="P27" s="211"/>
      <c r="Q27" s="229"/>
      <c r="R27" s="210" t="s">
        <v>316</v>
      </c>
      <c r="T27" s="534">
        <f t="shared" si="0"/>
        <v>1500</v>
      </c>
      <c r="U27" s="535" t="b">
        <f t="shared" si="1"/>
        <v>1</v>
      </c>
      <c r="V27" s="282"/>
    </row>
    <row r="28" spans="2:22" s="153" customFormat="1" ht="13.15" customHeight="1" x14ac:dyDescent="0.3">
      <c r="B28" s="220" t="s">
        <v>341</v>
      </c>
      <c r="C28" s="283" t="s">
        <v>13</v>
      </c>
      <c r="D28" s="454" t="s">
        <v>161</v>
      </c>
      <c r="E28" s="249">
        <v>20</v>
      </c>
      <c r="F28" s="249">
        <v>80</v>
      </c>
      <c r="G28" s="249">
        <v>1</v>
      </c>
      <c r="H28" s="610">
        <f t="shared" si="3"/>
        <v>1600</v>
      </c>
      <c r="I28" s="197"/>
      <c r="J28" s="617">
        <v>0</v>
      </c>
      <c r="K28" s="250">
        <v>0</v>
      </c>
      <c r="L28" s="250">
        <v>0</v>
      </c>
      <c r="M28" s="610">
        <f t="shared" si="4"/>
        <v>0</v>
      </c>
      <c r="N28" s="200"/>
      <c r="O28" s="627">
        <f t="shared" si="2"/>
        <v>1600</v>
      </c>
      <c r="P28" s="211"/>
      <c r="Q28" s="229"/>
      <c r="R28" s="210" t="s">
        <v>317</v>
      </c>
      <c r="T28" s="534">
        <f t="shared" si="0"/>
        <v>1600</v>
      </c>
      <c r="U28" s="535" t="b">
        <f t="shared" si="1"/>
        <v>1</v>
      </c>
      <c r="V28" s="282"/>
    </row>
    <row r="29" spans="2:22" s="153" customFormat="1" ht="13.15" customHeight="1" x14ac:dyDescent="0.3">
      <c r="B29" s="220" t="s">
        <v>342</v>
      </c>
      <c r="C29" s="283" t="s">
        <v>12</v>
      </c>
      <c r="D29" s="454" t="s">
        <v>161</v>
      </c>
      <c r="E29" s="249">
        <v>1</v>
      </c>
      <c r="F29" s="249">
        <v>750</v>
      </c>
      <c r="G29" s="249">
        <v>1</v>
      </c>
      <c r="H29" s="610">
        <f t="shared" si="3"/>
        <v>750</v>
      </c>
      <c r="I29" s="197"/>
      <c r="J29" s="617">
        <v>0</v>
      </c>
      <c r="K29" s="250">
        <v>0</v>
      </c>
      <c r="L29" s="250">
        <v>0</v>
      </c>
      <c r="M29" s="610">
        <f t="shared" si="4"/>
        <v>0</v>
      </c>
      <c r="N29" s="200"/>
      <c r="O29" s="627">
        <f t="shared" si="2"/>
        <v>750</v>
      </c>
      <c r="P29" s="211"/>
      <c r="Q29" s="229"/>
      <c r="R29" s="210" t="s">
        <v>318</v>
      </c>
      <c r="T29" s="534">
        <f t="shared" si="0"/>
        <v>750</v>
      </c>
      <c r="U29" s="535" t="b">
        <f t="shared" si="1"/>
        <v>1</v>
      </c>
      <c r="V29" s="282"/>
    </row>
    <row r="30" spans="2:22" s="153" customFormat="1" ht="13.15" customHeight="1" x14ac:dyDescent="0.3">
      <c r="B30" s="220" t="s">
        <v>343</v>
      </c>
      <c r="C30" s="283" t="s">
        <v>14</v>
      </c>
      <c r="D30" s="454" t="s">
        <v>161</v>
      </c>
      <c r="E30" s="249">
        <v>1</v>
      </c>
      <c r="F30" s="249">
        <v>200</v>
      </c>
      <c r="G30" s="249">
        <v>1</v>
      </c>
      <c r="H30" s="610">
        <f t="shared" si="3"/>
        <v>200</v>
      </c>
      <c r="I30" s="197"/>
      <c r="J30" s="617">
        <v>0</v>
      </c>
      <c r="K30" s="250">
        <v>0</v>
      </c>
      <c r="L30" s="250">
        <v>0</v>
      </c>
      <c r="M30" s="610">
        <f t="shared" si="4"/>
        <v>0</v>
      </c>
      <c r="N30" s="200"/>
      <c r="O30" s="627">
        <f t="shared" si="2"/>
        <v>200</v>
      </c>
      <c r="P30" s="211"/>
      <c r="Q30" s="229"/>
      <c r="R30" s="210" t="s">
        <v>319</v>
      </c>
      <c r="T30" s="534">
        <f t="shared" si="0"/>
        <v>200</v>
      </c>
      <c r="U30" s="535" t="b">
        <f t="shared" si="1"/>
        <v>1</v>
      </c>
      <c r="V30" s="282"/>
    </row>
    <row r="31" spans="2:22" s="153" customFormat="1" ht="13.15" customHeight="1" x14ac:dyDescent="0.3">
      <c r="B31" s="220" t="s">
        <v>344</v>
      </c>
      <c r="C31" s="513" t="s">
        <v>11</v>
      </c>
      <c r="D31" s="454" t="s">
        <v>161</v>
      </c>
      <c r="E31" s="249">
        <v>600</v>
      </c>
      <c r="F31" s="527">
        <v>2.5</v>
      </c>
      <c r="G31" s="249">
        <v>80</v>
      </c>
      <c r="H31" s="610">
        <f t="shared" si="3"/>
        <v>120000</v>
      </c>
      <c r="I31" s="197"/>
      <c r="J31" s="617">
        <v>0</v>
      </c>
      <c r="K31" s="250">
        <v>0</v>
      </c>
      <c r="L31" s="250">
        <v>0</v>
      </c>
      <c r="M31" s="610">
        <f t="shared" si="4"/>
        <v>0</v>
      </c>
      <c r="N31" s="200"/>
      <c r="O31" s="627">
        <f t="shared" si="2"/>
        <v>120000</v>
      </c>
      <c r="P31" s="211"/>
      <c r="Q31" s="229"/>
      <c r="R31" s="210" t="s">
        <v>320</v>
      </c>
      <c r="T31" s="534">
        <f t="shared" si="0"/>
        <v>120000</v>
      </c>
      <c r="U31" s="535" t="b">
        <f t="shared" si="1"/>
        <v>1</v>
      </c>
      <c r="V31" s="282"/>
    </row>
    <row r="32" spans="2:22" s="153" customFormat="1" ht="13.15" customHeight="1" x14ac:dyDescent="0.3">
      <c r="B32" s="220" t="s">
        <v>345</v>
      </c>
      <c r="C32" s="283" t="s">
        <v>13</v>
      </c>
      <c r="D32" s="454" t="s">
        <v>161</v>
      </c>
      <c r="E32" s="249">
        <v>1</v>
      </c>
      <c r="F32" s="249">
        <v>80</v>
      </c>
      <c r="G32" s="249">
        <v>1</v>
      </c>
      <c r="H32" s="610">
        <f t="shared" si="3"/>
        <v>80</v>
      </c>
      <c r="I32" s="197"/>
      <c r="J32" s="617">
        <v>0</v>
      </c>
      <c r="K32" s="250">
        <v>0</v>
      </c>
      <c r="L32" s="250">
        <v>0</v>
      </c>
      <c r="M32" s="610">
        <f t="shared" si="4"/>
        <v>0</v>
      </c>
      <c r="N32" s="200"/>
      <c r="O32" s="627">
        <f t="shared" si="2"/>
        <v>80</v>
      </c>
      <c r="P32" s="211"/>
      <c r="Q32" s="229"/>
      <c r="R32" s="210" t="s">
        <v>321</v>
      </c>
      <c r="T32" s="534">
        <f t="shared" si="0"/>
        <v>80</v>
      </c>
      <c r="U32" s="535" t="b">
        <f t="shared" si="1"/>
        <v>1</v>
      </c>
      <c r="V32" s="282"/>
    </row>
    <row r="33" spans="1:22" s="153" customFormat="1" ht="13.15" customHeight="1" x14ac:dyDescent="0.3">
      <c r="B33" s="220" t="s">
        <v>346</v>
      </c>
      <c r="C33" s="283" t="s">
        <v>12</v>
      </c>
      <c r="D33" s="454" t="s">
        <v>161</v>
      </c>
      <c r="E33" s="249">
        <v>5</v>
      </c>
      <c r="F33" s="249">
        <v>30</v>
      </c>
      <c r="G33" s="249">
        <v>2</v>
      </c>
      <c r="H33" s="610">
        <f t="shared" si="3"/>
        <v>300</v>
      </c>
      <c r="I33" s="197"/>
      <c r="J33" s="617">
        <v>0</v>
      </c>
      <c r="K33" s="250">
        <v>0</v>
      </c>
      <c r="L33" s="250">
        <v>0</v>
      </c>
      <c r="M33" s="610">
        <f t="shared" si="4"/>
        <v>0</v>
      </c>
      <c r="N33" s="200"/>
      <c r="O33" s="627">
        <f t="shared" si="2"/>
        <v>300</v>
      </c>
      <c r="P33" s="211"/>
      <c r="Q33" s="229"/>
      <c r="R33" s="210" t="s">
        <v>322</v>
      </c>
      <c r="T33" s="534">
        <f t="shared" si="0"/>
        <v>300</v>
      </c>
      <c r="U33" s="535" t="b">
        <f t="shared" si="1"/>
        <v>1</v>
      </c>
      <c r="V33" s="282"/>
    </row>
    <row r="34" spans="1:22" s="172" customFormat="1" ht="13.15" customHeight="1" x14ac:dyDescent="0.3">
      <c r="B34" s="260" t="s">
        <v>377</v>
      </c>
      <c r="C34" s="253"/>
      <c r="D34" s="254"/>
      <c r="E34" s="255"/>
      <c r="F34" s="255"/>
      <c r="G34" s="255"/>
      <c r="H34" s="255"/>
      <c r="I34" s="251"/>
      <c r="J34" s="255"/>
      <c r="K34" s="255"/>
      <c r="L34" s="255"/>
      <c r="M34" s="255"/>
      <c r="N34" s="252"/>
      <c r="O34" s="572"/>
      <c r="P34" s="257"/>
      <c r="Q34" s="257"/>
      <c r="R34" s="258"/>
    </row>
    <row r="35" spans="1:22" s="507" customFormat="1" ht="13.15" customHeight="1" x14ac:dyDescent="0.3">
      <c r="A35" s="517"/>
      <c r="B35" s="259" t="s">
        <v>378</v>
      </c>
      <c r="C35" s="283" t="s">
        <v>12</v>
      </c>
      <c r="D35" s="342" t="s">
        <v>161</v>
      </c>
      <c r="E35" s="249">
        <v>1</v>
      </c>
      <c r="F35" s="249">
        <v>3000</v>
      </c>
      <c r="G35" s="249">
        <v>1</v>
      </c>
      <c r="H35" s="610">
        <f t="shared" ref="H35:H36" si="5">E35*F35*G35</f>
        <v>3000</v>
      </c>
      <c r="I35" s="197"/>
      <c r="J35" s="618">
        <v>1</v>
      </c>
      <c r="K35" s="249">
        <v>3000</v>
      </c>
      <c r="L35" s="249">
        <v>6</v>
      </c>
      <c r="M35" s="610">
        <f t="shared" ref="M35:M36" si="6">J35*K35*L35</f>
        <v>18000</v>
      </c>
      <c r="N35" s="197"/>
      <c r="O35" s="628">
        <f t="shared" ref="O35:O36" si="7">H35+M35</f>
        <v>21000</v>
      </c>
      <c r="P35" s="211"/>
      <c r="Q35" s="229"/>
      <c r="R35" s="210" t="s">
        <v>323</v>
      </c>
      <c r="T35" s="534">
        <f t="shared" ref="T35:T36" si="8">(E35*F35*G35)+(J35*K35*L35)</f>
        <v>21000</v>
      </c>
      <c r="U35" s="535" t="b">
        <f t="shared" ref="U35:U36" si="9">O35=T35</f>
        <v>1</v>
      </c>
      <c r="V35" s="535"/>
    </row>
    <row r="36" spans="1:22" s="153" customFormat="1" ht="13.15" customHeight="1" x14ac:dyDescent="0.3">
      <c r="B36" s="220" t="s">
        <v>324</v>
      </c>
      <c r="C36" s="283" t="s">
        <v>12</v>
      </c>
      <c r="D36" s="342" t="s">
        <v>161</v>
      </c>
      <c r="E36" s="249">
        <v>6</v>
      </c>
      <c r="F36" s="249">
        <v>30</v>
      </c>
      <c r="G36" s="249">
        <v>14</v>
      </c>
      <c r="H36" s="610">
        <f t="shared" si="5"/>
        <v>2520</v>
      </c>
      <c r="I36" s="197"/>
      <c r="J36" s="617">
        <v>30</v>
      </c>
      <c r="K36" s="250">
        <v>30</v>
      </c>
      <c r="L36" s="250">
        <v>14</v>
      </c>
      <c r="M36" s="610">
        <f t="shared" si="6"/>
        <v>12600</v>
      </c>
      <c r="N36" s="200"/>
      <c r="O36" s="627">
        <f t="shared" si="7"/>
        <v>15120</v>
      </c>
      <c r="P36" s="211"/>
      <c r="Q36" s="229"/>
      <c r="R36" s="210" t="s">
        <v>325</v>
      </c>
      <c r="T36" s="534">
        <f t="shared" si="8"/>
        <v>15120</v>
      </c>
      <c r="U36" s="535" t="b">
        <f t="shared" si="9"/>
        <v>1</v>
      </c>
      <c r="V36" s="282"/>
    </row>
    <row r="37" spans="1:22" s="151" customFormat="1" ht="13.15" customHeight="1" thickBot="1" x14ac:dyDescent="0.35">
      <c r="B37" s="261" t="s">
        <v>259</v>
      </c>
      <c r="C37" s="1078">
        <f>SUM(H14:H36)</f>
        <v>342640</v>
      </c>
      <c r="D37" s="1079"/>
      <c r="E37" s="1079"/>
      <c r="F37" s="1079"/>
      <c r="G37" s="1079"/>
      <c r="H37" s="1080"/>
      <c r="I37" s="623"/>
      <c r="J37" s="1078">
        <f>SUM(M14:M36)</f>
        <v>45000</v>
      </c>
      <c r="K37" s="1079"/>
      <c r="L37" s="1079"/>
      <c r="M37" s="1080"/>
      <c r="N37" s="632"/>
      <c r="O37" s="629">
        <f>C37+J37</f>
        <v>387640</v>
      </c>
      <c r="P37" s="389"/>
      <c r="Q37" s="389"/>
      <c r="R37" s="390"/>
    </row>
    <row r="38" spans="1:22" s="6" customFormat="1" ht="13.15" customHeight="1" thickBot="1" x14ac:dyDescent="0.35">
      <c r="A38" s="53"/>
      <c r="B38" s="117" t="s">
        <v>36</v>
      </c>
      <c r="C38" s="1077">
        <f>C37</f>
        <v>342640</v>
      </c>
      <c r="D38" s="1077"/>
      <c r="E38" s="1077"/>
      <c r="F38" s="1077"/>
      <c r="G38" s="1077"/>
      <c r="H38" s="1077"/>
      <c r="I38" s="624"/>
      <c r="J38" s="1081">
        <f>J37</f>
        <v>45000</v>
      </c>
      <c r="K38" s="1082"/>
      <c r="L38" s="1082"/>
      <c r="M38" s="1083"/>
      <c r="N38" s="624"/>
      <c r="O38" s="630">
        <f>C38+J38</f>
        <v>387640</v>
      </c>
      <c r="P38" s="59"/>
      <c r="Q38" s="59">
        <f>SUM(Q14:Q30)</f>
        <v>0</v>
      </c>
      <c r="R38" s="110">
        <f>Q38/O38</f>
        <v>0</v>
      </c>
    </row>
    <row r="39" spans="1:22" s="66" customFormat="1" ht="13.15" customHeight="1" thickBot="1" x14ac:dyDescent="0.35">
      <c r="B39" s="118"/>
      <c r="D39" s="104"/>
      <c r="I39" s="189"/>
      <c r="N39" s="189"/>
      <c r="R39" s="111"/>
    </row>
    <row r="40" spans="1:22" s="737" customFormat="1" ht="15" customHeight="1" thickBot="1" x14ac:dyDescent="0.35">
      <c r="B40" s="894" t="s">
        <v>48</v>
      </c>
      <c r="C40" s="895"/>
      <c r="D40" s="896"/>
      <c r="E40" s="897"/>
      <c r="F40" s="897"/>
      <c r="G40" s="897"/>
      <c r="H40" s="906"/>
      <c r="I40" s="870"/>
      <c r="J40" s="894"/>
      <c r="K40" s="897"/>
      <c r="L40" s="897"/>
      <c r="M40" s="906"/>
      <c r="N40" s="870"/>
      <c r="O40" s="894"/>
      <c r="P40" s="897"/>
      <c r="Q40" s="897"/>
      <c r="R40" s="906"/>
      <c r="T40" s="698"/>
      <c r="U40" s="698"/>
      <c r="V40" s="698"/>
    </row>
    <row r="41" spans="1:22" s="737" customFormat="1" ht="15" customHeight="1" thickBot="1" x14ac:dyDescent="0.35">
      <c r="B41" s="900" t="s">
        <v>41</v>
      </c>
      <c r="C41" s="901"/>
      <c r="D41" s="902"/>
      <c r="E41" s="903"/>
      <c r="F41" s="904"/>
      <c r="G41" s="903"/>
      <c r="H41" s="905"/>
      <c r="I41" s="167"/>
      <c r="J41" s="907"/>
      <c r="K41" s="904"/>
      <c r="L41" s="904"/>
      <c r="M41" s="905"/>
      <c r="N41" s="167"/>
      <c r="O41" s="908"/>
      <c r="P41" s="902"/>
      <c r="Q41" s="902"/>
      <c r="R41" s="909"/>
      <c r="T41" s="532"/>
      <c r="U41" s="533"/>
      <c r="V41" s="698"/>
    </row>
    <row r="42" spans="1:22" s="63" customFormat="1" ht="13.15" customHeight="1" x14ac:dyDescent="0.3">
      <c r="A42" s="66"/>
      <c r="B42" s="114" t="s">
        <v>184</v>
      </c>
      <c r="C42" s="145" t="s">
        <v>9</v>
      </c>
      <c r="D42" s="453" t="s">
        <v>161</v>
      </c>
      <c r="E42" s="77">
        <v>1</v>
      </c>
      <c r="F42" s="78">
        <v>1000</v>
      </c>
      <c r="G42" s="78">
        <v>12</v>
      </c>
      <c r="H42" s="609">
        <f>E42*F42*G42</f>
        <v>12000</v>
      </c>
      <c r="I42" s="193"/>
      <c r="J42" s="616">
        <v>1</v>
      </c>
      <c r="K42" s="78">
        <v>1000</v>
      </c>
      <c r="L42" s="79">
        <v>6</v>
      </c>
      <c r="M42" s="609">
        <f>J42*K42*L42</f>
        <v>6000</v>
      </c>
      <c r="N42" s="193"/>
      <c r="O42" s="627">
        <f t="shared" ref="O42:O52" si="10">H42+M42</f>
        <v>18000</v>
      </c>
      <c r="P42" s="80"/>
      <c r="Q42" s="80"/>
      <c r="R42" s="109"/>
    </row>
    <row r="43" spans="1:22" s="63" customFormat="1" ht="13.15" customHeight="1" x14ac:dyDescent="0.3">
      <c r="A43" s="66"/>
      <c r="B43" s="114" t="s">
        <v>185</v>
      </c>
      <c r="C43" s="145" t="s">
        <v>9</v>
      </c>
      <c r="D43" s="453" t="s">
        <v>161</v>
      </c>
      <c r="E43" s="77">
        <v>0.5</v>
      </c>
      <c r="F43" s="78">
        <v>750</v>
      </c>
      <c r="G43" s="78">
        <v>12</v>
      </c>
      <c r="H43" s="609">
        <f>E43*F43*G43</f>
        <v>4500</v>
      </c>
      <c r="I43" s="193"/>
      <c r="J43" s="616">
        <v>0.5</v>
      </c>
      <c r="K43" s="78">
        <v>750</v>
      </c>
      <c r="L43" s="79">
        <v>6</v>
      </c>
      <c r="M43" s="609">
        <f>J43*K43*L43</f>
        <v>2250</v>
      </c>
      <c r="N43" s="193"/>
      <c r="O43" s="627">
        <f t="shared" si="10"/>
        <v>6750</v>
      </c>
      <c r="P43" s="80"/>
      <c r="Q43" s="80"/>
      <c r="R43" s="109"/>
    </row>
    <row r="44" spans="1:22" s="63" customFormat="1" ht="13.15" customHeight="1" x14ac:dyDescent="0.3">
      <c r="A44" s="66"/>
      <c r="B44" s="114" t="s">
        <v>186</v>
      </c>
      <c r="C44" s="145" t="s">
        <v>9</v>
      </c>
      <c r="D44" s="453" t="s">
        <v>161</v>
      </c>
      <c r="E44" s="77">
        <v>0.5</v>
      </c>
      <c r="F44" s="78">
        <v>1000</v>
      </c>
      <c r="G44" s="78">
        <v>12</v>
      </c>
      <c r="H44" s="609">
        <f>E44*F44*G44</f>
        <v>6000</v>
      </c>
      <c r="I44" s="193"/>
      <c r="J44" s="616">
        <v>0.5</v>
      </c>
      <c r="K44" s="78">
        <v>1000</v>
      </c>
      <c r="L44" s="79">
        <v>6</v>
      </c>
      <c r="M44" s="609">
        <f>J44*K44*L44</f>
        <v>3000</v>
      </c>
      <c r="N44" s="193"/>
      <c r="O44" s="627">
        <f t="shared" si="10"/>
        <v>9000</v>
      </c>
      <c r="P44" s="80"/>
      <c r="Q44" s="80"/>
      <c r="R44" s="109"/>
    </row>
    <row r="45" spans="1:22" s="63" customFormat="1" ht="13.15" customHeight="1" x14ac:dyDescent="0.3">
      <c r="A45" s="66"/>
      <c r="B45" s="114" t="s">
        <v>187</v>
      </c>
      <c r="C45" s="145" t="s">
        <v>9</v>
      </c>
      <c r="D45" s="453" t="s">
        <v>161</v>
      </c>
      <c r="E45" s="77">
        <v>0.5</v>
      </c>
      <c r="F45" s="78">
        <v>850</v>
      </c>
      <c r="G45" s="78">
        <v>12</v>
      </c>
      <c r="H45" s="609">
        <f t="shared" ref="H45:H52" si="11">E45*F45*G45</f>
        <v>5100</v>
      </c>
      <c r="I45" s="193"/>
      <c r="J45" s="616">
        <v>0.5</v>
      </c>
      <c r="K45" s="78">
        <v>850</v>
      </c>
      <c r="L45" s="79">
        <v>6</v>
      </c>
      <c r="M45" s="609">
        <f t="shared" ref="M45:M52" si="12">J45*K45*L45</f>
        <v>2550</v>
      </c>
      <c r="N45" s="193"/>
      <c r="O45" s="627">
        <f t="shared" si="10"/>
        <v>7650</v>
      </c>
      <c r="P45" s="80"/>
      <c r="Q45" s="80"/>
      <c r="R45" s="109"/>
    </row>
    <row r="46" spans="1:22" s="63" customFormat="1" ht="13.15" customHeight="1" x14ac:dyDescent="0.3">
      <c r="A46" s="66"/>
      <c r="B46" s="114" t="s">
        <v>188</v>
      </c>
      <c r="C46" s="145" t="s">
        <v>9</v>
      </c>
      <c r="D46" s="453" t="s">
        <v>161</v>
      </c>
      <c r="E46" s="77">
        <v>0.5</v>
      </c>
      <c r="F46" s="78">
        <v>800</v>
      </c>
      <c r="G46" s="78">
        <v>12</v>
      </c>
      <c r="H46" s="609">
        <f t="shared" si="11"/>
        <v>4800</v>
      </c>
      <c r="I46" s="193"/>
      <c r="J46" s="616">
        <v>0.5</v>
      </c>
      <c r="K46" s="78">
        <v>800</v>
      </c>
      <c r="L46" s="79">
        <v>6</v>
      </c>
      <c r="M46" s="609">
        <f t="shared" si="12"/>
        <v>2400</v>
      </c>
      <c r="N46" s="193"/>
      <c r="O46" s="627">
        <f t="shared" si="10"/>
        <v>7200</v>
      </c>
      <c r="P46" s="80"/>
      <c r="Q46" s="80"/>
      <c r="R46" s="109"/>
    </row>
    <row r="47" spans="1:22" s="63" customFormat="1" ht="13.15" customHeight="1" x14ac:dyDescent="0.3">
      <c r="A47" s="66"/>
      <c r="B47" s="114" t="s">
        <v>189</v>
      </c>
      <c r="C47" s="145" t="s">
        <v>9</v>
      </c>
      <c r="D47" s="453" t="s">
        <v>161</v>
      </c>
      <c r="E47" s="77">
        <v>1</v>
      </c>
      <c r="F47" s="78">
        <v>750</v>
      </c>
      <c r="G47" s="78">
        <v>12</v>
      </c>
      <c r="H47" s="609">
        <f t="shared" si="11"/>
        <v>9000</v>
      </c>
      <c r="I47" s="193"/>
      <c r="J47" s="616">
        <v>1</v>
      </c>
      <c r="K47" s="78">
        <v>750</v>
      </c>
      <c r="L47" s="79">
        <v>6</v>
      </c>
      <c r="M47" s="609">
        <f t="shared" si="12"/>
        <v>4500</v>
      </c>
      <c r="N47" s="193"/>
      <c r="O47" s="627">
        <f t="shared" si="10"/>
        <v>13500</v>
      </c>
      <c r="P47" s="80"/>
      <c r="Q47" s="80"/>
      <c r="R47" s="109"/>
    </row>
    <row r="48" spans="1:22" s="63" customFormat="1" ht="13.15" customHeight="1" x14ac:dyDescent="0.3">
      <c r="A48" s="66"/>
      <c r="B48" s="114" t="s">
        <v>190</v>
      </c>
      <c r="C48" s="145" t="s">
        <v>9</v>
      </c>
      <c r="D48" s="453" t="s">
        <v>161</v>
      </c>
      <c r="E48" s="77">
        <v>1</v>
      </c>
      <c r="F48" s="78">
        <v>750</v>
      </c>
      <c r="G48" s="78">
        <v>12</v>
      </c>
      <c r="H48" s="609">
        <f t="shared" si="11"/>
        <v>9000</v>
      </c>
      <c r="I48" s="193"/>
      <c r="J48" s="616">
        <v>1</v>
      </c>
      <c r="K48" s="78">
        <v>750</v>
      </c>
      <c r="L48" s="79">
        <v>6</v>
      </c>
      <c r="M48" s="609">
        <f t="shared" si="12"/>
        <v>4500</v>
      </c>
      <c r="N48" s="193"/>
      <c r="O48" s="627">
        <f t="shared" si="10"/>
        <v>13500</v>
      </c>
      <c r="P48" s="80"/>
      <c r="Q48" s="80"/>
      <c r="R48" s="109"/>
    </row>
    <row r="49" spans="1:22" s="63" customFormat="1" ht="13.15" customHeight="1" thickBot="1" x14ac:dyDescent="0.35">
      <c r="A49" s="66"/>
      <c r="B49" s="114" t="s">
        <v>191</v>
      </c>
      <c r="C49" s="145" t="s">
        <v>9</v>
      </c>
      <c r="D49" s="453" t="s">
        <v>161</v>
      </c>
      <c r="E49" s="77">
        <v>0.5</v>
      </c>
      <c r="F49" s="78">
        <v>600</v>
      </c>
      <c r="G49" s="78">
        <v>12</v>
      </c>
      <c r="H49" s="609">
        <f t="shared" si="11"/>
        <v>3600</v>
      </c>
      <c r="I49" s="193"/>
      <c r="J49" s="616">
        <v>0.5</v>
      </c>
      <c r="K49" s="78">
        <v>600</v>
      </c>
      <c r="L49" s="79">
        <v>6</v>
      </c>
      <c r="M49" s="609">
        <f t="shared" si="12"/>
        <v>1800</v>
      </c>
      <c r="N49" s="193"/>
      <c r="O49" s="627">
        <f t="shared" si="10"/>
        <v>5400</v>
      </c>
      <c r="P49" s="80"/>
      <c r="Q49" s="80"/>
      <c r="R49" s="109"/>
    </row>
    <row r="50" spans="1:22" s="737" customFormat="1" ht="15" customHeight="1" thickBot="1" x14ac:dyDescent="0.35">
      <c r="B50" s="919" t="s">
        <v>42</v>
      </c>
      <c r="C50" s="901"/>
      <c r="D50" s="902"/>
      <c r="E50" s="920"/>
      <c r="F50" s="921"/>
      <c r="G50" s="920"/>
      <c r="H50" s="922"/>
      <c r="I50" s="167"/>
      <c r="J50" s="923"/>
      <c r="K50" s="921"/>
      <c r="L50" s="921"/>
      <c r="M50" s="922"/>
      <c r="N50" s="167"/>
      <c r="O50" s="908"/>
      <c r="P50" s="902"/>
      <c r="Q50" s="902"/>
      <c r="R50" s="924"/>
      <c r="T50" s="532">
        <f t="shared" ref="T50" si="13">(E50*F50*G50)+(J50*K50*L50)</f>
        <v>0</v>
      </c>
      <c r="U50" s="533" t="b">
        <f t="shared" ref="U50" si="14">O50=T50</f>
        <v>1</v>
      </c>
      <c r="V50" s="698"/>
    </row>
    <row r="51" spans="1:22" s="62" customFormat="1" ht="13.15" customHeight="1" x14ac:dyDescent="0.3">
      <c r="B51" s="114" t="s">
        <v>260</v>
      </c>
      <c r="C51" s="282" t="s">
        <v>10</v>
      </c>
      <c r="D51" s="453" t="s">
        <v>161</v>
      </c>
      <c r="E51" s="137">
        <v>1</v>
      </c>
      <c r="F51" s="449">
        <v>4000</v>
      </c>
      <c r="G51" s="137">
        <v>1</v>
      </c>
      <c r="H51" s="609">
        <f t="shared" si="11"/>
        <v>4000</v>
      </c>
      <c r="I51" s="193"/>
      <c r="J51" s="619">
        <v>0</v>
      </c>
      <c r="K51" s="79">
        <v>0</v>
      </c>
      <c r="L51" s="79">
        <v>0</v>
      </c>
      <c r="M51" s="609">
        <f t="shared" si="12"/>
        <v>0</v>
      </c>
      <c r="N51" s="193"/>
      <c r="O51" s="627">
        <f t="shared" si="10"/>
        <v>4000</v>
      </c>
      <c r="P51" s="80"/>
      <c r="Q51" s="80"/>
      <c r="R51" s="109"/>
    </row>
    <row r="52" spans="1:22" s="278" customFormat="1" ht="13.15" customHeight="1" thickBot="1" x14ac:dyDescent="0.35">
      <c r="B52" s="220" t="s">
        <v>326</v>
      </c>
      <c r="C52" s="282" t="s">
        <v>10</v>
      </c>
      <c r="D52" s="510" t="s">
        <v>161</v>
      </c>
      <c r="E52" s="449">
        <v>2</v>
      </c>
      <c r="F52" s="449">
        <v>2000</v>
      </c>
      <c r="G52" s="449">
        <v>1</v>
      </c>
      <c r="H52" s="611">
        <f t="shared" si="11"/>
        <v>4000</v>
      </c>
      <c r="I52" s="193"/>
      <c r="J52" s="620">
        <v>1</v>
      </c>
      <c r="K52" s="511">
        <v>2000</v>
      </c>
      <c r="L52" s="511">
        <v>1</v>
      </c>
      <c r="M52" s="611">
        <f t="shared" si="12"/>
        <v>2000</v>
      </c>
      <c r="N52" s="193"/>
      <c r="O52" s="627">
        <f t="shared" si="10"/>
        <v>6000</v>
      </c>
      <c r="P52" s="512"/>
      <c r="Q52" s="512"/>
      <c r="R52" s="247"/>
    </row>
    <row r="53" spans="1:22" s="737" customFormat="1" ht="15" customHeight="1" thickBot="1" x14ac:dyDescent="0.35">
      <c r="B53" s="919" t="s">
        <v>43</v>
      </c>
      <c r="C53" s="901"/>
      <c r="D53" s="902"/>
      <c r="E53" s="920"/>
      <c r="F53" s="921"/>
      <c r="G53" s="920"/>
      <c r="H53" s="922"/>
      <c r="I53" s="167"/>
      <c r="J53" s="923"/>
      <c r="K53" s="921"/>
      <c r="L53" s="921"/>
      <c r="M53" s="922"/>
      <c r="N53" s="167"/>
      <c r="O53" s="908"/>
      <c r="P53" s="902"/>
      <c r="Q53" s="902"/>
      <c r="R53" s="924"/>
      <c r="T53" s="532">
        <f t="shared" ref="T53" si="15">(E53*F53*G53)+(J53*K53*L53)</f>
        <v>0</v>
      </c>
      <c r="U53" s="533" t="b">
        <f t="shared" ref="U53" si="16">O53=T53</f>
        <v>1</v>
      </c>
      <c r="V53" s="698"/>
    </row>
    <row r="54" spans="1:22" s="62" customFormat="1" ht="13.15" customHeight="1" x14ac:dyDescent="0.3">
      <c r="B54" s="114" t="s">
        <v>153</v>
      </c>
      <c r="C54" s="145" t="s">
        <v>30</v>
      </c>
      <c r="D54" s="453" t="s">
        <v>161</v>
      </c>
      <c r="E54" s="137">
        <v>3</v>
      </c>
      <c r="F54" s="137">
        <v>800</v>
      </c>
      <c r="G54" s="137">
        <v>1</v>
      </c>
      <c r="H54" s="609">
        <f t="shared" ref="H54" si="17">E54*F54*G54</f>
        <v>2400</v>
      </c>
      <c r="I54" s="193"/>
      <c r="J54" s="619">
        <v>0</v>
      </c>
      <c r="K54" s="79">
        <v>0</v>
      </c>
      <c r="L54" s="79">
        <v>0</v>
      </c>
      <c r="M54" s="609">
        <f t="shared" ref="M54" si="18">J54*K54*L54</f>
        <v>0</v>
      </c>
      <c r="N54" s="193"/>
      <c r="O54" s="627">
        <f t="shared" ref="O54" si="19">H54+M54</f>
        <v>2400</v>
      </c>
      <c r="P54" s="80"/>
      <c r="Q54" s="80"/>
      <c r="R54" s="109"/>
    </row>
    <row r="55" spans="1:22" s="62" customFormat="1" ht="13.15" customHeight="1" x14ac:dyDescent="0.3">
      <c r="B55" s="114" t="s">
        <v>151</v>
      </c>
      <c r="C55" s="145" t="s">
        <v>30</v>
      </c>
      <c r="D55" s="453" t="s">
        <v>161</v>
      </c>
      <c r="E55" s="138">
        <v>1</v>
      </c>
      <c r="F55" s="137">
        <v>300</v>
      </c>
      <c r="G55" s="137">
        <v>1</v>
      </c>
      <c r="H55" s="609">
        <f t="shared" ref="H55:H59" si="20">E55*F55*G55</f>
        <v>300</v>
      </c>
      <c r="I55" s="193"/>
      <c r="J55" s="619">
        <v>0</v>
      </c>
      <c r="K55" s="79">
        <v>0</v>
      </c>
      <c r="L55" s="79">
        <v>0</v>
      </c>
      <c r="M55" s="609">
        <f t="shared" ref="M55:M59" si="21">J55*K55*L55</f>
        <v>0</v>
      </c>
      <c r="N55" s="193"/>
      <c r="O55" s="627">
        <f t="shared" ref="O55:O56" si="22">H55+M55</f>
        <v>300</v>
      </c>
      <c r="P55" s="80"/>
      <c r="Q55" s="80"/>
      <c r="R55" s="109"/>
    </row>
    <row r="56" spans="1:22" s="62" customFormat="1" ht="13.15" customHeight="1" x14ac:dyDescent="0.3">
      <c r="B56" s="114" t="s">
        <v>152</v>
      </c>
      <c r="C56" s="145" t="s">
        <v>30</v>
      </c>
      <c r="D56" s="453" t="s">
        <v>161</v>
      </c>
      <c r="E56" s="138">
        <v>20</v>
      </c>
      <c r="F56" s="137">
        <v>30</v>
      </c>
      <c r="G56" s="137">
        <v>1</v>
      </c>
      <c r="H56" s="609">
        <f t="shared" si="20"/>
        <v>600</v>
      </c>
      <c r="I56" s="193"/>
      <c r="J56" s="619">
        <v>0</v>
      </c>
      <c r="K56" s="79">
        <v>0</v>
      </c>
      <c r="L56" s="79">
        <v>0</v>
      </c>
      <c r="M56" s="609">
        <f t="shared" si="21"/>
        <v>0</v>
      </c>
      <c r="N56" s="193"/>
      <c r="O56" s="627">
        <f t="shared" si="22"/>
        <v>600</v>
      </c>
      <c r="P56" s="80"/>
      <c r="Q56" s="80"/>
      <c r="R56" s="109"/>
    </row>
    <row r="57" spans="1:22" s="63" customFormat="1" ht="13.15" customHeight="1" x14ac:dyDescent="0.3">
      <c r="B57" s="227" t="s">
        <v>193</v>
      </c>
      <c r="C57" s="925" t="s">
        <v>196</v>
      </c>
      <c r="D57" s="453" t="s">
        <v>161</v>
      </c>
      <c r="E57" s="124">
        <v>3</v>
      </c>
      <c r="F57" s="124">
        <v>600</v>
      </c>
      <c r="G57" s="124">
        <v>1</v>
      </c>
      <c r="H57" s="612">
        <f t="shared" si="20"/>
        <v>1800</v>
      </c>
      <c r="I57" s="132"/>
      <c r="J57" s="124">
        <v>0</v>
      </c>
      <c r="K57" s="124">
        <v>0</v>
      </c>
      <c r="L57" s="124">
        <v>0</v>
      </c>
      <c r="M57" s="626">
        <f t="shared" si="21"/>
        <v>0</v>
      </c>
      <c r="N57" s="132"/>
      <c r="O57" s="125">
        <f t="shared" ref="O57:O59" si="23">H57+M57</f>
        <v>1800</v>
      </c>
      <c r="P57" s="125"/>
      <c r="Q57" s="125"/>
      <c r="R57" s="127"/>
    </row>
    <row r="58" spans="1:22" s="63" customFormat="1" ht="13.15" customHeight="1" x14ac:dyDescent="0.3">
      <c r="B58" s="190" t="s">
        <v>194</v>
      </c>
      <c r="C58" s="925" t="s">
        <v>196</v>
      </c>
      <c r="D58" s="453" t="s">
        <v>161</v>
      </c>
      <c r="E58" s="124">
        <v>2</v>
      </c>
      <c r="F58" s="124">
        <v>80</v>
      </c>
      <c r="G58" s="124">
        <v>1</v>
      </c>
      <c r="H58" s="612">
        <f t="shared" si="20"/>
        <v>160</v>
      </c>
      <c r="I58" s="132"/>
      <c r="J58" s="124">
        <v>0</v>
      </c>
      <c r="K58" s="124">
        <v>0</v>
      </c>
      <c r="L58" s="124">
        <v>0</v>
      </c>
      <c r="M58" s="626">
        <f t="shared" si="21"/>
        <v>0</v>
      </c>
      <c r="N58" s="132"/>
      <c r="O58" s="125">
        <f t="shared" si="23"/>
        <v>160</v>
      </c>
      <c r="P58" s="125"/>
      <c r="Q58" s="125"/>
      <c r="R58" s="127"/>
    </row>
    <row r="59" spans="1:22" s="63" customFormat="1" ht="13.15" customHeight="1" thickBot="1" x14ac:dyDescent="0.35">
      <c r="B59" s="190" t="s">
        <v>192</v>
      </c>
      <c r="C59" s="925" t="s">
        <v>196</v>
      </c>
      <c r="D59" s="453" t="s">
        <v>161</v>
      </c>
      <c r="E59" s="124">
        <v>2</v>
      </c>
      <c r="F59" s="124">
        <v>120</v>
      </c>
      <c r="G59" s="124">
        <v>1</v>
      </c>
      <c r="H59" s="612">
        <f t="shared" si="20"/>
        <v>240</v>
      </c>
      <c r="I59" s="132"/>
      <c r="J59" s="124">
        <v>0</v>
      </c>
      <c r="K59" s="124">
        <v>0</v>
      </c>
      <c r="L59" s="124">
        <v>0</v>
      </c>
      <c r="M59" s="626">
        <f t="shared" si="21"/>
        <v>0</v>
      </c>
      <c r="N59" s="132"/>
      <c r="O59" s="125">
        <f t="shared" si="23"/>
        <v>240</v>
      </c>
      <c r="P59" s="125"/>
      <c r="Q59" s="125"/>
      <c r="R59" s="127"/>
    </row>
    <row r="60" spans="1:22" s="737" customFormat="1" ht="15" customHeight="1" thickBot="1" x14ac:dyDescent="0.35">
      <c r="B60" s="926" t="s">
        <v>44</v>
      </c>
      <c r="C60" s="901"/>
      <c r="D60" s="902"/>
      <c r="E60" s="920"/>
      <c r="F60" s="921"/>
      <c r="G60" s="920"/>
      <c r="H60" s="922"/>
      <c r="I60" s="167"/>
      <c r="J60" s="923"/>
      <c r="K60" s="921"/>
      <c r="L60" s="921"/>
      <c r="M60" s="922"/>
      <c r="N60" s="167"/>
      <c r="O60" s="908"/>
      <c r="P60" s="902"/>
      <c r="Q60" s="902"/>
      <c r="R60" s="924"/>
      <c r="T60" s="532">
        <f t="shared" ref="T60" si="24">(E60*F60*G60)+(J60*K60*L60)</f>
        <v>0</v>
      </c>
      <c r="U60" s="533" t="b">
        <f t="shared" ref="U60" si="25">O60=T60</f>
        <v>1</v>
      </c>
      <c r="V60" s="698"/>
    </row>
    <row r="61" spans="1:22" s="63" customFormat="1" ht="13.15" customHeight="1" thickBot="1" x14ac:dyDescent="0.35">
      <c r="B61" s="114" t="s">
        <v>154</v>
      </c>
      <c r="C61" s="145" t="s">
        <v>88</v>
      </c>
      <c r="D61" s="453" t="s">
        <v>161</v>
      </c>
      <c r="E61" s="137">
        <v>4</v>
      </c>
      <c r="F61" s="137">
        <v>100</v>
      </c>
      <c r="G61" s="137">
        <v>12</v>
      </c>
      <c r="H61" s="609">
        <f t="shared" ref="H61" si="26">E61*F61*G61</f>
        <v>4800</v>
      </c>
      <c r="I61" s="193"/>
      <c r="J61" s="621">
        <v>4</v>
      </c>
      <c r="K61" s="137">
        <v>100</v>
      </c>
      <c r="L61" s="137">
        <v>6</v>
      </c>
      <c r="M61" s="609">
        <f t="shared" ref="M61" si="27">J61*K61*L61</f>
        <v>2400</v>
      </c>
      <c r="N61" s="193"/>
      <c r="O61" s="627">
        <f t="shared" ref="O61" si="28">H61+M61</f>
        <v>7200</v>
      </c>
      <c r="P61" s="80"/>
      <c r="Q61" s="80"/>
      <c r="R61" s="109"/>
    </row>
    <row r="62" spans="1:22" s="737" customFormat="1" ht="15" customHeight="1" thickBot="1" x14ac:dyDescent="0.35">
      <c r="B62" s="919" t="s">
        <v>46</v>
      </c>
      <c r="C62" s="901"/>
      <c r="D62" s="902"/>
      <c r="E62" s="920"/>
      <c r="F62" s="921"/>
      <c r="G62" s="920"/>
      <c r="H62" s="922"/>
      <c r="I62" s="167"/>
      <c r="J62" s="923"/>
      <c r="K62" s="921"/>
      <c r="L62" s="921"/>
      <c r="M62" s="922"/>
      <c r="N62" s="167"/>
      <c r="O62" s="908"/>
      <c r="P62" s="902"/>
      <c r="Q62" s="902"/>
      <c r="R62" s="924"/>
      <c r="T62" s="532">
        <f t="shared" ref="T62" si="29">(E62*F62*G62)+(J62*K62*L62)</f>
        <v>0</v>
      </c>
      <c r="U62" s="533" t="b">
        <f t="shared" ref="U62" si="30">O62=T62</f>
        <v>1</v>
      </c>
      <c r="V62" s="698"/>
    </row>
    <row r="63" spans="1:22" s="63" customFormat="1" ht="13.15" customHeight="1" x14ac:dyDescent="0.3">
      <c r="B63" s="114" t="s">
        <v>155</v>
      </c>
      <c r="C63" s="103" t="s">
        <v>12</v>
      </c>
      <c r="D63" s="453" t="s">
        <v>161</v>
      </c>
      <c r="E63" s="137">
        <v>1</v>
      </c>
      <c r="F63" s="137">
        <v>2500</v>
      </c>
      <c r="G63" s="137">
        <v>1</v>
      </c>
      <c r="H63" s="609">
        <f t="shared" ref="H63:H65" si="31">E63*F63*G63</f>
        <v>2500</v>
      </c>
      <c r="I63" s="193"/>
      <c r="J63" s="619">
        <v>0</v>
      </c>
      <c r="K63" s="79">
        <v>0</v>
      </c>
      <c r="L63" s="79">
        <v>0</v>
      </c>
      <c r="M63" s="609">
        <f t="shared" ref="M63:M65" si="32">J63*K63*L63</f>
        <v>0</v>
      </c>
      <c r="N63" s="193"/>
      <c r="O63" s="627">
        <f t="shared" ref="O63:O65" si="33">H63+M63</f>
        <v>2500</v>
      </c>
      <c r="P63" s="80"/>
      <c r="Q63" s="80"/>
      <c r="R63" s="109"/>
    </row>
    <row r="64" spans="1:22" s="63" customFormat="1" ht="13.15" customHeight="1" x14ac:dyDescent="0.3">
      <c r="B64" s="114" t="s">
        <v>156</v>
      </c>
      <c r="C64" s="103" t="s">
        <v>12</v>
      </c>
      <c r="D64" s="453" t="s">
        <v>161</v>
      </c>
      <c r="E64" s="137">
        <v>1</v>
      </c>
      <c r="F64" s="137">
        <v>3000</v>
      </c>
      <c r="G64" s="137">
        <v>1</v>
      </c>
      <c r="H64" s="609">
        <f t="shared" si="31"/>
        <v>3000</v>
      </c>
      <c r="I64" s="193"/>
      <c r="J64" s="619">
        <v>0</v>
      </c>
      <c r="K64" s="79">
        <v>0</v>
      </c>
      <c r="L64" s="79">
        <v>0</v>
      </c>
      <c r="M64" s="609">
        <f t="shared" si="32"/>
        <v>0</v>
      </c>
      <c r="N64" s="193"/>
      <c r="O64" s="627">
        <f t="shared" si="33"/>
        <v>3000</v>
      </c>
      <c r="P64" s="80"/>
      <c r="Q64" s="80"/>
      <c r="R64" s="109"/>
    </row>
    <row r="65" spans="2:22" s="63" customFormat="1" ht="13.15" customHeight="1" x14ac:dyDescent="0.3">
      <c r="B65" s="114" t="s">
        <v>157</v>
      </c>
      <c r="C65" s="103" t="s">
        <v>12</v>
      </c>
      <c r="D65" s="453" t="s">
        <v>161</v>
      </c>
      <c r="E65" s="137">
        <v>1</v>
      </c>
      <c r="F65" s="137">
        <v>1000</v>
      </c>
      <c r="G65" s="137">
        <v>2</v>
      </c>
      <c r="H65" s="609">
        <f t="shared" si="31"/>
        <v>2000</v>
      </c>
      <c r="I65" s="193"/>
      <c r="J65" s="619">
        <v>0</v>
      </c>
      <c r="K65" s="79">
        <v>0</v>
      </c>
      <c r="L65" s="79">
        <v>0</v>
      </c>
      <c r="M65" s="609">
        <f t="shared" si="32"/>
        <v>0</v>
      </c>
      <c r="N65" s="193"/>
      <c r="O65" s="627">
        <f t="shared" si="33"/>
        <v>2000</v>
      </c>
      <c r="P65" s="80"/>
      <c r="Q65" s="80"/>
      <c r="R65" s="109"/>
    </row>
    <row r="66" spans="2:22" s="62" customFormat="1" ht="13.15" customHeight="1" x14ac:dyDescent="0.3">
      <c r="B66" s="115" t="s">
        <v>240</v>
      </c>
      <c r="C66" s="217" t="s">
        <v>12</v>
      </c>
      <c r="D66" s="453" t="s">
        <v>161</v>
      </c>
      <c r="E66" s="137">
        <v>2</v>
      </c>
      <c r="F66" s="137">
        <v>5000</v>
      </c>
      <c r="G66" s="137">
        <v>1</v>
      </c>
      <c r="H66" s="609">
        <f>E66*F66*G66</f>
        <v>10000</v>
      </c>
      <c r="I66" s="193"/>
      <c r="J66" s="619">
        <v>0</v>
      </c>
      <c r="K66" s="79">
        <v>0</v>
      </c>
      <c r="L66" s="79">
        <v>0</v>
      </c>
      <c r="M66" s="609">
        <f>J66*K66*L66</f>
        <v>0</v>
      </c>
      <c r="N66" s="193"/>
      <c r="O66" s="627">
        <f>H66+M66</f>
        <v>10000</v>
      </c>
      <c r="P66" s="80"/>
      <c r="Q66" s="80"/>
      <c r="R66" s="109"/>
    </row>
    <row r="67" spans="2:22" s="183" customFormat="1" ht="13.15" customHeight="1" thickBot="1" x14ac:dyDescent="0.35">
      <c r="B67" s="220" t="s">
        <v>327</v>
      </c>
      <c r="C67" s="237" t="s">
        <v>12</v>
      </c>
      <c r="D67" s="510" t="s">
        <v>161</v>
      </c>
      <c r="E67" s="449">
        <v>1</v>
      </c>
      <c r="F67" s="449">
        <v>500</v>
      </c>
      <c r="G67" s="449">
        <v>12</v>
      </c>
      <c r="H67" s="541">
        <f>E67*F67*G67</f>
        <v>6000</v>
      </c>
      <c r="I67" s="193"/>
      <c r="J67" s="622">
        <v>1</v>
      </c>
      <c r="K67" s="449">
        <v>500</v>
      </c>
      <c r="L67" s="449">
        <v>6</v>
      </c>
      <c r="M67" s="541">
        <f>J67*K67*L67</f>
        <v>3000</v>
      </c>
      <c r="N67" s="193"/>
      <c r="O67" s="627">
        <f>H67+M67</f>
        <v>9000</v>
      </c>
      <c r="P67" s="512"/>
      <c r="Q67" s="512"/>
      <c r="R67" s="247" t="s">
        <v>328</v>
      </c>
    </row>
    <row r="68" spans="2:22" s="737" customFormat="1" ht="15" customHeight="1" thickBot="1" x14ac:dyDescent="0.35">
      <c r="B68" s="919" t="s">
        <v>47</v>
      </c>
      <c r="C68" s="901"/>
      <c r="D68" s="902"/>
      <c r="E68" s="920"/>
      <c r="F68" s="921"/>
      <c r="G68" s="920"/>
      <c r="H68" s="922"/>
      <c r="I68" s="167"/>
      <c r="J68" s="923"/>
      <c r="K68" s="921"/>
      <c r="L68" s="921"/>
      <c r="M68" s="922"/>
      <c r="N68" s="167"/>
      <c r="O68" s="908"/>
      <c r="P68" s="902"/>
      <c r="Q68" s="902"/>
      <c r="R68" s="924"/>
      <c r="T68" s="532">
        <f t="shared" ref="T68" si="34">(E68*F68*G68)+(J68*K68*L68)</f>
        <v>0</v>
      </c>
      <c r="U68" s="533" t="b">
        <f t="shared" ref="U68" si="35">O68=T68</f>
        <v>1</v>
      </c>
      <c r="V68" s="698"/>
    </row>
    <row r="69" spans="2:22" s="63" customFormat="1" ht="13.15" customHeight="1" thickBot="1" x14ac:dyDescent="0.35">
      <c r="B69" s="114"/>
      <c r="C69" s="80"/>
      <c r="D69" s="453"/>
      <c r="E69" s="79"/>
      <c r="F69" s="79"/>
      <c r="G69" s="79"/>
      <c r="H69" s="609"/>
      <c r="I69" s="193"/>
      <c r="J69" s="619"/>
      <c r="K69" s="79"/>
      <c r="L69" s="79"/>
      <c r="M69" s="609"/>
      <c r="N69" s="193"/>
      <c r="O69" s="631"/>
      <c r="P69" s="80"/>
      <c r="Q69" s="80"/>
      <c r="R69" s="109"/>
    </row>
    <row r="70" spans="2:22" s="737" customFormat="1" ht="15" customHeight="1" thickBot="1" x14ac:dyDescent="0.35">
      <c r="B70" s="919" t="s">
        <v>45</v>
      </c>
      <c r="C70" s="901"/>
      <c r="D70" s="902"/>
      <c r="E70" s="920"/>
      <c r="F70" s="921"/>
      <c r="G70" s="920"/>
      <c r="H70" s="922"/>
      <c r="I70" s="167"/>
      <c r="J70" s="923"/>
      <c r="K70" s="921"/>
      <c r="L70" s="921"/>
      <c r="M70" s="922"/>
      <c r="N70" s="167"/>
      <c r="O70" s="908"/>
      <c r="P70" s="902"/>
      <c r="Q70" s="902"/>
      <c r="R70" s="924"/>
      <c r="T70" s="532">
        <f t="shared" ref="T70" si="36">(E70*F70*G70)+(J70*K70*L70)</f>
        <v>0</v>
      </c>
      <c r="U70" s="533" t="b">
        <f t="shared" ref="U70" si="37">O70=T70</f>
        <v>1</v>
      </c>
      <c r="V70" s="698"/>
    </row>
    <row r="71" spans="2:22" s="63" customFormat="1" ht="13.15" customHeight="1" x14ac:dyDescent="0.3">
      <c r="B71" s="114" t="s">
        <v>158</v>
      </c>
      <c r="C71" s="136" t="s">
        <v>14</v>
      </c>
      <c r="D71" s="453" t="s">
        <v>161</v>
      </c>
      <c r="E71" s="137">
        <v>1</v>
      </c>
      <c r="F71" s="137">
        <v>900</v>
      </c>
      <c r="G71" s="137">
        <v>1</v>
      </c>
      <c r="H71" s="609">
        <f t="shared" ref="H71:H74" si="38">E71*F71*G71</f>
        <v>900</v>
      </c>
      <c r="I71" s="193"/>
      <c r="J71" s="621">
        <v>1</v>
      </c>
      <c r="K71" s="137">
        <v>900</v>
      </c>
      <c r="L71" s="137">
        <v>2</v>
      </c>
      <c r="M71" s="609">
        <f t="shared" ref="M71:M74" si="39">J71*K71*L71</f>
        <v>1800</v>
      </c>
      <c r="N71" s="193"/>
      <c r="O71" s="627">
        <f t="shared" ref="O71:O74" si="40">H71+M71</f>
        <v>2700</v>
      </c>
      <c r="P71" s="80"/>
      <c r="Q71" s="80"/>
      <c r="R71" s="109"/>
    </row>
    <row r="72" spans="2:22" s="63" customFormat="1" ht="13.15" customHeight="1" x14ac:dyDescent="0.3">
      <c r="B72" s="114" t="s">
        <v>159</v>
      </c>
      <c r="C72" s="103" t="s">
        <v>197</v>
      </c>
      <c r="D72" s="453" t="s">
        <v>161</v>
      </c>
      <c r="E72" s="137">
        <v>1</v>
      </c>
      <c r="F72" s="137">
        <v>1600</v>
      </c>
      <c r="G72" s="137">
        <v>1</v>
      </c>
      <c r="H72" s="609">
        <f>E72*F72*G72</f>
        <v>1600</v>
      </c>
      <c r="I72" s="193"/>
      <c r="J72" s="621">
        <v>1</v>
      </c>
      <c r="K72" s="137">
        <v>1600</v>
      </c>
      <c r="L72" s="137">
        <v>1</v>
      </c>
      <c r="M72" s="609">
        <f t="shared" si="39"/>
        <v>1600</v>
      </c>
      <c r="N72" s="193"/>
      <c r="O72" s="627">
        <f t="shared" si="40"/>
        <v>3200</v>
      </c>
      <c r="P72" s="80"/>
      <c r="Q72" s="80"/>
      <c r="R72" s="109"/>
    </row>
    <row r="73" spans="2:22" s="183" customFormat="1" ht="13.15" customHeight="1" x14ac:dyDescent="0.3">
      <c r="B73" s="220" t="s">
        <v>329</v>
      </c>
      <c r="C73" s="237" t="s">
        <v>197</v>
      </c>
      <c r="D73" s="510" t="s">
        <v>161</v>
      </c>
      <c r="E73" s="449">
        <v>1</v>
      </c>
      <c r="F73" s="449">
        <v>200</v>
      </c>
      <c r="G73" s="449">
        <v>12</v>
      </c>
      <c r="H73" s="611">
        <v>2400</v>
      </c>
      <c r="I73" s="193"/>
      <c r="J73" s="622">
        <v>1</v>
      </c>
      <c r="K73" s="449">
        <v>200</v>
      </c>
      <c r="L73" s="449">
        <v>6</v>
      </c>
      <c r="M73" s="611">
        <v>1200</v>
      </c>
      <c r="N73" s="193"/>
      <c r="O73" s="627">
        <v>3600</v>
      </c>
      <c r="P73" s="512"/>
      <c r="Q73" s="512"/>
      <c r="R73" s="247" t="s">
        <v>330</v>
      </c>
    </row>
    <row r="74" spans="2:22" s="63" customFormat="1" ht="13.15" customHeight="1" x14ac:dyDescent="0.3">
      <c r="B74" s="114" t="s">
        <v>160</v>
      </c>
      <c r="C74" s="103" t="s">
        <v>197</v>
      </c>
      <c r="D74" s="453" t="s">
        <v>161</v>
      </c>
      <c r="E74" s="137">
        <v>1</v>
      </c>
      <c r="F74" s="137">
        <v>300</v>
      </c>
      <c r="G74" s="137">
        <v>12</v>
      </c>
      <c r="H74" s="609">
        <f t="shared" si="38"/>
        <v>3600</v>
      </c>
      <c r="I74" s="193"/>
      <c r="J74" s="621">
        <v>1</v>
      </c>
      <c r="K74" s="137">
        <v>300</v>
      </c>
      <c r="L74" s="137">
        <v>8</v>
      </c>
      <c r="M74" s="609">
        <f t="shared" si="39"/>
        <v>2400</v>
      </c>
      <c r="N74" s="193"/>
      <c r="O74" s="627">
        <f t="shared" si="40"/>
        <v>6000</v>
      </c>
      <c r="P74" s="80"/>
      <c r="Q74" s="80"/>
      <c r="R74" s="109"/>
    </row>
    <row r="75" spans="2:22" s="67" customFormat="1" ht="13.15" customHeight="1" x14ac:dyDescent="0.3">
      <c r="B75" s="119" t="s">
        <v>39</v>
      </c>
      <c r="C75" s="82"/>
      <c r="D75" s="64"/>
      <c r="E75" s="64"/>
      <c r="F75" s="64"/>
      <c r="G75" s="64"/>
      <c r="H75" s="613">
        <f>SUM(H42:H74)</f>
        <v>104300</v>
      </c>
      <c r="I75" s="167"/>
      <c r="J75" s="120"/>
      <c r="K75" s="74"/>
      <c r="L75" s="74"/>
      <c r="M75" s="613">
        <f>SUM(M42:M74)</f>
        <v>41400</v>
      </c>
      <c r="N75" s="167"/>
      <c r="O75" s="120">
        <f>H75+M75</f>
        <v>145700</v>
      </c>
      <c r="P75" s="65"/>
      <c r="Q75" s="65"/>
      <c r="R75" s="112"/>
    </row>
    <row r="76" spans="2:22" s="62" customFormat="1" ht="13.15" customHeight="1" x14ac:dyDescent="0.3">
      <c r="B76" s="1074"/>
      <c r="C76" s="1074"/>
      <c r="D76" s="1084" t="s">
        <v>38</v>
      </c>
      <c r="E76" s="68"/>
      <c r="F76" s="86"/>
      <c r="G76" s="86"/>
      <c r="H76" s="614" t="s">
        <v>2</v>
      </c>
      <c r="I76" s="607"/>
      <c r="J76" s="301"/>
      <c r="K76" s="87"/>
      <c r="L76" s="87"/>
      <c r="M76" s="614" t="s">
        <v>3</v>
      </c>
      <c r="N76" s="167"/>
      <c r="O76" s="121"/>
      <c r="P76" s="69"/>
      <c r="Q76" s="69"/>
      <c r="R76" s="108"/>
    </row>
    <row r="77" spans="2:22" s="62" customFormat="1" ht="13.15" customHeight="1" x14ac:dyDescent="0.3">
      <c r="B77" s="1074"/>
      <c r="C77" s="1074"/>
      <c r="D77" s="1084"/>
      <c r="E77" s="68"/>
      <c r="F77" s="86"/>
      <c r="G77" s="86"/>
      <c r="H77" s="614">
        <f>C38+H75</f>
        <v>446940</v>
      </c>
      <c r="I77" s="607"/>
      <c r="J77" s="301"/>
      <c r="K77" s="87"/>
      <c r="L77" s="87"/>
      <c r="M77" s="614">
        <f>J38+M75</f>
        <v>86400</v>
      </c>
      <c r="N77" s="167"/>
      <c r="O77" s="120">
        <f>H77+M77</f>
        <v>533340</v>
      </c>
      <c r="P77" s="69"/>
      <c r="Q77" s="69"/>
      <c r="R77" s="108"/>
    </row>
    <row r="78" spans="2:22" s="62" customFormat="1" ht="13.15" customHeight="1" x14ac:dyDescent="0.3">
      <c r="B78" s="1075"/>
      <c r="C78" s="1075"/>
      <c r="D78" s="105" t="s">
        <v>49</v>
      </c>
      <c r="E78" s="70"/>
      <c r="F78" s="70"/>
      <c r="G78" s="70"/>
      <c r="H78" s="241">
        <f>H77*7%</f>
        <v>31285.800000000003</v>
      </c>
      <c r="I78" s="167"/>
      <c r="J78" s="242"/>
      <c r="K78" s="76"/>
      <c r="L78" s="76"/>
      <c r="M78" s="241">
        <f>M77*7%</f>
        <v>6048.0000000000009</v>
      </c>
      <c r="N78" s="194"/>
      <c r="O78" s="120">
        <f>H78+M78</f>
        <v>37333.800000000003</v>
      </c>
      <c r="P78" s="71"/>
      <c r="Q78" s="71"/>
      <c r="R78" s="113"/>
    </row>
    <row r="79" spans="2:22" s="62" customFormat="1" ht="13.15" customHeight="1" x14ac:dyDescent="0.3">
      <c r="B79" s="1076"/>
      <c r="C79" s="1076"/>
      <c r="D79" s="106" t="s">
        <v>21</v>
      </c>
      <c r="E79" s="72"/>
      <c r="F79" s="72"/>
      <c r="G79" s="72"/>
      <c r="H79" s="241">
        <f>SUM(H77:H78)</f>
        <v>478225.8</v>
      </c>
      <c r="I79" s="167"/>
      <c r="J79" s="242"/>
      <c r="K79" s="76"/>
      <c r="L79" s="76"/>
      <c r="M79" s="241">
        <f>SUM(M77:M78)</f>
        <v>92448</v>
      </c>
      <c r="N79" s="194"/>
      <c r="O79" s="120">
        <f>H79+M79</f>
        <v>570673.80000000005</v>
      </c>
      <c r="P79" s="71"/>
      <c r="Q79" s="71"/>
      <c r="R79" s="113"/>
    </row>
    <row r="80" spans="2:22" s="62" customFormat="1" ht="13.15" customHeight="1" x14ac:dyDescent="0.3">
      <c r="B80" s="116"/>
      <c r="D80" s="107"/>
      <c r="I80" s="167"/>
      <c r="N80" s="188"/>
      <c r="Q80" s="73"/>
      <c r="R80" s="113"/>
    </row>
    <row r="81" spans="2:18" s="62" customFormat="1" ht="13.15" customHeight="1" x14ac:dyDescent="0.3">
      <c r="B81" s="139" t="s">
        <v>210</v>
      </c>
      <c r="C81" s="16"/>
      <c r="D81" s="16"/>
      <c r="E81" s="16"/>
      <c r="F81" s="17"/>
      <c r="I81" s="188"/>
      <c r="N81" s="188"/>
      <c r="R81" s="113"/>
    </row>
    <row r="82" spans="2:18" s="62" customFormat="1" ht="13.15" customHeight="1" x14ac:dyDescent="0.3">
      <c r="B82" s="140" t="s">
        <v>211</v>
      </c>
      <c r="C82" s="1"/>
      <c r="D82" s="1"/>
      <c r="E82" s="1"/>
      <c r="F82" s="14"/>
      <c r="I82" s="188"/>
      <c r="N82" s="188"/>
      <c r="R82" s="113"/>
    </row>
    <row r="83" spans="2:18" s="62" customFormat="1" ht="13.15" customHeight="1" x14ac:dyDescent="0.3">
      <c r="B83" s="1069" t="s">
        <v>212</v>
      </c>
      <c r="C83" s="1070"/>
      <c r="D83" s="1070"/>
      <c r="E83" s="1070"/>
      <c r="F83" s="1071"/>
      <c r="I83" s="188"/>
      <c r="N83" s="188"/>
      <c r="R83" s="113"/>
    </row>
    <row r="84" spans="2:18" s="62" customFormat="1" ht="13.15" customHeight="1" x14ac:dyDescent="0.3">
      <c r="B84" s="140" t="s">
        <v>213</v>
      </c>
      <c r="C84" s="1"/>
      <c r="D84" s="1"/>
      <c r="E84" s="2"/>
      <c r="F84" s="14"/>
      <c r="I84" s="188"/>
      <c r="N84" s="188"/>
      <c r="R84" s="113"/>
    </row>
    <row r="85" spans="2:18" s="62" customFormat="1" ht="13.15" customHeight="1" x14ac:dyDescent="0.3">
      <c r="B85" s="140"/>
      <c r="C85" s="1" t="s">
        <v>27</v>
      </c>
      <c r="D85" s="1"/>
      <c r="E85" s="1"/>
      <c r="F85" s="14"/>
      <c r="I85" s="188"/>
      <c r="N85" s="188"/>
      <c r="R85" s="113"/>
    </row>
    <row r="86" spans="2:18" s="62" customFormat="1" ht="13.15" customHeight="1" x14ac:dyDescent="0.3">
      <c r="B86" s="140"/>
      <c r="C86" s="1" t="s">
        <v>28</v>
      </c>
      <c r="D86" s="1"/>
      <c r="E86" s="1"/>
      <c r="F86" s="14"/>
      <c r="I86" s="188"/>
      <c r="N86" s="188"/>
      <c r="R86" s="113"/>
    </row>
    <row r="87" spans="2:18" s="62" customFormat="1" ht="13.15" customHeight="1" x14ac:dyDescent="0.3">
      <c r="B87" s="1062" t="s">
        <v>214</v>
      </c>
      <c r="C87" s="1063"/>
      <c r="D87" s="1063"/>
      <c r="E87" s="1063"/>
      <c r="F87" s="1064"/>
      <c r="I87" s="188"/>
      <c r="N87" s="188"/>
      <c r="R87" s="113"/>
    </row>
    <row r="88" spans="2:18" ht="13.15" customHeight="1" x14ac:dyDescent="0.3">
      <c r="B88" s="1"/>
      <c r="D88" s="1"/>
    </row>
    <row r="89" spans="2:18" ht="13.15" customHeight="1" x14ac:dyDescent="0.3">
      <c r="B89" s="16" t="s">
        <v>215</v>
      </c>
      <c r="C89" s="141"/>
      <c r="D89" s="141"/>
      <c r="E89" s="141"/>
      <c r="F89" s="20"/>
    </row>
    <row r="90" spans="2:18" ht="13.15" customHeight="1" x14ac:dyDescent="0.3">
      <c r="B90" s="1" t="s">
        <v>9</v>
      </c>
      <c r="D90" s="1"/>
      <c r="F90" s="14"/>
    </row>
    <row r="91" spans="2:18" ht="13.15" customHeight="1" x14ac:dyDescent="0.3">
      <c r="B91" s="1" t="s">
        <v>10</v>
      </c>
      <c r="D91" s="1"/>
      <c r="F91" s="14"/>
    </row>
    <row r="92" spans="2:18" ht="13.15" customHeight="1" x14ac:dyDescent="0.3">
      <c r="B92" s="1" t="s">
        <v>30</v>
      </c>
      <c r="D92" s="1"/>
      <c r="F92" s="14"/>
    </row>
    <row r="93" spans="2:18" ht="13.15" customHeight="1" x14ac:dyDescent="0.3">
      <c r="B93" s="1" t="s">
        <v>88</v>
      </c>
      <c r="D93" s="1"/>
      <c r="F93" s="14"/>
    </row>
    <row r="94" spans="2:18" ht="13.15" customHeight="1" x14ac:dyDescent="0.3">
      <c r="B94" s="1" t="s">
        <v>12</v>
      </c>
      <c r="D94" s="1"/>
      <c r="F94" s="14"/>
    </row>
    <row r="95" spans="2:18" ht="13.15" customHeight="1" x14ac:dyDescent="0.3">
      <c r="B95" s="1" t="s">
        <v>216</v>
      </c>
      <c r="D95" s="1"/>
      <c r="F95" s="14"/>
    </row>
    <row r="96" spans="2:18" ht="13.15" customHeight="1" x14ac:dyDescent="0.3">
      <c r="B96" s="142" t="s">
        <v>14</v>
      </c>
      <c r="C96" s="142"/>
      <c r="D96" s="142"/>
      <c r="E96" s="142"/>
      <c r="F96" s="15"/>
    </row>
  </sheetData>
  <mergeCells count="10">
    <mergeCell ref="C37:H37"/>
    <mergeCell ref="J37:M37"/>
    <mergeCell ref="B83:F83"/>
    <mergeCell ref="B87:F87"/>
    <mergeCell ref="C38:H38"/>
    <mergeCell ref="J38:M38"/>
    <mergeCell ref="B76:C77"/>
    <mergeCell ref="D76:D77"/>
    <mergeCell ref="B78:C78"/>
    <mergeCell ref="B79:C79"/>
  </mergeCells>
  <dataValidations count="6">
    <dataValidation type="list" allowBlank="1" showInputMessage="1" showErrorMessage="1" sqref="C57:C59 C16" xr:uid="{59EE1C93-075F-4CFD-BFD8-1F576BD27826}">
      <formula1>categories</formula1>
    </dataValidation>
    <dataValidation type="list" allowBlank="1" showInputMessage="1" showErrorMessage="1" sqref="C34 C13" xr:uid="{4E466A32-F4EC-4AF6-B7DC-9007CDCEDC37}">
      <formula1>cat</formula1>
    </dataValidation>
    <dataValidation type="list" allowBlank="1" showInputMessage="1" showErrorMessage="1" sqref="C18 C21 C25" xr:uid="{90E347D7-653C-42E7-B811-78008B8FD3A1}">
      <formula1>hf</formula1>
    </dataValidation>
    <dataValidation type="list" allowBlank="1" showInputMessage="1" showErrorMessage="1" sqref="C29:C30 C33 C22:C24" xr:uid="{A3DAA0B2-97C7-4613-B5B5-1C7F98ED8F04}">
      <formula1>fhf</formula1>
    </dataValidation>
    <dataValidation type="list" allowBlank="1" showInputMessage="1" showErrorMessage="1" sqref="C36" xr:uid="{806A67D7-6BEC-4CCA-AEB8-C489042AB87A}">
      <formula1>kf</formula1>
    </dataValidation>
    <dataValidation type="list" allowBlank="1" showInputMessage="1" showErrorMessage="1" sqref="C35" xr:uid="{D5FCF529-E0BC-4BAE-A7DE-33223CAE3B1D}">
      <formula1>f</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06A22DF2BF4E741B20FC849E833E823" ma:contentTypeVersion="11" ma:contentTypeDescription="Create a new document." ma:contentTypeScope="" ma:versionID="d52db49dc4b54731a0f42bf8f72b288b">
  <xsd:schema xmlns:xsd="http://www.w3.org/2001/XMLSchema" xmlns:xs="http://www.w3.org/2001/XMLSchema" xmlns:p="http://schemas.microsoft.com/office/2006/metadata/properties" xmlns:ns2="2c71c120-b919-4552-8179-5cc8209ae34e" xmlns:ns3="baf121fa-59df-4465-972a-a50e3f5ceefd" targetNamespace="http://schemas.microsoft.com/office/2006/metadata/properties" ma:root="true" ma:fieldsID="be5502b5b366d354bfbe879728320eaa" ns2:_="" ns3:_="">
    <xsd:import namespace="2c71c120-b919-4552-8179-5cc8209ae34e"/>
    <xsd:import namespace="baf121fa-59df-4465-972a-a50e3f5ceef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71c120-b919-4552-8179-5cc8209ae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f121fa-59df-4465-972a-a50e3f5ceef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70022D-E60E-49A8-848E-BBE8D9A3ADBF}">
  <ds:schemaRefs>
    <ds:schemaRef ds:uri="http://schemas.microsoft.com/sharepoint/v3/contenttype/forms"/>
  </ds:schemaRefs>
</ds:datastoreItem>
</file>

<file path=customXml/itemProps2.xml><?xml version="1.0" encoding="utf-8"?>
<ds:datastoreItem xmlns:ds="http://schemas.openxmlformats.org/officeDocument/2006/customXml" ds:itemID="{6BD9FF96-1B19-426C-83E7-C6C3BE3EE7CD}"/>
</file>

<file path=customXml/itemProps3.xml><?xml version="1.0" encoding="utf-8"?>
<ds:datastoreItem xmlns:ds="http://schemas.openxmlformats.org/officeDocument/2006/customXml" ds:itemID="{1861532F-0AE1-443A-9085-065C760E65E1}">
  <ds:schemaRefs>
    <ds:schemaRef ds:uri="http://schemas.microsoft.com/office/infopath/2007/PartnerControls"/>
    <ds:schemaRef ds:uri="http://purl.org/dc/dcmitype/"/>
    <ds:schemaRef ds:uri="http://purl.org/dc/terms/"/>
    <ds:schemaRef ds:uri="http://purl.org/dc/elements/1.1/"/>
    <ds:schemaRef ds:uri="bbfbe2eb-219d-4b3a-bd69-8424a82c66cf"/>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a28cdbf1-4408-4155-a538-9e2fdf619ac2"/>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Budget_Recapitulatif_AAP</vt:lpstr>
      <vt:lpstr>Consolidated</vt:lpstr>
      <vt:lpstr>OIM</vt:lpstr>
      <vt:lpstr>Trocaire</vt:lpstr>
      <vt:lpstr>Caritas</vt:lpstr>
      <vt:lpstr>Budget_Recapitulatif_AAP!Zone_d_impression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Claudia</dc:creator>
  <cp:lastModifiedBy>Caitlin hannahan</cp:lastModifiedBy>
  <cp:lastPrinted>2020-02-07T11:42:42Z</cp:lastPrinted>
  <dcterms:created xsi:type="dcterms:W3CDTF">2010-10-28T04:03:10Z</dcterms:created>
  <dcterms:modified xsi:type="dcterms:W3CDTF">2020-05-18T13:04:02Z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0x010100A06A22DF2BF4E741B20FC849E833E823</vt:lpwstr>
  </property>
  <property fmtid="{D5CDD505-2E9C-101B-9397-08002B2CF9AE}" pid="3" name="_dlc_DocIdItemGuid">
    <vt:lpwstr>f285cbe4-56b2-468f-9283-e39ba9e90881</vt:lpwstr>
  </property>
</Properties>
</file>