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8FB85B3-DBFA-4B17-B9B7-54E1C60526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pense  par activites " sheetId="1" r:id="rId1"/>
    <sheet name="Sheet2" sheetId="2" r:id="rId2"/>
  </sheets>
  <definedNames>
    <definedName name="_xlnm.Print_Area" localSheetId="0">'depense  par activites '!$A$7:$H$94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C85" i="1"/>
  <c r="C65" i="1"/>
  <c r="C64" i="1"/>
  <c r="C63" i="1"/>
  <c r="C62" i="1"/>
  <c r="C61" i="1"/>
  <c r="C60" i="1"/>
  <c r="C77" i="1"/>
  <c r="C76" i="1"/>
  <c r="C75" i="1"/>
  <c r="C73" i="1"/>
  <c r="C72" i="1"/>
  <c r="C71" i="1"/>
  <c r="C70" i="1"/>
  <c r="C69" i="1"/>
  <c r="C68" i="1"/>
  <c r="C78" i="1" l="1"/>
  <c r="C66" i="1"/>
  <c r="C86" i="1"/>
  <c r="C79" i="1" l="1"/>
  <c r="C87" i="1"/>
  <c r="C88" i="1" s="1"/>
  <c r="H87" i="1" l="1"/>
  <c r="H88" i="1" s="1"/>
  <c r="H35" i="1"/>
  <c r="H32" i="1"/>
  <c r="H42" i="1" s="1"/>
  <c r="H29" i="1"/>
  <c r="H21" i="1"/>
  <c r="G42" i="1"/>
  <c r="G29" i="1"/>
  <c r="G21" i="1"/>
  <c r="G85" i="1"/>
  <c r="G43" i="1" l="1"/>
  <c r="G79" i="1" s="1"/>
  <c r="G80" i="1" s="1"/>
  <c r="G86" i="1" s="1"/>
  <c r="G87" i="1" s="1"/>
  <c r="H43" i="1"/>
  <c r="H79" i="1" s="1"/>
  <c r="H80" i="1" s="1"/>
  <c r="K15" i="2" l="1"/>
  <c r="K14" i="2"/>
  <c r="I14" i="2"/>
  <c r="G14" i="2"/>
  <c r="M7" i="2"/>
  <c r="M8" i="2"/>
  <c r="M9" i="2"/>
  <c r="M13" i="2"/>
  <c r="N9" i="2"/>
  <c r="T8" i="2"/>
  <c r="T9" i="2"/>
  <c r="T10" i="2"/>
  <c r="T13" i="2"/>
  <c r="S8" i="2"/>
  <c r="S9" i="2"/>
  <c r="S10" i="2"/>
  <c r="S11" i="2"/>
  <c r="S12" i="2"/>
  <c r="S13" i="2"/>
  <c r="T7" i="2"/>
  <c r="S7" i="2"/>
  <c r="E42" i="1"/>
  <c r="N7" i="2" l="1"/>
  <c r="N8" i="2"/>
  <c r="N10" i="2"/>
  <c r="N13" i="2"/>
  <c r="J15" i="2" l="1"/>
  <c r="I16" i="2" l="1"/>
  <c r="J8" i="2" l="1"/>
  <c r="J9" i="2"/>
  <c r="J10" i="2"/>
  <c r="J11" i="2"/>
  <c r="J13" i="2"/>
  <c r="J7" i="2"/>
  <c r="C7" i="2" l="1"/>
  <c r="D7" i="2"/>
  <c r="E7" i="2"/>
  <c r="C9" i="2"/>
  <c r="D9" i="2"/>
  <c r="E9" i="2"/>
  <c r="F12" i="2"/>
  <c r="C13" i="2"/>
  <c r="D13" i="2"/>
  <c r="E13" i="2"/>
  <c r="F26" i="2"/>
  <c r="J14" i="2" l="1"/>
  <c r="G16" i="2"/>
  <c r="F9" i="2"/>
  <c r="F13" i="2"/>
  <c r="F7" i="2"/>
  <c r="J16" i="2" l="1"/>
  <c r="K16" i="2"/>
  <c r="Q8" i="2"/>
  <c r="Q9" i="2"/>
  <c r="Q10" i="2"/>
  <c r="Q11" i="2"/>
  <c r="R11" i="2" s="1"/>
  <c r="Q12" i="2"/>
  <c r="Q13" i="2"/>
  <c r="Q7" i="2"/>
  <c r="R8" i="2" l="1"/>
  <c r="U8" i="2"/>
  <c r="V8" i="2" s="1"/>
  <c r="R9" i="2"/>
  <c r="U9" i="2"/>
  <c r="V9" i="2" s="1"/>
  <c r="R7" i="2"/>
  <c r="U7" i="2"/>
  <c r="V7" i="2" s="1"/>
  <c r="R13" i="2"/>
  <c r="U13" i="2"/>
  <c r="V13" i="2" s="1"/>
  <c r="R10" i="2"/>
  <c r="U10" i="2"/>
  <c r="V10" i="2" s="1"/>
  <c r="F85" i="1" l="1"/>
  <c r="F21" i="1"/>
  <c r="B10" i="2"/>
  <c r="B13" i="2"/>
  <c r="B8" i="2"/>
  <c r="B11" i="2"/>
  <c r="L11" i="2" s="1"/>
  <c r="L12" i="2"/>
  <c r="L14" i="2" l="1"/>
  <c r="T14" i="2" s="1"/>
  <c r="M11" i="2"/>
  <c r="T11" i="2"/>
  <c r="T12" i="2"/>
  <c r="M12" i="2"/>
  <c r="U12" i="2" s="1"/>
  <c r="F86" i="1"/>
  <c r="B14" i="2"/>
  <c r="U11" i="2" l="1"/>
  <c r="V11" i="2" s="1"/>
  <c r="M14" i="2"/>
  <c r="N14" i="2" s="1"/>
  <c r="N11" i="2"/>
  <c r="B15" i="2"/>
  <c r="E21" i="1"/>
  <c r="M15" i="2" l="1"/>
  <c r="N15" i="2" s="1"/>
  <c r="L16" i="2"/>
  <c r="T16" i="2" s="1"/>
  <c r="T15" i="2"/>
  <c r="B16" i="2"/>
  <c r="M16" i="2" l="1"/>
  <c r="E85" i="1"/>
  <c r="N16" i="2" l="1"/>
  <c r="O14" i="2"/>
  <c r="Q14" i="2" l="1"/>
  <c r="O15" i="2"/>
  <c r="S15" i="2" s="1"/>
  <c r="S14" i="2"/>
  <c r="Q15" i="2"/>
  <c r="R15" i="2" l="1"/>
  <c r="U15" i="2"/>
  <c r="V15" i="2" s="1"/>
  <c r="R14" i="2"/>
  <c r="U14" i="2"/>
  <c r="V14" i="2" s="1"/>
  <c r="O16" i="2"/>
  <c r="Q16" i="2" l="1"/>
  <c r="S16" i="2"/>
  <c r="C42" i="1"/>
  <c r="D65" i="1" l="1"/>
  <c r="D61" i="1"/>
  <c r="D60" i="1"/>
  <c r="R16" i="2"/>
  <c r="U16" i="2"/>
  <c r="V16" i="2" s="1"/>
  <c r="C8" i="2"/>
  <c r="D8" i="2"/>
  <c r="E8" i="2"/>
  <c r="F8" i="2" l="1"/>
  <c r="E78" i="1"/>
  <c r="E79" i="1" s="1"/>
  <c r="E86" i="1" l="1"/>
  <c r="E87" i="1" s="1"/>
  <c r="E88" i="1" s="1"/>
  <c r="E80" i="1"/>
  <c r="D62" i="1"/>
  <c r="D64" i="1" l="1"/>
  <c r="D63" i="1"/>
  <c r="C10" i="2"/>
  <c r="D10" i="2"/>
  <c r="E10" i="2"/>
  <c r="E11" i="2"/>
  <c r="C11" i="2"/>
  <c r="D11" i="2"/>
  <c r="E14" i="2" l="1"/>
  <c r="D14" i="2"/>
  <c r="F11" i="2"/>
  <c r="F10" i="2"/>
  <c r="C14" i="2"/>
  <c r="F14" i="2" l="1"/>
  <c r="C15" i="2"/>
  <c r="D15" i="2"/>
  <c r="D16" i="2" s="1"/>
  <c r="E15" i="2"/>
  <c r="E16" i="2" s="1"/>
  <c r="F15" i="2" l="1"/>
  <c r="F20" i="2" s="1"/>
  <c r="C16" i="2"/>
  <c r="F16" i="2" l="1"/>
  <c r="E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tc={FDFF7CAB-991C-42C2-8BEA-63F22736C325}</author>
  </authors>
  <commentList>
    <comment ref="L8" authorId="0" shapeId="0" xr:uid="{FDFF7CAB-991C-42C2-8BEA-63F22736C32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Il faut expliquer le motif de ce changement de budget. la ligne de 78 000 vous la mettez à 3 000. où va le reste ?</t>
      </text>
    </comment>
  </commentList>
</comments>
</file>

<file path=xl/sharedStrings.xml><?xml version="1.0" encoding="utf-8"?>
<sst xmlns="http://schemas.openxmlformats.org/spreadsheetml/2006/main" count="191" uniqueCount="168">
  <si>
    <t xml:space="preserve"> 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</si>
  <si>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</si>
  <si>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</si>
  <si>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</si>
  <si>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</si>
  <si>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</si>
  <si>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Resultat 2: 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</si>
  <si>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</si>
  <si>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</si>
  <si>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</si>
  <si>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</si>
  <si>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</si>
  <si>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</si>
  <si>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</si>
  <si>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</si>
  <si>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</si>
  <si>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</si>
  <si>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</si>
  <si>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</si>
  <si>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</si>
  <si>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</si>
  <si>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</si>
  <si>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</si>
  <si>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</si>
  <si>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</si>
  <si>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</si>
  <si>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</si>
  <si>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</si>
  <si>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</si>
  <si>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Cout de personnel du projet si pas inclus dans les activites si-dessus</t>
  </si>
  <si>
    <t>Couts operationnels si pas inclus dans les activites si-dessus</t>
  </si>
  <si>
    <t>Budget S&amp;E du projet</t>
  </si>
  <si>
    <t>BUDGET TOTAL DU PROJET:</t>
  </si>
  <si>
    <t>TOTAL $ pour Resultat 1:</t>
  </si>
  <si>
    <t>Préparer  les bénéficiaires a la création des nouvelles opportunités</t>
  </si>
  <si>
    <t>Étude de marché : identification des créneaux et métiers porteurs, localement adaptés</t>
  </si>
  <si>
    <t>Évaluation des projets professionnels/compétences des jeunes</t>
  </si>
  <si>
    <t>Information, sensibilisation et orientation des jeunes vers les métiers et activités adaptés</t>
  </si>
  <si>
    <t>Choix des métiers et des activités économiques porteurs et localement adaptés aux jeunes selon leurs compétences évaluées</t>
  </si>
  <si>
    <t xml:space="preserve">Mise en place/formation des comités communaux d’entreprenariat (CCE) pour assurer la durabilité du projet </t>
  </si>
  <si>
    <t>Identification et Renforcement de capacités des CFM (Personnel et équipement)</t>
  </si>
  <si>
    <t>Mise en relations des associations / groupements  des jeunes avec les institutions de micro finance</t>
  </si>
  <si>
    <t xml:space="preserve">SOUS TOTAL DU BUDGET DE PROJET:  </t>
  </si>
  <si>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Suivi et accompagnement des jeunes entrepreneurs </t>
    </r>
  </si>
  <si>
    <t>Atelier global d’échange et de vulgarisation des expériences</t>
  </si>
  <si>
    <t>Formation en entreprenariat et en vie associative</t>
  </si>
  <si>
    <t xml:space="preserve">Couts indirects (7%):    </t>
  </si>
  <si>
    <r>
      <t>TOTAL $ pour Resultat 2:</t>
    </r>
    <r>
      <rPr>
        <b/>
        <sz val="12"/>
        <color theme="5"/>
        <rFont val="Times New Roman"/>
        <family val="1"/>
      </rPr>
      <t>Issa</t>
    </r>
  </si>
  <si>
    <t xml:space="preserve">3.2  Mise en œuvre de la stratégie de communication (messages, matériel, Renforcement capacité, Séances communautaires) </t>
  </si>
  <si>
    <t xml:space="preserve">3.1   Analyse du phénomène et développement de stratégie de communication </t>
  </si>
  <si>
    <t>Resultat 1: La résilience des populations est améliorée à travers des mécanismes communautaires de résolution pacifique fonctionnels qui impliquent les jeunes, les femmes et les élus/leaders</t>
  </si>
  <si>
    <t xml:space="preserve">la population est sensibilisee </t>
  </si>
  <si>
    <t>Organiser des activités de formation sur les droits humains et le droit humanitaire international en collaboration avec les forces de défense et de sécurité (FDS).</t>
  </si>
  <si>
    <t>Créer un cadre communal formel d’encadrement et d’échange des jeunes par les élus locaux et les leaders religieux à travers le dialogue intergénérationnel et le tutorat,</t>
  </si>
  <si>
    <t>Organiser des activités conjointes civilo-militaires (travaux à intérêt communautaires, tribune citoyennes, activités culturelles, socio-sportives) pour rapprocher les communautés, les jeunes combattants et les Forces de défenses et de sécurité,</t>
  </si>
  <si>
    <t>Budget par agence recipiendiaire en USD - Veuillez ajouter une nouvelle colonne par agence recipiendiaire UNHCR</t>
  </si>
  <si>
    <t>Les mécanismes locaux de résolution de conflits identifiés sont rendus fonctionnels</t>
  </si>
  <si>
    <t>Concevoir des outils de suivi et évaluation pour l’utilisation des mécanismes de prévention et gestion de conflits</t>
  </si>
  <si>
    <t>Renforcer les capacités des membres des mécanismes de prévention et gestion de conflits,</t>
  </si>
  <si>
    <t>Élaborer un code communautaire (base sur les mécanismes traditionnels) pour la prévention et la gestion des conflits communautaires,</t>
  </si>
  <si>
    <t>Activite 1.2.4:</t>
  </si>
  <si>
    <t xml:space="preserve">Les capacités des jeunes, femmes et les élus/leaders de la communauté sont renforcés pour accroître leur résilience par rapport à la circulation d’armes a feu </t>
  </si>
  <si>
    <t>Sous total par agence</t>
  </si>
  <si>
    <t>Formation des jeunes de 40 jeunes en technique de communication pour la production des messages de sensibilistaion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</si>
  <si>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Développer des supports visuels (modules) adaptés pour la formation des jeunes et la sensibilisation des femmes et des élus / leaders locaux aux concepts de la culture de la paix, citoyenneté et leadership ( pour les 2 groupes a sensibiliser et former)</t>
    </r>
  </si>
  <si>
    <t>Activite 2.2.4:</t>
  </si>
  <si>
    <t>Activite 2.2.5:</t>
  </si>
  <si>
    <t>Activite 2.2.6:</t>
  </si>
  <si>
    <t>Activite 2.2.7:</t>
  </si>
  <si>
    <t>Activite 2.2.8:</t>
  </si>
  <si>
    <t>Activite 2.2.9:</t>
  </si>
  <si>
    <t>Activite 2.2.10:</t>
  </si>
  <si>
    <t>Activite 2.1.4:</t>
  </si>
  <si>
    <t>Activite 2.1.5:</t>
  </si>
  <si>
    <t>Activite 2.1.6:</t>
  </si>
  <si>
    <t>Sous total</t>
  </si>
  <si>
    <t>Sous total activite</t>
  </si>
  <si>
    <t>Sous total autre cout</t>
  </si>
  <si>
    <t>Activite 1.1.4:</t>
  </si>
  <si>
    <t>Conception des outils pour la sensibilisation des femmes aux concepts de consolidation de la paix ( pagivolts)</t>
  </si>
  <si>
    <t>Mise en place des espaces citoyens (appui en materiel aux 2 existants)</t>
  </si>
  <si>
    <t xml:space="preserve">Identifier et harmoniser les mécanismes existants de prevention et gestion de conflit </t>
  </si>
  <si>
    <t>TOTAL $ pour Resultat 2:</t>
  </si>
  <si>
    <t>Elaboration des messages cles en Francais, Zarma, Peulh et Tamasheq</t>
  </si>
  <si>
    <t>70 Emissions publics pour sensibiliser la communaute</t>
  </si>
  <si>
    <t>Organisation de the/debat dans les Fada</t>
  </si>
  <si>
    <t>Analyse du phénomène/enquete formative ( focus groupe avec les differentes couches de la communaute)</t>
  </si>
  <si>
    <t xml:space="preserve">Elaboration d'une startegie pour les zones d'urgence </t>
  </si>
  <si>
    <t>Elaboration plan de mise en oeuvre par commune</t>
  </si>
  <si>
    <t>Activite 1.3.4:</t>
  </si>
  <si>
    <t>Activite 1.3.5:</t>
  </si>
  <si>
    <t>Activite 1.3.6:</t>
  </si>
  <si>
    <t>Activite 1.3.8</t>
  </si>
  <si>
    <t>Activite 1.3.9</t>
  </si>
  <si>
    <t>Activite 1.3.10</t>
  </si>
  <si>
    <t>Appui en materiels pour les radios communautaires et Fadas ( enregistreur, radios solaires, cles USB, megaphone..)</t>
  </si>
  <si>
    <t xml:space="preserve">Diffision de 150 messages au niveau des 7 radios communautaires </t>
  </si>
  <si>
    <t>Elaboration et production des outils de communication (pagivolts, banderole, panneaux, T-shirts..)</t>
  </si>
  <si>
    <t xml:space="preserve">Elaboration et vulgarisation d'une startegie de standardisation des mecanismes identifies </t>
  </si>
  <si>
    <t>Conduire une enquete ( dans chaque commune pour recenser les methodes traditionnelles de gestion et prevention de conflit)</t>
  </si>
  <si>
    <t>Production des messages dans les radios communautaires</t>
  </si>
  <si>
    <t>Activite 1.3.7:</t>
  </si>
  <si>
    <t>Activite 1.3.11</t>
  </si>
  <si>
    <t>Activite 1.1.5:</t>
  </si>
  <si>
    <t>Formation de 200 jeunes en CVE et culture de la paix dans les 7 communes</t>
  </si>
  <si>
    <t>Formation 200 jeunes en Vie associative et leadership</t>
  </si>
  <si>
    <t>Activite 1.1.6:</t>
  </si>
  <si>
    <t>Visibilite du Projet</t>
  </si>
  <si>
    <t>Organiser des formations thématiques pour 600 jeunes (filles et garçons) ages de 15-25ans  sur les violences basees sur le genre, deconstruction de la masculinite negative…</t>
  </si>
  <si>
    <t>Inscription de 500 jeunes dans les centres de formation aux métiers pendant 6 mois</t>
  </si>
  <si>
    <t>Allocation mensuelle pour 500 jeunes en formation pendant les 6 mois</t>
  </si>
  <si>
    <t>Suivi du déroulement de la formation des apprenants dans les 7 communes durant les 6 mois</t>
  </si>
  <si>
    <t>Placement de 500 jeunes en stage d’apprentissage en fin de formation pendant 3 mois</t>
  </si>
  <si>
    <t xml:space="preserve">Appui avec 100 kits de démarrage adapté à chaque metier aux groupements/associations( 5 jeunes par groupe de metier) </t>
  </si>
  <si>
    <t>500 jeunes reçoivent un appui en opportunité économique</t>
  </si>
  <si>
    <t>Identification des bénéficiaires et conduite des activités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</si>
  <si>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</si>
  <si>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</si>
  <si>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</si>
  <si>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Agence Recipiendiaire
UNICEF</t>
  </si>
  <si>
    <t>Tranche 2 (30%)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</si>
  <si>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</si>
  <si>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</si>
  <si>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</si>
  <si>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</si>
  <si>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</si>
  <si>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</si>
  <si>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</si>
  <si>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</si>
  <si>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</si>
  <si>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</t>
  </si>
  <si>
    <t xml:space="preserve">Resultat 2: 500  jeunes filles et garçons issus des zones à conflits ont les capacités de s auto prendre en charge économiquement </t>
  </si>
  <si>
    <t xml:space="preserve">Agence Recipiendiaire
UNHCR </t>
  </si>
  <si>
    <t>Agence Recipiendiaire 
UNFPA</t>
  </si>
  <si>
    <t>La sensibilisation de 1400 jeunes de 10-14ans  sera entreprise dans les espaces de dialogue citoyens, sur des thématiques clé tel que la détention illicite des armes, la culture de la paix, la citoyenneté et la CVE,</t>
  </si>
  <si>
    <t>Tranche 3 (35%)</t>
  </si>
  <si>
    <t>Tranche 1 (35%)</t>
  </si>
  <si>
    <t>(1.1.1)</t>
  </si>
  <si>
    <t>Activite 1.1.3: (1.1.2)</t>
  </si>
  <si>
    <t>Activite 1.1.2: (1.1.3)</t>
  </si>
  <si>
    <t>Activite 1.1.7:</t>
  </si>
  <si>
    <t>Activite 1.1.8:</t>
  </si>
  <si>
    <t>Sensibiliser 500 femmes agees de 25-35 ans aux concepts de consolidation de la paix, la prévention et la gestion pacifique des conflits, le rôle des femmes dans la consolidation de la paix à travers les radios communautaires</t>
  </si>
  <si>
    <t>Budget par agence recipiendiaire en USD - Veuillez ajouter une nouvelle colonne par agence recipiendiaire UNFPA
budget prodoc initial (décembre 2018)</t>
  </si>
  <si>
    <t>Budget initial</t>
  </si>
  <si>
    <t>variation</t>
  </si>
  <si>
    <t>nouveau total</t>
  </si>
  <si>
    <t>pourcentage</t>
  </si>
  <si>
    <t xml:space="preserve">Total </t>
  </si>
  <si>
    <t>Observation</t>
  </si>
  <si>
    <t>Budget Initial</t>
  </si>
  <si>
    <t>Variation</t>
  </si>
  <si>
    <t>Nouveau budget</t>
  </si>
  <si>
    <t>Pourcentage</t>
  </si>
  <si>
    <r>
      <rPr>
        <sz val="11"/>
        <color rgb="FFFF0000"/>
        <rFont val="Calibri"/>
        <family val="2"/>
        <scheme val="minor"/>
      </rPr>
      <t>UNICEF:</t>
    </r>
    <r>
      <rPr>
        <sz val="11"/>
        <color theme="1"/>
        <rFont val="Calibri"/>
        <family val="2"/>
        <scheme val="minor"/>
      </rPr>
      <t xml:space="preserve"> le cout des motos sera reverse dans les activites. </t>
    </r>
    <r>
      <rPr>
        <sz val="11"/>
        <color rgb="FFFF0000"/>
        <rFont val="Calibri"/>
        <family val="2"/>
        <scheme val="minor"/>
      </rPr>
      <t>UNFPA:</t>
    </r>
    <r>
      <rPr>
        <sz val="11"/>
        <color theme="1"/>
        <rFont val="Calibri"/>
        <family val="2"/>
        <scheme val="minor"/>
      </rPr>
      <t xml:space="preserve"> la démarche de mise en œuvre a été revue compte tenu de la situation securitaire. Les ONG ont été privilégiées</t>
    </r>
  </si>
  <si>
    <r>
      <rPr>
        <sz val="11"/>
        <color rgb="FFFF0000"/>
        <rFont val="Calibri"/>
        <family val="2"/>
        <scheme val="minor"/>
      </rPr>
      <t>UNFPA:</t>
    </r>
    <r>
      <rPr>
        <sz val="11"/>
        <color theme="1"/>
        <rFont val="Calibri"/>
        <family val="2"/>
        <scheme val="minor"/>
      </rPr>
      <t xml:space="preserve"> Le changement de démarche a engendré une augmentation.</t>
    </r>
  </si>
  <si>
    <r>
      <rPr>
        <sz val="11"/>
        <color rgb="FFFF0000"/>
        <rFont val="Calibri"/>
        <family val="2"/>
        <scheme val="minor"/>
      </rPr>
      <t>UNICEF:</t>
    </r>
    <r>
      <rPr>
        <sz val="11"/>
        <color theme="1"/>
        <rFont val="Calibri"/>
        <family val="2"/>
        <scheme val="minor"/>
      </rPr>
      <t xml:space="preserve"> l'achat des motos a ete supprimer vu que le recrutement des VNUs n'etait pas recommende pour les zones d'intervention. Par ailleurs l'utilisation des motos est aussi interdite dans certaines zones ( zone en etat d'urgence). </t>
    </r>
    <r>
      <rPr>
        <sz val="11"/>
        <color rgb="FFFF0000"/>
        <rFont val="Calibri"/>
        <family val="2"/>
        <scheme val="minor"/>
      </rPr>
      <t>UNFPA</t>
    </r>
    <r>
      <rPr>
        <sz val="11"/>
        <color theme="1"/>
        <rFont val="Calibri"/>
        <family val="2"/>
        <scheme val="minor"/>
      </rPr>
      <t>: les équipements ont été diminués pour renflouer les services contractuels</t>
    </r>
  </si>
  <si>
    <r>
      <rPr>
        <sz val="11"/>
        <color rgb="FFFF0000"/>
        <rFont val="Calibri"/>
        <family val="2"/>
        <scheme val="minor"/>
      </rPr>
      <t>UNFPA</t>
    </r>
    <r>
      <rPr>
        <sz val="11"/>
        <color theme="1"/>
        <rFont val="Calibri"/>
        <family val="2"/>
        <scheme val="minor"/>
      </rPr>
      <t>: Cette ligne a été utilisée pour renforcer les services contractuels suite à la revue de la stratégie</t>
    </r>
  </si>
  <si>
    <t>Budget par agence recipiendiaire en USD - Veuillez ajouter une nouvelle colonne par agence recipiendiaire UNICEF
budget prodoc initial (décembre 2018)</t>
  </si>
  <si>
    <t>Niveau de dépense/ engagement actuel en USD (à remplir au moment des rapports de projet)-UNICEF</t>
  </si>
  <si>
    <t>Niveau de dépense/ engagement actuel en USD (à remplir au moment des rapports de projet)-UNFPA</t>
  </si>
  <si>
    <t>Montant dépensé/ engagement actuel en USD (à remplir au moment des rapports de projet)-UNHCR</t>
  </si>
  <si>
    <t>Total</t>
  </si>
  <si>
    <t xml:space="preserve">Commentaire </t>
  </si>
  <si>
    <t xml:space="preserve">Reliquat correspondant à la prochaine tranche;
100% transferés au partenaires de mise en œuvre (correspond à la catégorie "Transfers and Grants to Counterparts" de l'UNICEF) </t>
  </si>
  <si>
    <t>Reliquat correspondant à la prochaine tranche  UNICEF</t>
  </si>
  <si>
    <t>Reliquat correspondant à la prochaine tranche UNICEF</t>
  </si>
  <si>
    <t>58% du budget initial dépensé soit 100% de la tranche  reçue par UNICEF. Les autres engagements sont entrain d'être honorés (42%)jusqu'au 31 décembre mais toutes les activités sont finies.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</si>
</sst>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-* #,##0_-;\-* #,##0_-;_-* &quot;-&quot;??_-;_-@_-"/>
    <numFmt numFmtId="168" formatCode="_([$$-409]* #,##0_);_([$$-409]* \(#,##0\);_([$$-409]* &quot;-&quot;??_);_(@_)"/>
  </numFmts>
  <fonts count="2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5"/>
      <name val="Times New Roman"/>
      <family val="1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</font>
    <font>
      <sz val="12"/>
      <color theme="1"/>
      <name val="Wingdings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0"/>
      <color rgb="FFFF0000"/>
      <name val="Calibri"/>
      <family val="2"/>
    </font>
    <font>
      <sz val="12"/>
      <name val="Times New Roman"/>
      <family val="1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6" borderId="0" applyNumberFormat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/>
    </xf>
    <xf numFmtId="166" fontId="1" fillId="0" borderId="1" xfId="1" applyNumberFormat="1" applyFont="1" applyBorder="1" applyAlignment="1">
      <alignment vertical="center" wrapText="1"/>
    </xf>
    <xf numFmtId="166" fontId="4" fillId="0" borderId="0" xfId="1" applyNumberFormat="1" applyFont="1"/>
    <xf numFmtId="166" fontId="0" fillId="0" borderId="0" xfId="1" applyNumberFormat="1" applyFont="1"/>
    <xf numFmtId="166" fontId="3" fillId="0" borderId="0" xfId="1" applyNumberFormat="1" applyFont="1"/>
    <xf numFmtId="166" fontId="1" fillId="0" borderId="1" xfId="1" applyNumberFormat="1" applyFont="1" applyBorder="1"/>
    <xf numFmtId="166" fontId="0" fillId="0" borderId="0" xfId="0" applyNumberFormat="1"/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166" fontId="1" fillId="0" borderId="1" xfId="1" applyNumberFormat="1" applyFont="1" applyFill="1" applyBorder="1" applyAlignment="1">
      <alignment vertical="center" wrapText="1"/>
    </xf>
    <xf numFmtId="0" fontId="11" fillId="0" borderId="0" xfId="0" applyFont="1"/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66" fontId="0" fillId="0" borderId="0" xfId="2" applyNumberFormat="1" applyFont="1"/>
    <xf numFmtId="164" fontId="0" fillId="0" borderId="0" xfId="0" applyNumberFormat="1"/>
    <xf numFmtId="0" fontId="15" fillId="3" borderId="2" xfId="0" applyFont="1" applyFill="1" applyBorder="1" applyAlignment="1">
      <alignment vertical="center" wrapText="1"/>
    </xf>
    <xf numFmtId="1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16" fillId="0" borderId="0" xfId="0" applyNumberFormat="1" applyFont="1"/>
    <xf numFmtId="43" fontId="0" fillId="0" borderId="0" xfId="0" applyNumberFormat="1"/>
    <xf numFmtId="167" fontId="0" fillId="0" borderId="0" xfId="0" applyNumberFormat="1"/>
    <xf numFmtId="168" fontId="14" fillId="6" borderId="3" xfId="0" applyNumberFormat="1" applyFont="1" applyFill="1" applyBorder="1" applyAlignment="1">
      <alignment horizontal="right" vertical="center" wrapText="1"/>
    </xf>
    <xf numFmtId="168" fontId="14" fillId="6" borderId="3" xfId="1" applyNumberFormat="1" applyFont="1" applyFill="1" applyBorder="1" applyAlignment="1">
      <alignment horizontal="right" vertical="center" wrapText="1"/>
    </xf>
    <xf numFmtId="168" fontId="14" fillId="5" borderId="1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14" fillId="6" borderId="7" xfId="1" applyNumberFormat="1" applyFont="1" applyFill="1" applyBorder="1" applyAlignment="1">
      <alignment horizontal="right" vertical="center" wrapText="1"/>
    </xf>
    <xf numFmtId="168" fontId="14" fillId="4" borderId="10" xfId="0" applyNumberFormat="1" applyFont="1" applyFill="1" applyBorder="1" applyAlignment="1">
      <alignment horizontal="right" vertical="center" wrapText="1"/>
    </xf>
    <xf numFmtId="9" fontId="0" fillId="0" borderId="0" xfId="0" applyNumberFormat="1"/>
    <xf numFmtId="0" fontId="12" fillId="2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0" fillId="0" borderId="0" xfId="1" applyFont="1"/>
    <xf numFmtId="0" fontId="12" fillId="2" borderId="3" xfId="0" applyFont="1" applyFill="1" applyBorder="1" applyAlignment="1">
      <alignment horizontal="center" vertical="center" wrapText="1"/>
    </xf>
    <xf numFmtId="166" fontId="4" fillId="8" borderId="0" xfId="1" applyNumberFormat="1" applyFont="1" applyFill="1"/>
    <xf numFmtId="166" fontId="3" fillId="8" borderId="0" xfId="1" applyNumberFormat="1" applyFont="1" applyFill="1"/>
    <xf numFmtId="166" fontId="0" fillId="8" borderId="0" xfId="1" applyNumberFormat="1" applyFont="1" applyFill="1"/>
    <xf numFmtId="166" fontId="1" fillId="8" borderId="1" xfId="1" applyNumberFormat="1" applyFont="1" applyFill="1" applyBorder="1" applyAlignment="1">
      <alignment vertical="center" wrapText="1"/>
    </xf>
    <xf numFmtId="166" fontId="1" fillId="8" borderId="1" xfId="1" applyNumberFormat="1" applyFont="1" applyFill="1" applyBorder="1"/>
    <xf numFmtId="166" fontId="2" fillId="8" borderId="1" xfId="1" applyNumberFormat="1" applyFont="1" applyFill="1" applyBorder="1" applyAlignment="1">
      <alignment vertical="center" wrapText="1"/>
    </xf>
    <xf numFmtId="164" fontId="1" fillId="8" borderId="1" xfId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6" fontId="9" fillId="8" borderId="1" xfId="1" applyNumberFormat="1" applyFont="1" applyFill="1" applyBorder="1" applyAlignment="1">
      <alignment vertical="center" wrapText="1"/>
    </xf>
    <xf numFmtId="166" fontId="9" fillId="8" borderId="1" xfId="1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center"/>
    </xf>
    <xf numFmtId="0" fontId="0" fillId="8" borderId="1" xfId="0" applyFont="1" applyFill="1" applyBorder="1" applyAlignment="1">
      <alignment horizontal="justify" vertical="center"/>
    </xf>
    <xf numFmtId="166" fontId="17" fillId="8" borderId="1" xfId="1" applyNumberFormat="1" applyFont="1" applyFill="1" applyBorder="1" applyAlignment="1">
      <alignment vertical="center" wrapText="1"/>
    </xf>
    <xf numFmtId="1" fontId="13" fillId="0" borderId="3" xfId="0" applyNumberFormat="1" applyFont="1" applyBorder="1" applyAlignment="1">
      <alignment vertical="center" wrapText="1"/>
    </xf>
    <xf numFmtId="1" fontId="15" fillId="3" borderId="3" xfId="0" applyNumberFormat="1" applyFont="1" applyFill="1" applyBorder="1" applyAlignment="1">
      <alignment vertical="center" wrapText="1"/>
    </xf>
    <xf numFmtId="166" fontId="18" fillId="8" borderId="1" xfId="1" applyNumberFormat="1" applyFont="1" applyFill="1" applyBorder="1" applyAlignment="1">
      <alignment vertical="center" wrapText="1"/>
    </xf>
    <xf numFmtId="166" fontId="19" fillId="8" borderId="1" xfId="1" applyNumberFormat="1" applyFont="1" applyFill="1" applyBorder="1" applyAlignment="1">
      <alignment horizontal="left" vertical="center" wrapText="1"/>
    </xf>
    <xf numFmtId="168" fontId="20" fillId="7" borderId="3" xfId="0" applyNumberFormat="1" applyFont="1" applyFill="1" applyBorder="1" applyAlignment="1">
      <alignment horizontal="right" vertical="center" wrapText="1"/>
    </xf>
    <xf numFmtId="168" fontId="21" fillId="7" borderId="3" xfId="0" applyNumberFormat="1" applyFont="1" applyFill="1" applyBorder="1" applyAlignment="1">
      <alignment horizontal="right" vertical="center" wrapText="1"/>
    </xf>
    <xf numFmtId="168" fontId="14" fillId="7" borderId="3" xfId="0" applyNumberFormat="1" applyFont="1" applyFill="1" applyBorder="1" applyAlignment="1">
      <alignment horizontal="right" vertical="center" wrapText="1"/>
    </xf>
    <xf numFmtId="168" fontId="14" fillId="7" borderId="3" xfId="1" applyNumberFormat="1" applyFont="1" applyFill="1" applyBorder="1" applyAlignment="1">
      <alignment horizontal="right" vertical="center" wrapText="1"/>
    </xf>
    <xf numFmtId="168" fontId="14" fillId="7" borderId="7" xfId="1" applyNumberFormat="1" applyFont="1" applyFill="1" applyBorder="1" applyAlignment="1">
      <alignment horizontal="right" vertical="center" wrapText="1"/>
    </xf>
    <xf numFmtId="168" fontId="14" fillId="8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168" fontId="14" fillId="5" borderId="1" xfId="0" applyNumberFormat="1" applyFont="1" applyFill="1" applyBorder="1" applyAlignment="1">
      <alignment horizontal="right" vertical="center" wrapText="1"/>
    </xf>
    <xf numFmtId="168" fontId="21" fillId="5" borderId="1" xfId="0" applyNumberFormat="1" applyFont="1" applyFill="1" applyBorder="1" applyAlignment="1">
      <alignment horizontal="right" vertical="center" wrapText="1"/>
    </xf>
    <xf numFmtId="9" fontId="14" fillId="5" borderId="1" xfId="3" applyFont="1" applyFill="1" applyBorder="1" applyAlignment="1">
      <alignment horizontal="right" vertical="center" wrapText="1"/>
    </xf>
    <xf numFmtId="9" fontId="21" fillId="5" borderId="1" xfId="3" applyFont="1" applyFill="1" applyBorder="1" applyAlignment="1">
      <alignment horizontal="righ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8" fontId="14" fillId="0" borderId="1" xfId="0" applyNumberFormat="1" applyFont="1" applyBorder="1" applyAlignment="1">
      <alignment horizontal="right" vertical="center" wrapText="1"/>
    </xf>
    <xf numFmtId="0" fontId="0" fillId="12" borderId="1" xfId="0" applyFill="1" applyBorder="1" applyAlignment="1">
      <alignment wrapText="1"/>
    </xf>
    <xf numFmtId="168" fontId="14" fillId="0" borderId="0" xfId="1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168" fontId="14" fillId="4" borderId="0" xfId="0" applyNumberFormat="1" applyFont="1" applyFill="1" applyBorder="1" applyAlignment="1">
      <alignment horizontal="right" vertical="center" wrapText="1"/>
    </xf>
    <xf numFmtId="168" fontId="14" fillId="6" borderId="7" xfId="0" applyNumberFormat="1" applyFont="1" applyFill="1" applyBorder="1" applyAlignment="1">
      <alignment horizontal="right" vertical="center" wrapText="1"/>
    </xf>
    <xf numFmtId="168" fontId="14" fillId="7" borderId="7" xfId="0" applyNumberFormat="1" applyFont="1" applyFill="1" applyBorder="1" applyAlignment="1">
      <alignment horizontal="right" vertical="center" wrapText="1"/>
    </xf>
    <xf numFmtId="168" fontId="14" fillId="7" borderId="0" xfId="0" applyNumberFormat="1" applyFont="1" applyFill="1" applyBorder="1" applyAlignment="1">
      <alignment horizontal="right" vertical="center" wrapText="1"/>
    </xf>
    <xf numFmtId="0" fontId="21" fillId="5" borderId="1" xfId="0" applyNumberFormat="1" applyFont="1" applyFill="1" applyBorder="1" applyAlignment="1">
      <alignment horizontal="right" vertical="center" wrapText="1"/>
    </xf>
    <xf numFmtId="0" fontId="21" fillId="7" borderId="3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top" wrapText="1"/>
    </xf>
    <xf numFmtId="9" fontId="20" fillId="7" borderId="6" xfId="3" applyFont="1" applyFill="1" applyBorder="1" applyAlignment="1">
      <alignment horizontal="right" vertical="center" wrapText="1"/>
    </xf>
    <xf numFmtId="166" fontId="1" fillId="4" borderId="1" xfId="1" applyNumberFormat="1" applyFont="1" applyFill="1" applyBorder="1" applyAlignment="1">
      <alignment vertical="center" wrapText="1"/>
    </xf>
    <xf numFmtId="166" fontId="22" fillId="13" borderId="1" xfId="1" applyNumberFormat="1" applyFont="1" applyFill="1" applyBorder="1" applyAlignment="1">
      <alignment vertical="center" wrapText="1"/>
    </xf>
    <xf numFmtId="166" fontId="17" fillId="13" borderId="1" xfId="1" applyNumberFormat="1" applyFont="1" applyFill="1" applyBorder="1" applyAlignment="1">
      <alignment vertical="center" wrapText="1"/>
    </xf>
    <xf numFmtId="168" fontId="14" fillId="14" borderId="1" xfId="0" applyNumberFormat="1" applyFont="1" applyFill="1" applyBorder="1" applyAlignment="1">
      <alignment horizontal="right" vertical="center" wrapText="1"/>
    </xf>
    <xf numFmtId="9" fontId="14" fillId="0" borderId="1" xfId="0" applyNumberFormat="1" applyFont="1" applyBorder="1" applyAlignment="1">
      <alignment horizontal="right" vertical="center" wrapText="1"/>
    </xf>
    <xf numFmtId="168" fontId="14" fillId="12" borderId="7" xfId="1" applyNumberFormat="1" applyFont="1" applyFill="1" applyBorder="1" applyAlignment="1">
      <alignment horizontal="right" vertical="center" wrapText="1"/>
    </xf>
    <xf numFmtId="166" fontId="1" fillId="8" borderId="11" xfId="1" applyNumberFormat="1" applyFont="1" applyFill="1" applyBorder="1"/>
    <xf numFmtId="166" fontId="17" fillId="8" borderId="11" xfId="1" applyNumberFormat="1" applyFont="1" applyFill="1" applyBorder="1" applyAlignment="1">
      <alignment vertical="center" wrapText="1"/>
    </xf>
    <xf numFmtId="166" fontId="1" fillId="8" borderId="11" xfId="1" applyNumberFormat="1" applyFont="1" applyFill="1" applyBorder="1" applyAlignment="1">
      <alignment vertical="center" wrapText="1"/>
    </xf>
    <xf numFmtId="166" fontId="18" fillId="8" borderId="11" xfId="1" applyNumberFormat="1" applyFont="1" applyFill="1" applyBorder="1" applyAlignment="1">
      <alignment vertical="center" wrapText="1"/>
    </xf>
    <xf numFmtId="166" fontId="2" fillId="8" borderId="11" xfId="1" applyNumberFormat="1" applyFont="1" applyFill="1" applyBorder="1" applyAlignment="1">
      <alignment vertical="center" wrapText="1"/>
    </xf>
    <xf numFmtId="166" fontId="9" fillId="8" borderId="11" xfId="1" applyNumberFormat="1" applyFont="1" applyFill="1" applyBorder="1" applyAlignment="1">
      <alignment vertical="center" wrapText="1"/>
    </xf>
    <xf numFmtId="166" fontId="9" fillId="8" borderId="11" xfId="1" applyNumberFormat="1" applyFont="1" applyFill="1" applyBorder="1" applyAlignment="1">
      <alignment horizontal="center" vertical="center" wrapText="1"/>
    </xf>
    <xf numFmtId="166" fontId="19" fillId="8" borderId="11" xfId="1" applyNumberFormat="1" applyFont="1" applyFill="1" applyBorder="1" applyAlignment="1">
      <alignment horizontal="left" vertical="center" wrapText="1"/>
    </xf>
    <xf numFmtId="166" fontId="1" fillId="5" borderId="1" xfId="1" applyNumberFormat="1" applyFont="1" applyFill="1" applyBorder="1" applyAlignment="1">
      <alignment vertical="center" wrapText="1"/>
    </xf>
    <xf numFmtId="164" fontId="1" fillId="5" borderId="1" xfId="1" applyFont="1" applyFill="1" applyBorder="1" applyAlignment="1">
      <alignment vertical="center" wrapText="1"/>
    </xf>
    <xf numFmtId="164" fontId="22" fillId="5" borderId="17" xfId="1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166" fontId="1" fillId="0" borderId="12" xfId="1" applyNumberFormat="1" applyFont="1" applyBorder="1" applyAlignment="1">
      <alignment vertical="center" wrapText="1"/>
    </xf>
    <xf numFmtId="164" fontId="1" fillId="8" borderId="12" xfId="1" applyFont="1" applyFill="1" applyBorder="1" applyAlignment="1">
      <alignment vertical="center" wrapText="1"/>
    </xf>
    <xf numFmtId="166" fontId="2" fillId="8" borderId="11" xfId="0" applyNumberFormat="1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6" fontId="1" fillId="0" borderId="12" xfId="1" applyNumberFormat="1" applyFont="1" applyFill="1" applyBorder="1" applyAlignment="1">
      <alignment vertical="center" wrapText="1"/>
    </xf>
    <xf numFmtId="166" fontId="1" fillId="8" borderId="12" xfId="1" applyNumberFormat="1" applyFont="1" applyFill="1" applyBorder="1" applyAlignment="1">
      <alignment vertical="center" wrapText="1"/>
    </xf>
    <xf numFmtId="166" fontId="18" fillId="4" borderId="1" xfId="1" applyNumberFormat="1" applyFont="1" applyFill="1" applyBorder="1" applyAlignment="1">
      <alignment horizontal="left" vertical="center" wrapText="1"/>
    </xf>
    <xf numFmtId="166" fontId="18" fillId="17" borderId="1" xfId="1" applyNumberFormat="1" applyFont="1" applyFill="1" applyBorder="1" applyAlignment="1">
      <alignment horizontal="left" vertical="center" wrapText="1"/>
    </xf>
    <xf numFmtId="166" fontId="18" fillId="5" borderId="11" xfId="1" applyNumberFormat="1" applyFont="1" applyFill="1" applyBorder="1" applyAlignment="1">
      <alignment horizontal="left" vertical="center" wrapText="1"/>
    </xf>
    <xf numFmtId="164" fontId="22" fillId="5" borderId="18" xfId="1" applyFont="1" applyFill="1" applyBorder="1" applyAlignment="1">
      <alignment vertical="center" wrapText="1"/>
    </xf>
    <xf numFmtId="164" fontId="1" fillId="15" borderId="11" xfId="1" applyFont="1" applyFill="1" applyBorder="1" applyAlignment="1">
      <alignment vertical="center" wrapText="1"/>
    </xf>
    <xf numFmtId="164" fontId="1" fillId="5" borderId="11" xfId="1" applyFont="1" applyFill="1" applyBorder="1" applyAlignment="1">
      <alignment vertical="center" wrapText="1"/>
    </xf>
    <xf numFmtId="166" fontId="1" fillId="5" borderId="11" xfId="1" applyNumberFormat="1" applyFont="1" applyFill="1" applyBorder="1" applyAlignment="1">
      <alignment vertical="center" wrapText="1"/>
    </xf>
    <xf numFmtId="164" fontId="0" fillId="5" borderId="11" xfId="1" applyFont="1" applyFill="1" applyBorder="1"/>
    <xf numFmtId="166" fontId="0" fillId="0" borderId="1" xfId="0" applyNumberFormat="1" applyBorder="1"/>
    <xf numFmtId="0" fontId="0" fillId="6" borderId="0" xfId="0" applyFill="1"/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164" fontId="8" fillId="16" borderId="1" xfId="4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168" fontId="12" fillId="6" borderId="1" xfId="0" applyNumberFormat="1" applyFont="1" applyFill="1" applyBorder="1" applyAlignment="1">
      <alignment horizontal="center" vertical="center" wrapText="1"/>
    </xf>
  </cellXfs>
  <cellStyles count="5">
    <cellStyle name="60 % - Accent5" xfId="4" builtinId="48"/>
    <cellStyle name="Milliers" xfId="2" builtinId="3"/>
    <cellStyle name="Monétaire" xfId="1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an-claude Cigwerhe" id="{F362C496-05F4-41A4-AEDC-2BFA9D315735}" userId="S::jean-claude.cigwerhe@undp.org::f0fdb65e-a7fc-4cdd-b8a3-8ea04dade56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8" dT="2020-05-26T22:13:17.51" personId="{F362C496-05F4-41A4-AEDC-2BFA9D315735}" id="{FDFF7CAB-991C-42C2-8BEA-63F22736C325}">
    <text>Il faut expliquer le motif de ce changement de budget. la ligne de 78 000 vous la mettez à 3 000. où va le reste 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view="pageBreakPreview" topLeftCell="B7" zoomScaleNormal="100" zoomScaleSheetLayoutView="100" workbookViewId="0">
      <pane ySplit="1" topLeftCell="A82" activePane="bottomLeft" state="frozen"/>
      <selection activeCell="A7" sqref="A7"/>
      <selection pane="bottomLeft" activeCell="I7" sqref="I7"/>
    </sheetView>
  </sheetViews>
  <sheetFormatPr baseColWidth="10" defaultColWidth="9.140625" defaultRowHeight="15"/>
  <cols>
    <col min="1" max="1" width="19.140625" customWidth="1"/>
    <col min="2" max="2" width="30.85546875" customWidth="1"/>
    <col min="3" max="4" width="18.140625" style="9" customWidth="1"/>
    <col min="5" max="8" width="20.42578125" style="48" customWidth="1"/>
    <col min="9" max="9" width="42.42578125" style="83" customWidth="1"/>
    <col min="10" max="10" width="34.140625" customWidth="1"/>
  </cols>
  <sheetData>
    <row r="1" spans="1:11" ht="21.75" hidden="1" thickBot="1">
      <c r="A1" s="3" t="s">
        <v>1</v>
      </c>
      <c r="B1" s="2"/>
      <c r="C1" s="8"/>
      <c r="D1" s="8"/>
      <c r="E1" s="46"/>
      <c r="F1" s="46"/>
      <c r="G1" s="46"/>
      <c r="H1" s="46"/>
    </row>
    <row r="2" spans="1:11" ht="16.5" hidden="1" thickBot="1">
      <c r="A2" s="1"/>
      <c r="B2" s="1"/>
      <c r="C2" s="10"/>
      <c r="D2" s="10"/>
      <c r="E2" s="47"/>
      <c r="F2" s="47"/>
      <c r="G2" s="47"/>
      <c r="H2" s="47"/>
    </row>
    <row r="3" spans="1:11" ht="16.5" hidden="1" thickBot="1">
      <c r="A3" s="1" t="s">
        <v>2</v>
      </c>
      <c r="B3" s="1"/>
      <c r="C3" s="10"/>
      <c r="D3" s="10"/>
      <c r="E3" s="47"/>
      <c r="F3" s="47"/>
      <c r="G3" s="47"/>
      <c r="H3" s="47"/>
    </row>
    <row r="4" spans="1:11" ht="15.75" hidden="1" thickBot="1"/>
    <row r="5" spans="1:11" ht="16.5" hidden="1" thickBot="1">
      <c r="A5" s="1" t="s">
        <v>3</v>
      </c>
    </row>
    <row r="6" spans="1:11" ht="15.75" hidden="1" thickBot="1"/>
    <row r="7" spans="1:11" ht="166.5" customHeight="1">
      <c r="A7" s="4" t="s">
        <v>4</v>
      </c>
      <c r="B7" s="4" t="s">
        <v>5</v>
      </c>
      <c r="C7" s="97" t="s">
        <v>55</v>
      </c>
      <c r="D7" s="97" t="s">
        <v>161</v>
      </c>
      <c r="E7" s="98" t="s">
        <v>143</v>
      </c>
      <c r="F7" s="99" t="s">
        <v>160</v>
      </c>
      <c r="G7" s="113" t="s">
        <v>158</v>
      </c>
      <c r="H7" s="125" t="s">
        <v>159</v>
      </c>
      <c r="I7" s="135" t="s">
        <v>163</v>
      </c>
      <c r="K7" s="131"/>
    </row>
    <row r="8" spans="1:11" ht="48.75" customHeight="1">
      <c r="A8" s="141" t="s">
        <v>50</v>
      </c>
      <c r="B8" s="142"/>
      <c r="C8" s="142"/>
      <c r="D8" s="142"/>
      <c r="E8" s="142"/>
      <c r="F8" s="142"/>
      <c r="G8" s="142"/>
      <c r="H8" s="142"/>
    </row>
    <row r="9" spans="1:11" ht="15.75">
      <c r="A9" s="5" t="s">
        <v>7</v>
      </c>
      <c r="B9" s="13" t="s">
        <v>51</v>
      </c>
      <c r="C9" s="11"/>
      <c r="D9" s="11"/>
      <c r="E9" s="50"/>
      <c r="F9" s="50"/>
      <c r="G9" s="103"/>
      <c r="H9" s="103"/>
    </row>
    <row r="10" spans="1:11" ht="140.25" customHeight="1">
      <c r="A10" s="4" t="s">
        <v>13</v>
      </c>
      <c r="B10" s="56" t="s">
        <v>64</v>
      </c>
      <c r="C10" s="7">
        <v>0</v>
      </c>
      <c r="D10" s="7"/>
      <c r="E10" s="98">
        <v>45000</v>
      </c>
      <c r="F10" s="58">
        <v>66000</v>
      </c>
      <c r="G10" s="104"/>
      <c r="H10" s="104"/>
    </row>
    <row r="11" spans="1:11" ht="105">
      <c r="A11" s="4" t="s">
        <v>139</v>
      </c>
      <c r="B11" s="57" t="s">
        <v>134</v>
      </c>
      <c r="C11" s="7">
        <v>0</v>
      </c>
      <c r="D11" s="7"/>
      <c r="E11" s="98">
        <v>95000</v>
      </c>
      <c r="F11" s="58">
        <v>85000</v>
      </c>
      <c r="G11" s="104"/>
      <c r="H11" s="104"/>
    </row>
    <row r="12" spans="1:11" ht="46.5" customHeight="1">
      <c r="A12" s="4" t="s">
        <v>138</v>
      </c>
      <c r="B12" s="57" t="s">
        <v>80</v>
      </c>
      <c r="C12" s="7"/>
      <c r="D12" s="7"/>
      <c r="E12" s="98">
        <v>65000</v>
      </c>
      <c r="F12" s="58">
        <v>30000</v>
      </c>
      <c r="G12" s="104"/>
      <c r="H12" s="104"/>
    </row>
    <row r="13" spans="1:11" ht="116.25" customHeight="1">
      <c r="A13" s="4" t="s">
        <v>78</v>
      </c>
      <c r="B13" s="57" t="s">
        <v>108</v>
      </c>
      <c r="C13" s="7">
        <v>0</v>
      </c>
      <c r="D13" s="7"/>
      <c r="E13" s="98">
        <v>119174</v>
      </c>
      <c r="F13" s="58">
        <v>220000</v>
      </c>
      <c r="G13" s="104"/>
      <c r="H13" s="104"/>
      <c r="I13" s="130"/>
    </row>
    <row r="14" spans="1:11" ht="66.75" customHeight="1">
      <c r="A14" s="4" t="s">
        <v>103</v>
      </c>
      <c r="B14" s="57" t="s">
        <v>104</v>
      </c>
      <c r="C14" s="7"/>
      <c r="D14" s="7"/>
      <c r="E14" s="98"/>
      <c r="F14" s="49"/>
      <c r="G14" s="111">
        <v>40773</v>
      </c>
      <c r="H14" s="126">
        <v>40773</v>
      </c>
      <c r="I14" s="130"/>
    </row>
    <row r="15" spans="1:11" ht="41.25" customHeight="1">
      <c r="A15" s="4" t="s">
        <v>106</v>
      </c>
      <c r="B15" s="57" t="s">
        <v>105</v>
      </c>
      <c r="C15" s="7"/>
      <c r="D15" s="7"/>
      <c r="E15" s="98"/>
      <c r="F15" s="49"/>
      <c r="G15" s="111">
        <v>29883</v>
      </c>
      <c r="H15" s="126">
        <v>29883</v>
      </c>
      <c r="I15" s="130"/>
    </row>
    <row r="16" spans="1:11" ht="72" customHeight="1">
      <c r="A16" s="4" t="s">
        <v>137</v>
      </c>
      <c r="B16" s="57" t="s">
        <v>79</v>
      </c>
      <c r="C16" s="7">
        <v>0</v>
      </c>
      <c r="D16" s="7"/>
      <c r="E16" s="98">
        <v>15000</v>
      </c>
      <c r="F16" s="49"/>
      <c r="G16" s="111">
        <v>0</v>
      </c>
      <c r="H16" s="127">
        <v>0</v>
      </c>
    </row>
    <row r="17" spans="1:8" ht="146.25" customHeight="1">
      <c r="A17" s="4" t="s">
        <v>103</v>
      </c>
      <c r="B17" s="57" t="s">
        <v>142</v>
      </c>
      <c r="C17" s="7">
        <v>0</v>
      </c>
      <c r="D17" s="7"/>
      <c r="E17" s="98">
        <v>75000</v>
      </c>
      <c r="F17" s="58">
        <v>35000</v>
      </c>
      <c r="G17" s="111">
        <v>0</v>
      </c>
      <c r="H17" s="127">
        <v>0</v>
      </c>
    </row>
    <row r="18" spans="1:8" ht="153.75" customHeight="1">
      <c r="A18" s="4" t="s">
        <v>140</v>
      </c>
      <c r="B18" s="57" t="s">
        <v>54</v>
      </c>
      <c r="C18" s="7">
        <v>0</v>
      </c>
      <c r="D18" s="7"/>
      <c r="E18" s="98">
        <v>78000</v>
      </c>
      <c r="F18" s="58">
        <v>87000</v>
      </c>
      <c r="G18" s="111">
        <v>0</v>
      </c>
      <c r="H18" s="127">
        <v>0</v>
      </c>
    </row>
    <row r="19" spans="1:8" ht="90">
      <c r="A19" s="4" t="s">
        <v>106</v>
      </c>
      <c r="B19" s="57" t="s">
        <v>53</v>
      </c>
      <c r="C19" s="7">
        <v>0</v>
      </c>
      <c r="D19" s="7"/>
      <c r="E19" s="98">
        <v>75000</v>
      </c>
      <c r="F19" s="58">
        <v>70834</v>
      </c>
      <c r="G19" s="111">
        <v>0</v>
      </c>
      <c r="H19" s="127">
        <v>0</v>
      </c>
    </row>
    <row r="20" spans="1:8" ht="90">
      <c r="A20" s="4" t="s">
        <v>141</v>
      </c>
      <c r="B20" s="57" t="s">
        <v>52</v>
      </c>
      <c r="C20" s="7">
        <v>0</v>
      </c>
      <c r="D20" s="7"/>
      <c r="E20" s="98">
        <v>80000</v>
      </c>
      <c r="F20" s="58">
        <v>100000</v>
      </c>
      <c r="G20" s="111">
        <v>0</v>
      </c>
      <c r="H20" s="127">
        <v>0</v>
      </c>
    </row>
    <row r="21" spans="1:8" ht="20.25" customHeight="1">
      <c r="A21" s="4" t="s">
        <v>130</v>
      </c>
      <c r="B21" s="57"/>
      <c r="C21" s="7"/>
      <c r="D21" s="7"/>
      <c r="E21" s="98">
        <f>E10+E11+E12+E13+E16+E17+E18+E19+E20</f>
        <v>647174</v>
      </c>
      <c r="F21" s="61">
        <f>SUM(F10:F20)</f>
        <v>693834</v>
      </c>
      <c r="G21" s="106">
        <f>SUM(G14:G20)</f>
        <v>70656</v>
      </c>
      <c r="H21" s="106">
        <f>SUM(H14:H20)</f>
        <v>70656</v>
      </c>
    </row>
    <row r="22" spans="1:8" ht="47.25" customHeight="1">
      <c r="A22" s="5" t="s">
        <v>8</v>
      </c>
      <c r="B22" s="143" t="s">
        <v>56</v>
      </c>
      <c r="C22" s="144"/>
      <c r="D22" s="144"/>
      <c r="E22" s="144"/>
      <c r="F22" s="144"/>
      <c r="G22" s="144"/>
      <c r="H22" s="144"/>
    </row>
    <row r="23" spans="1:8" ht="45" customHeight="1">
      <c r="A23" s="4" t="s">
        <v>14</v>
      </c>
      <c r="B23" s="6" t="s">
        <v>81</v>
      </c>
      <c r="C23" s="7">
        <v>0</v>
      </c>
      <c r="D23" s="7"/>
      <c r="E23" s="52">
        <v>0</v>
      </c>
      <c r="F23" s="52"/>
      <c r="G23" s="111">
        <v>45000</v>
      </c>
      <c r="H23" s="127">
        <v>43512.86</v>
      </c>
    </row>
    <row r="24" spans="1:8" ht="45" customHeight="1">
      <c r="A24" s="4" t="s">
        <v>14</v>
      </c>
      <c r="B24" s="6" t="s">
        <v>98</v>
      </c>
      <c r="C24" s="7">
        <v>0</v>
      </c>
      <c r="D24" s="7"/>
      <c r="E24" s="52">
        <v>0</v>
      </c>
      <c r="F24" s="52"/>
      <c r="G24" s="111">
        <v>55000</v>
      </c>
      <c r="H24" s="127">
        <v>29842.799999999999</v>
      </c>
    </row>
    <row r="25" spans="1:8" ht="45">
      <c r="A25" s="4" t="s">
        <v>15</v>
      </c>
      <c r="B25" s="6" t="s">
        <v>58</v>
      </c>
      <c r="C25" s="7">
        <v>0</v>
      </c>
      <c r="D25" s="7"/>
      <c r="E25" s="52">
        <v>0</v>
      </c>
      <c r="F25" s="52"/>
      <c r="G25" s="111">
        <v>45000</v>
      </c>
      <c r="H25" s="127">
        <v>37296.26</v>
      </c>
    </row>
    <row r="26" spans="1:8" ht="60">
      <c r="A26" s="4" t="s">
        <v>15</v>
      </c>
      <c r="B26" s="6" t="s">
        <v>99</v>
      </c>
      <c r="C26" s="7">
        <v>0</v>
      </c>
      <c r="D26" s="7"/>
      <c r="E26" s="52">
        <v>0</v>
      </c>
      <c r="F26" s="52"/>
      <c r="G26" s="111">
        <v>48000</v>
      </c>
      <c r="H26" s="127">
        <v>28383.5</v>
      </c>
    </row>
    <row r="27" spans="1:8" ht="75">
      <c r="A27" s="4" t="s">
        <v>16</v>
      </c>
      <c r="B27" s="6" t="s">
        <v>59</v>
      </c>
      <c r="C27" s="7">
        <v>0</v>
      </c>
      <c r="D27" s="7"/>
      <c r="E27" s="52">
        <v>0</v>
      </c>
      <c r="F27" s="52"/>
      <c r="G27" s="111">
        <v>20000</v>
      </c>
      <c r="H27" s="127">
        <v>0</v>
      </c>
    </row>
    <row r="28" spans="1:8" ht="63">
      <c r="A28" s="4" t="s">
        <v>60</v>
      </c>
      <c r="B28" s="13" t="s">
        <v>57</v>
      </c>
      <c r="C28" s="7">
        <v>0</v>
      </c>
      <c r="D28" s="7"/>
      <c r="E28" s="52">
        <v>0</v>
      </c>
      <c r="F28" s="52"/>
      <c r="G28" s="111">
        <v>34000</v>
      </c>
      <c r="H28" s="127">
        <v>21758.25</v>
      </c>
    </row>
    <row r="29" spans="1:8" ht="15.75">
      <c r="A29" s="4" t="s">
        <v>162</v>
      </c>
      <c r="B29" s="114"/>
      <c r="C29" s="115"/>
      <c r="D29" s="115"/>
      <c r="E29" s="116"/>
      <c r="F29" s="116"/>
      <c r="G29" s="111">
        <f>SUM(G23:G28)</f>
        <v>247000</v>
      </c>
      <c r="H29" s="128">
        <f>SUM(H23:H28)</f>
        <v>160793.67000000001</v>
      </c>
    </row>
    <row r="30" spans="1:8" ht="45" customHeight="1">
      <c r="A30" s="5" t="s">
        <v>9</v>
      </c>
      <c r="B30" s="145" t="s">
        <v>61</v>
      </c>
      <c r="C30" s="146"/>
      <c r="D30" s="146"/>
      <c r="E30" s="146"/>
      <c r="F30" s="146"/>
      <c r="G30" s="146"/>
      <c r="H30" s="146"/>
    </row>
    <row r="31" spans="1:8" ht="63">
      <c r="A31" s="4" t="s">
        <v>17</v>
      </c>
      <c r="B31" s="4" t="s">
        <v>86</v>
      </c>
      <c r="C31" s="7">
        <v>0</v>
      </c>
      <c r="D31" s="7"/>
      <c r="E31" s="49">
        <v>0</v>
      </c>
      <c r="F31" s="49"/>
      <c r="G31" s="111">
        <v>70000</v>
      </c>
      <c r="H31" s="127">
        <v>60783.839999999997</v>
      </c>
    </row>
    <row r="32" spans="1:8" ht="31.5">
      <c r="A32" s="4" t="s">
        <v>18</v>
      </c>
      <c r="B32" s="4" t="s">
        <v>87</v>
      </c>
      <c r="C32" s="7"/>
      <c r="D32" s="7"/>
      <c r="E32" s="49">
        <v>0</v>
      </c>
      <c r="F32" s="49"/>
      <c r="G32" s="111">
        <v>25000</v>
      </c>
      <c r="H32" s="127">
        <f>4445.99+20137.58</f>
        <v>24583.57</v>
      </c>
    </row>
    <row r="33" spans="1:8" ht="31.5">
      <c r="A33" s="4" t="s">
        <v>19</v>
      </c>
      <c r="B33" s="4" t="s">
        <v>88</v>
      </c>
      <c r="C33" s="7">
        <v>0</v>
      </c>
      <c r="D33" s="7"/>
      <c r="E33" s="49">
        <v>0</v>
      </c>
      <c r="F33" s="49"/>
      <c r="G33" s="111">
        <v>14000</v>
      </c>
      <c r="H33" s="127">
        <v>9515.6299999999992</v>
      </c>
    </row>
    <row r="34" spans="1:8" ht="63">
      <c r="A34" s="4" t="s">
        <v>89</v>
      </c>
      <c r="B34" s="4" t="s">
        <v>97</v>
      </c>
      <c r="C34" s="7">
        <v>0</v>
      </c>
      <c r="D34" s="7"/>
      <c r="E34" s="49">
        <v>0</v>
      </c>
      <c r="F34" s="49"/>
      <c r="G34" s="111">
        <v>45000</v>
      </c>
      <c r="H34" s="127">
        <v>21779.56</v>
      </c>
    </row>
    <row r="35" spans="1:8" ht="47.25">
      <c r="A35" s="4" t="s">
        <v>90</v>
      </c>
      <c r="B35" s="4" t="s">
        <v>83</v>
      </c>
      <c r="C35" s="7">
        <v>0</v>
      </c>
      <c r="D35" s="7"/>
      <c r="E35" s="49">
        <v>0</v>
      </c>
      <c r="F35" s="49"/>
      <c r="G35" s="111">
        <v>25000</v>
      </c>
      <c r="H35" s="127">
        <f>8829.54+2804.92</f>
        <v>11634.460000000001</v>
      </c>
    </row>
    <row r="36" spans="1:8" ht="87" customHeight="1">
      <c r="A36" s="4" t="s">
        <v>91</v>
      </c>
      <c r="B36" s="4" t="s">
        <v>63</v>
      </c>
      <c r="C36" s="7">
        <v>0</v>
      </c>
      <c r="D36" s="7"/>
      <c r="E36" s="49">
        <v>0</v>
      </c>
      <c r="F36" s="49"/>
      <c r="G36" s="111">
        <v>20000</v>
      </c>
      <c r="H36" s="127">
        <v>20000</v>
      </c>
    </row>
    <row r="37" spans="1:8" ht="49.5" customHeight="1">
      <c r="A37" s="4" t="s">
        <v>101</v>
      </c>
      <c r="B37" s="4" t="s">
        <v>100</v>
      </c>
      <c r="C37" s="7">
        <v>0</v>
      </c>
      <c r="D37" s="7"/>
      <c r="E37" s="49">
        <v>0</v>
      </c>
      <c r="F37" s="49"/>
      <c r="G37" s="111">
        <v>11000</v>
      </c>
      <c r="H37" s="129">
        <v>0</v>
      </c>
    </row>
    <row r="38" spans="1:8" ht="47.25">
      <c r="A38" s="4" t="s">
        <v>92</v>
      </c>
      <c r="B38" s="4" t="s">
        <v>96</v>
      </c>
      <c r="C38" s="7">
        <v>0</v>
      </c>
      <c r="D38" s="7"/>
      <c r="E38" s="49">
        <v>0</v>
      </c>
      <c r="F38" s="49"/>
      <c r="G38" s="111">
        <v>20000</v>
      </c>
      <c r="H38" s="129">
        <v>0</v>
      </c>
    </row>
    <row r="39" spans="1:8" ht="31.5">
      <c r="A39" s="4" t="s">
        <v>93</v>
      </c>
      <c r="B39" s="4" t="s">
        <v>84</v>
      </c>
      <c r="C39" s="7">
        <v>0</v>
      </c>
      <c r="D39" s="7"/>
      <c r="E39" s="49">
        <v>0</v>
      </c>
      <c r="F39" s="49"/>
      <c r="G39" s="111">
        <v>29344</v>
      </c>
      <c r="H39" s="129">
        <v>0</v>
      </c>
    </row>
    <row r="40" spans="1:8" ht="31.5">
      <c r="A40" s="4" t="s">
        <v>94</v>
      </c>
      <c r="B40" s="4" t="s">
        <v>85</v>
      </c>
      <c r="C40" s="7">
        <v>0</v>
      </c>
      <c r="D40" s="7"/>
      <c r="E40" s="49">
        <v>0</v>
      </c>
      <c r="F40" s="49"/>
      <c r="G40" s="111">
        <v>25001</v>
      </c>
      <c r="H40" s="126">
        <v>6615.36</v>
      </c>
    </row>
    <row r="41" spans="1:8" ht="63">
      <c r="A41" s="4" t="s">
        <v>102</v>
      </c>
      <c r="B41" s="4" t="s">
        <v>95</v>
      </c>
      <c r="C41" s="7">
        <v>0</v>
      </c>
      <c r="D41" s="7"/>
      <c r="E41" s="49">
        <v>0</v>
      </c>
      <c r="F41" s="49"/>
      <c r="G41" s="111">
        <v>35000</v>
      </c>
      <c r="H41" s="127">
        <v>0</v>
      </c>
    </row>
    <row r="42" spans="1:8" ht="31.5">
      <c r="A42" s="4" t="s">
        <v>62</v>
      </c>
      <c r="B42" s="4"/>
      <c r="C42" s="70">
        <f>C10+C11+C12+C13+C14+C15+C16+C17+C18+C19+C20+C23+C24+C25+C26+C27+C28+C31+C32+C33+C34+C35+C36+C37+C38+C39+C40+C41</f>
        <v>0</v>
      </c>
      <c r="D42" s="70"/>
      <c r="E42" s="51">
        <f>E10+E11+E12+E13+E14+E15+E16+E17+E18+E19+E20+E23+E24+E25+E26+E27+E28+E31+E32+E33+E34+E35+E36+E37+E38+E39+E40+E41</f>
        <v>647174</v>
      </c>
      <c r="F42" s="51"/>
      <c r="G42" s="107">
        <f>SUM(G31:G41)</f>
        <v>319345</v>
      </c>
      <c r="H42" s="107">
        <f>SUM(H31:H41)</f>
        <v>154912.41999999998</v>
      </c>
    </row>
    <row r="43" spans="1:8" ht="15.75" customHeight="1">
      <c r="A43" s="42" t="s">
        <v>33</v>
      </c>
      <c r="B43" s="42"/>
      <c r="C43" s="42"/>
      <c r="D43" s="69"/>
      <c r="E43" s="53"/>
      <c r="F43" s="53"/>
      <c r="G43" s="117">
        <f>G21+G29+G42</f>
        <v>637001</v>
      </c>
      <c r="H43" s="117">
        <f>H21+H29+H42</f>
        <v>386362.08999999997</v>
      </c>
    </row>
    <row r="44" spans="1:8" ht="15.75" hidden="1">
      <c r="A44" s="139" t="s">
        <v>6</v>
      </c>
      <c r="B44" s="139"/>
      <c r="C44" s="139"/>
      <c r="D44" s="139"/>
      <c r="E44" s="139"/>
      <c r="F44" s="139"/>
      <c r="G44" s="140"/>
      <c r="H44" s="140"/>
    </row>
    <row r="45" spans="1:8" ht="15.75" hidden="1">
      <c r="A45" s="5" t="s">
        <v>10</v>
      </c>
      <c r="B45" s="4"/>
      <c r="C45" s="7"/>
      <c r="D45" s="7"/>
      <c r="E45" s="49"/>
      <c r="F45" s="49"/>
      <c r="G45" s="105"/>
      <c r="H45" s="105"/>
    </row>
    <row r="46" spans="1:8" ht="36" hidden="1">
      <c r="A46" s="4" t="s">
        <v>20</v>
      </c>
      <c r="B46" s="14" t="s">
        <v>49</v>
      </c>
      <c r="C46" s="15"/>
      <c r="D46" s="15"/>
      <c r="E46" s="54"/>
      <c r="F46" s="54"/>
      <c r="G46" s="108"/>
      <c r="H46" s="108"/>
    </row>
    <row r="47" spans="1:8" ht="48" hidden="1">
      <c r="A47" s="4" t="s">
        <v>21</v>
      </c>
      <c r="B47" s="16" t="s">
        <v>48</v>
      </c>
      <c r="C47" s="17"/>
      <c r="D47" s="17"/>
      <c r="E47" s="55"/>
      <c r="F47" s="55"/>
      <c r="G47" s="109"/>
      <c r="H47" s="109"/>
    </row>
    <row r="48" spans="1:8" ht="15.75" hidden="1">
      <c r="A48" s="4" t="s">
        <v>22</v>
      </c>
      <c r="B48" s="4"/>
      <c r="C48" s="7"/>
      <c r="D48" s="7"/>
      <c r="E48" s="49"/>
      <c r="F48" s="49"/>
      <c r="G48" s="105"/>
      <c r="H48" s="105"/>
    </row>
    <row r="49" spans="1:8" ht="15.75" hidden="1">
      <c r="A49" s="5" t="s">
        <v>11</v>
      </c>
      <c r="B49" s="4"/>
      <c r="C49" s="7"/>
      <c r="D49" s="7"/>
      <c r="E49" s="49"/>
      <c r="F49" s="49"/>
      <c r="G49" s="105"/>
      <c r="H49" s="105"/>
    </row>
    <row r="50" spans="1:8" ht="15.75" hidden="1">
      <c r="A50" s="4" t="s">
        <v>23</v>
      </c>
      <c r="B50" s="4"/>
      <c r="C50" s="7"/>
      <c r="D50" s="7"/>
      <c r="E50" s="49"/>
      <c r="F50" s="49"/>
      <c r="G50" s="105"/>
      <c r="H50" s="105"/>
    </row>
    <row r="51" spans="1:8" ht="15.75" hidden="1">
      <c r="A51" s="4" t="s">
        <v>24</v>
      </c>
      <c r="B51" s="4"/>
      <c r="C51" s="7"/>
      <c r="D51" s="7"/>
      <c r="E51" s="49"/>
      <c r="F51" s="49"/>
      <c r="G51" s="105"/>
      <c r="H51" s="105"/>
    </row>
    <row r="52" spans="1:8" ht="15.75" hidden="1">
      <c r="A52" s="4" t="s">
        <v>25</v>
      </c>
      <c r="B52" s="4"/>
      <c r="C52" s="7"/>
      <c r="D52" s="7"/>
      <c r="E52" s="49"/>
      <c r="F52" s="49"/>
      <c r="G52" s="105"/>
      <c r="H52" s="105"/>
    </row>
    <row r="53" spans="1:8" ht="15.75" hidden="1">
      <c r="A53" s="5" t="s">
        <v>12</v>
      </c>
      <c r="B53" s="4"/>
      <c r="C53" s="7"/>
      <c r="D53" s="7"/>
      <c r="E53" s="49"/>
      <c r="F53" s="49"/>
      <c r="G53" s="105"/>
      <c r="H53" s="105"/>
    </row>
    <row r="54" spans="1:8" ht="15.75" hidden="1">
      <c r="A54" s="4" t="s">
        <v>26</v>
      </c>
      <c r="B54" s="4"/>
      <c r="C54" s="7"/>
      <c r="D54" s="7"/>
      <c r="E54" s="49"/>
      <c r="F54" s="49"/>
      <c r="G54" s="105"/>
      <c r="H54" s="105"/>
    </row>
    <row r="55" spans="1:8" ht="48" hidden="1" customHeight="1">
      <c r="A55" s="4" t="s">
        <v>27</v>
      </c>
      <c r="B55" s="4"/>
      <c r="C55" s="7"/>
      <c r="D55" s="7"/>
      <c r="E55" s="49"/>
      <c r="F55" s="49"/>
      <c r="G55" s="105"/>
      <c r="H55" s="105"/>
    </row>
    <row r="56" spans="1:8" ht="15.75" hidden="1">
      <c r="A56" s="4" t="s">
        <v>28</v>
      </c>
      <c r="B56" s="4"/>
      <c r="C56" s="7"/>
      <c r="D56" s="7"/>
      <c r="E56" s="49"/>
      <c r="F56" s="49"/>
      <c r="G56" s="105"/>
      <c r="H56" s="105"/>
    </row>
    <row r="57" spans="1:8" ht="15.75" hidden="1">
      <c r="A57" s="139" t="s">
        <v>47</v>
      </c>
      <c r="B57" s="139"/>
      <c r="C57" s="139"/>
      <c r="D57" s="139"/>
      <c r="E57" s="139"/>
      <c r="F57" s="139"/>
      <c r="G57" s="140"/>
      <c r="H57" s="140"/>
    </row>
    <row r="58" spans="1:8" ht="46.5" customHeight="1">
      <c r="A58" s="145" t="s">
        <v>131</v>
      </c>
      <c r="B58" s="146"/>
      <c r="C58" s="146"/>
      <c r="D58" s="146"/>
      <c r="E58" s="146"/>
      <c r="F58" s="146"/>
      <c r="G58" s="146"/>
      <c r="H58" s="146"/>
    </row>
    <row r="59" spans="1:8" ht="48" customHeight="1">
      <c r="A59" s="5" t="s">
        <v>10</v>
      </c>
      <c r="B59" s="145" t="s">
        <v>34</v>
      </c>
      <c r="C59" s="146"/>
      <c r="D59" s="146"/>
      <c r="E59" s="146"/>
      <c r="F59" s="146"/>
      <c r="G59" s="146"/>
      <c r="H59" s="146"/>
    </row>
    <row r="60" spans="1:8" ht="31.5">
      <c r="A60" s="27" t="s">
        <v>20</v>
      </c>
      <c r="B60" s="27" t="s">
        <v>115</v>
      </c>
      <c r="C60" s="19">
        <f>100000/563</f>
        <v>177.61989342806393</v>
      </c>
      <c r="D60" s="19">
        <f>C60</f>
        <v>177.61989342806393</v>
      </c>
      <c r="E60" s="49">
        <v>0</v>
      </c>
      <c r="F60" s="49"/>
      <c r="G60" s="105"/>
      <c r="H60" s="105"/>
    </row>
    <row r="61" spans="1:8" ht="47.25">
      <c r="A61" s="27" t="s">
        <v>21</v>
      </c>
      <c r="B61" s="27" t="s">
        <v>35</v>
      </c>
      <c r="C61" s="19">
        <f>10000000/563</f>
        <v>17761.989342806395</v>
      </c>
      <c r="D61" s="19">
        <f t="shared" ref="D61:D65" si="0">C61</f>
        <v>17761.989342806395</v>
      </c>
      <c r="E61" s="49">
        <v>0</v>
      </c>
      <c r="F61" s="49"/>
      <c r="G61" s="105"/>
      <c r="H61" s="105"/>
    </row>
    <row r="62" spans="1:8" ht="47.25">
      <c r="A62" s="27" t="s">
        <v>22</v>
      </c>
      <c r="B62" s="27" t="s">
        <v>36</v>
      </c>
      <c r="C62" s="19">
        <f>350000/563</f>
        <v>621.66962699822375</v>
      </c>
      <c r="D62" s="19">
        <f t="shared" si="0"/>
        <v>621.66962699822375</v>
      </c>
      <c r="E62" s="49">
        <v>0</v>
      </c>
      <c r="F62" s="49"/>
      <c r="G62" s="105"/>
      <c r="H62" s="105"/>
    </row>
    <row r="63" spans="1:8" ht="47.25">
      <c r="A63" s="27" t="s">
        <v>72</v>
      </c>
      <c r="B63" s="27" t="s">
        <v>37</v>
      </c>
      <c r="C63" s="19">
        <f>350000/563</f>
        <v>621.66962699822375</v>
      </c>
      <c r="D63" s="19">
        <f t="shared" si="0"/>
        <v>621.66962699822375</v>
      </c>
      <c r="E63" s="49">
        <v>0</v>
      </c>
      <c r="F63" s="49"/>
      <c r="G63" s="105"/>
      <c r="H63" s="105"/>
    </row>
    <row r="64" spans="1:8" ht="63">
      <c r="A64" s="27" t="s">
        <v>73</v>
      </c>
      <c r="B64" s="27" t="s">
        <v>38</v>
      </c>
      <c r="C64" s="19">
        <f>350000/563</f>
        <v>621.66962699822375</v>
      </c>
      <c r="D64" s="19">
        <f t="shared" si="0"/>
        <v>621.66962699822375</v>
      </c>
      <c r="E64" s="49">
        <v>0</v>
      </c>
      <c r="F64" s="49"/>
      <c r="G64" s="105"/>
      <c r="H64" s="105"/>
    </row>
    <row r="65" spans="1:8" ht="63">
      <c r="A65" s="27" t="s">
        <v>74</v>
      </c>
      <c r="B65" s="27" t="s">
        <v>39</v>
      </c>
      <c r="C65" s="19">
        <f>7000000/563</f>
        <v>12433.392539964476</v>
      </c>
      <c r="D65" s="19">
        <f t="shared" si="0"/>
        <v>12433.392539964476</v>
      </c>
      <c r="E65" s="49">
        <v>0</v>
      </c>
      <c r="F65" s="49"/>
      <c r="G65" s="105"/>
      <c r="H65" s="105"/>
    </row>
    <row r="66" spans="1:8" ht="15.75">
      <c r="A66" s="27" t="s">
        <v>148</v>
      </c>
      <c r="B66" s="119"/>
      <c r="C66" s="120">
        <f>SUM(C60:C65)</f>
        <v>32238.010657193608</v>
      </c>
      <c r="D66" s="120">
        <v>32238</v>
      </c>
      <c r="E66" s="121"/>
      <c r="F66" s="121"/>
      <c r="G66" s="121"/>
      <c r="H66" s="121"/>
    </row>
    <row r="67" spans="1:8" ht="37.5" customHeight="1">
      <c r="A67" s="28" t="s">
        <v>11</v>
      </c>
      <c r="B67" s="137" t="s">
        <v>114</v>
      </c>
      <c r="C67" s="138"/>
      <c r="D67" s="138"/>
      <c r="E67" s="138"/>
      <c r="F67" s="138"/>
      <c r="G67" s="138"/>
      <c r="H67" s="138"/>
    </row>
    <row r="68" spans="1:8" ht="47.25">
      <c r="A68" s="27" t="s">
        <v>23</v>
      </c>
      <c r="B68" s="27" t="s">
        <v>40</v>
      </c>
      <c r="C68" s="19">
        <f>1000000*7/563</f>
        <v>12433.392539964476</v>
      </c>
      <c r="D68" s="19">
        <v>12433</v>
      </c>
      <c r="E68" s="49">
        <v>0</v>
      </c>
      <c r="F68" s="49"/>
      <c r="G68" s="105"/>
      <c r="H68" s="105"/>
    </row>
    <row r="69" spans="1:8" ht="47.25">
      <c r="A69" s="27" t="s">
        <v>24</v>
      </c>
      <c r="B69" s="27" t="s">
        <v>109</v>
      </c>
      <c r="C69" s="19">
        <f>150000*500/563</f>
        <v>133214.92007104796</v>
      </c>
      <c r="D69" s="19">
        <v>133215</v>
      </c>
      <c r="E69" s="49">
        <v>0</v>
      </c>
      <c r="F69" s="49"/>
      <c r="G69" s="105"/>
      <c r="H69" s="105"/>
    </row>
    <row r="70" spans="1:8" ht="47.25">
      <c r="A70" s="27" t="s">
        <v>25</v>
      </c>
      <c r="B70" s="27" t="s">
        <v>110</v>
      </c>
      <c r="C70" s="19">
        <f>20000*500*6/563</f>
        <v>106571.93605683837</v>
      </c>
      <c r="D70" s="19">
        <v>106572</v>
      </c>
      <c r="E70" s="49">
        <v>0</v>
      </c>
      <c r="F70" s="49"/>
      <c r="G70" s="105"/>
      <c r="H70" s="105"/>
    </row>
    <row r="71" spans="1:8" ht="47.25">
      <c r="A71" s="27" t="s">
        <v>65</v>
      </c>
      <c r="B71" s="27" t="s">
        <v>111</v>
      </c>
      <c r="C71" s="19">
        <f>1200000*18/563</f>
        <v>38365.89698046181</v>
      </c>
      <c r="D71" s="19">
        <v>38366</v>
      </c>
      <c r="E71" s="49">
        <v>0</v>
      </c>
      <c r="F71" s="49"/>
      <c r="G71" s="105"/>
      <c r="H71" s="105"/>
    </row>
    <row r="72" spans="1:8" ht="47.25">
      <c r="A72" s="27" t="s">
        <v>66</v>
      </c>
      <c r="B72" s="27" t="s">
        <v>112</v>
      </c>
      <c r="C72" s="19">
        <f>500*60000/563</f>
        <v>53285.968028419185</v>
      </c>
      <c r="D72" s="19">
        <v>53286</v>
      </c>
      <c r="E72" s="49">
        <v>0</v>
      </c>
      <c r="F72" s="49"/>
      <c r="G72" s="105"/>
      <c r="H72" s="105"/>
    </row>
    <row r="73" spans="1:8" ht="31.5">
      <c r="A73" s="27" t="s">
        <v>67</v>
      </c>
      <c r="B73" s="27" t="s">
        <v>45</v>
      </c>
      <c r="C73" s="19">
        <f>500*30000/563</f>
        <v>26642.984014209593</v>
      </c>
      <c r="D73" s="19">
        <v>26643</v>
      </c>
      <c r="E73" s="49">
        <v>0</v>
      </c>
      <c r="F73" s="49"/>
      <c r="G73" s="105"/>
      <c r="H73" s="105"/>
    </row>
    <row r="74" spans="1:8" ht="78.75">
      <c r="A74" s="27" t="s">
        <v>68</v>
      </c>
      <c r="B74" s="27" t="s">
        <v>113</v>
      </c>
      <c r="C74" s="19">
        <v>298023</v>
      </c>
      <c r="D74" s="19">
        <v>298023</v>
      </c>
      <c r="E74" s="49">
        <v>0</v>
      </c>
      <c r="F74" s="49"/>
      <c r="G74" s="105"/>
      <c r="H74" s="105"/>
    </row>
    <row r="75" spans="1:8" ht="47.25">
      <c r="A75" s="27" t="s">
        <v>69</v>
      </c>
      <c r="B75" s="27" t="s">
        <v>41</v>
      </c>
      <c r="C75" s="19">
        <f>(4000000/563)</f>
        <v>7104.7957371225575</v>
      </c>
      <c r="D75" s="19">
        <v>7105</v>
      </c>
      <c r="E75" s="49">
        <v>0</v>
      </c>
      <c r="F75" s="49"/>
      <c r="G75" s="105"/>
      <c r="H75" s="105"/>
    </row>
    <row r="76" spans="1:8" ht="30">
      <c r="A76" s="27" t="s">
        <v>70</v>
      </c>
      <c r="B76" s="27" t="s">
        <v>43</v>
      </c>
      <c r="C76" s="19">
        <f>3100000*7/563</f>
        <v>38543.516873889879</v>
      </c>
      <c r="D76" s="19">
        <v>38544</v>
      </c>
      <c r="E76" s="49">
        <v>0</v>
      </c>
      <c r="F76" s="49"/>
      <c r="G76" s="105"/>
      <c r="H76" s="105"/>
    </row>
    <row r="77" spans="1:8" ht="31.5">
      <c r="A77" s="27" t="s">
        <v>71</v>
      </c>
      <c r="B77" s="27" t="s">
        <v>44</v>
      </c>
      <c r="C77" s="19">
        <f>4000000/563</f>
        <v>7104.7957371225575</v>
      </c>
      <c r="D77" s="19">
        <v>7105</v>
      </c>
      <c r="E77" s="49">
        <v>0</v>
      </c>
      <c r="F77" s="49"/>
      <c r="G77" s="105"/>
      <c r="H77" s="105"/>
    </row>
    <row r="78" spans="1:8" ht="15.75">
      <c r="A78" s="27" t="s">
        <v>75</v>
      </c>
      <c r="B78" s="27"/>
      <c r="C78" s="19">
        <f>SUM(C68:C77)</f>
        <v>721291.20603907632</v>
      </c>
      <c r="D78" s="19">
        <v>721291</v>
      </c>
      <c r="E78" s="49">
        <f>E60+E61+E62+E63+E64+E65+E68+E69+E70+E71+E72+E73+E74+E75+E76+E77</f>
        <v>0</v>
      </c>
      <c r="F78" s="49"/>
      <c r="G78" s="105"/>
      <c r="H78" s="105"/>
    </row>
    <row r="79" spans="1:8" ht="15.75">
      <c r="A79" s="27" t="s">
        <v>76</v>
      </c>
      <c r="B79" s="27"/>
      <c r="C79" s="19">
        <f>C66+C78</f>
        <v>753529.21669626993</v>
      </c>
      <c r="D79" s="19">
        <f>D66+D78</f>
        <v>753529</v>
      </c>
      <c r="E79" s="49">
        <f>E42+E78</f>
        <v>647174</v>
      </c>
      <c r="F79" s="49"/>
      <c r="G79" s="105">
        <f>G43</f>
        <v>637001</v>
      </c>
      <c r="H79" s="105">
        <f>H43</f>
        <v>386362.08999999997</v>
      </c>
    </row>
    <row r="80" spans="1:8" ht="15.75" customHeight="1">
      <c r="A80" s="43" t="s">
        <v>82</v>
      </c>
      <c r="B80" s="43"/>
      <c r="C80" s="43">
        <v>753529</v>
      </c>
      <c r="D80" s="19">
        <f>D67+D79</f>
        <v>753529</v>
      </c>
      <c r="E80" s="118">
        <f>E79</f>
        <v>647174</v>
      </c>
      <c r="F80" s="53"/>
      <c r="G80" s="105">
        <f>G79</f>
        <v>637001</v>
      </c>
      <c r="H80" s="105">
        <f>H79</f>
        <v>386362.08999999997</v>
      </c>
    </row>
    <row r="81" spans="1:9" ht="70.5" customHeight="1">
      <c r="A81" s="27" t="s">
        <v>29</v>
      </c>
      <c r="B81" s="28"/>
      <c r="C81" s="19">
        <v>45419</v>
      </c>
      <c r="D81" s="19">
        <v>45419</v>
      </c>
      <c r="E81" s="51">
        <v>41660</v>
      </c>
      <c r="F81" s="51">
        <v>0</v>
      </c>
      <c r="G81" s="111">
        <v>27807</v>
      </c>
      <c r="H81" s="127">
        <v>25123</v>
      </c>
    </row>
    <row r="82" spans="1:9" ht="60.75" customHeight="1">
      <c r="A82" s="27" t="s">
        <v>30</v>
      </c>
      <c r="B82" s="28"/>
      <c r="C82" s="19"/>
      <c r="D82" s="19"/>
      <c r="E82" s="51">
        <v>0</v>
      </c>
      <c r="F82" s="51"/>
      <c r="G82" s="111">
        <v>13859</v>
      </c>
      <c r="H82" s="107">
        <v>2238</v>
      </c>
      <c r="I82" s="132" t="s">
        <v>164</v>
      </c>
    </row>
    <row r="83" spans="1:9" ht="36" customHeight="1">
      <c r="A83" s="27" t="s">
        <v>31</v>
      </c>
      <c r="B83" s="27" t="s">
        <v>0</v>
      </c>
      <c r="C83" s="19">
        <v>50000</v>
      </c>
      <c r="D83" s="19">
        <v>50000</v>
      </c>
      <c r="E83" s="49">
        <v>50000</v>
      </c>
      <c r="F83" s="58">
        <v>45000</v>
      </c>
      <c r="G83" s="111">
        <v>50000</v>
      </c>
      <c r="H83" s="104">
        <v>18192</v>
      </c>
      <c r="I83" s="132" t="s">
        <v>166</v>
      </c>
    </row>
    <row r="84" spans="1:9" ht="36" customHeight="1">
      <c r="A84" s="4" t="s">
        <v>107</v>
      </c>
      <c r="B84" s="4"/>
      <c r="C84" s="7"/>
      <c r="D84" s="19"/>
      <c r="E84" s="49"/>
      <c r="F84" s="49"/>
      <c r="G84" s="111">
        <v>20000</v>
      </c>
      <c r="H84" s="105">
        <v>0</v>
      </c>
      <c r="I84" s="133"/>
    </row>
    <row r="85" spans="1:9" ht="36" customHeight="1">
      <c r="A85" s="4" t="s">
        <v>77</v>
      </c>
      <c r="B85" s="4"/>
      <c r="C85" s="7">
        <f>SUM(C81:C83)</f>
        <v>95419</v>
      </c>
      <c r="D85" s="19">
        <v>95419</v>
      </c>
      <c r="E85" s="49">
        <f>SUM(E81:E83)</f>
        <v>91660</v>
      </c>
      <c r="F85" s="58">
        <f>F83</f>
        <v>45000</v>
      </c>
      <c r="G85" s="112">
        <f>SUM(G81:G84)</f>
        <v>111666</v>
      </c>
      <c r="H85" s="104">
        <v>45554</v>
      </c>
      <c r="I85" s="132" t="s">
        <v>165</v>
      </c>
    </row>
    <row r="86" spans="1:9" ht="48" customHeight="1">
      <c r="A86" s="5" t="s">
        <v>42</v>
      </c>
      <c r="B86" s="5"/>
      <c r="C86" s="7">
        <f>SUM(C60:C65,C68:C77,C81:C83)</f>
        <v>848948.21669626993</v>
      </c>
      <c r="D86" s="19">
        <v>848948</v>
      </c>
      <c r="E86" s="51">
        <f>E79+E85</f>
        <v>738834</v>
      </c>
      <c r="F86" s="51">
        <f>F83+F21</f>
        <v>738834</v>
      </c>
      <c r="G86" s="111">
        <f>SUM(G85+G80)</f>
        <v>748667</v>
      </c>
      <c r="H86" s="107">
        <v>431916</v>
      </c>
      <c r="I86" s="133"/>
    </row>
    <row r="87" spans="1:9" ht="31.5">
      <c r="A87" s="4" t="s">
        <v>46</v>
      </c>
      <c r="B87" s="4"/>
      <c r="C87" s="19">
        <f>SUM(C86*0.07)</f>
        <v>59426.375168738901</v>
      </c>
      <c r="D87" s="19">
        <v>59426</v>
      </c>
      <c r="E87" s="49">
        <f>SUM(E86*0.07)</f>
        <v>51718.380000000005</v>
      </c>
      <c r="F87" s="49">
        <v>51718</v>
      </c>
      <c r="G87" s="111">
        <f>G86*0.07</f>
        <v>52406.69</v>
      </c>
      <c r="H87" s="128">
        <f>H86*0.07</f>
        <v>30234.120000000003</v>
      </c>
      <c r="I87" s="133"/>
    </row>
    <row r="88" spans="1:9" ht="51" customHeight="1" thickBot="1">
      <c r="A88" s="136" t="s">
        <v>32</v>
      </c>
      <c r="B88" s="136"/>
      <c r="C88" s="18">
        <f>C86+C87</f>
        <v>908374.59186500881</v>
      </c>
      <c r="D88" s="122">
        <v>908375</v>
      </c>
      <c r="E88" s="62">
        <f>E86+E87</f>
        <v>790552.38</v>
      </c>
      <c r="F88" s="123">
        <v>790552</v>
      </c>
      <c r="G88" s="110">
        <v>801074</v>
      </c>
      <c r="H88" s="124">
        <f>H86+H87</f>
        <v>462150.12</v>
      </c>
      <c r="I88" s="134" t="s">
        <v>167</v>
      </c>
    </row>
    <row r="94" spans="1:9" ht="25.5" customHeight="1"/>
  </sheetData>
  <mergeCells count="9">
    <mergeCell ref="A88:B88"/>
    <mergeCell ref="B67:H67"/>
    <mergeCell ref="A44:H44"/>
    <mergeCell ref="A57:H57"/>
    <mergeCell ref="A8:H8"/>
    <mergeCell ref="B22:H22"/>
    <mergeCell ref="B30:H30"/>
    <mergeCell ref="A58:H58"/>
    <mergeCell ref="B59:H59"/>
  </mergeCells>
  <pageMargins left="0.7" right="0.7" top="0.75" bottom="0.75" header="0.3" footer="0.3"/>
  <pageSetup scale="65" orientation="landscape" horizontalDpi="4294967295" verticalDpi="4294967295" r:id="rId1"/>
  <rowBreaks count="5" manualBreakCount="5">
    <brk id="15" max="9" man="1"/>
    <brk id="25" max="16383" man="1"/>
    <brk id="42" max="9" man="1"/>
    <brk id="62" max="9" man="1"/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9"/>
  <sheetViews>
    <sheetView zoomScale="70" zoomScaleNormal="70" workbookViewId="0">
      <selection activeCell="G6" sqref="G6:H6"/>
    </sheetView>
  </sheetViews>
  <sheetFormatPr baseColWidth="10" defaultColWidth="9.140625" defaultRowHeight="15"/>
  <cols>
    <col min="1" max="1" width="15.5703125" customWidth="1"/>
    <col min="2" max="2" width="15.5703125" hidden="1" customWidth="1"/>
    <col min="3" max="3" width="12.85546875" hidden="1" customWidth="1"/>
    <col min="4" max="4" width="13.42578125" hidden="1" customWidth="1"/>
    <col min="5" max="6" width="11.140625" hidden="1" customWidth="1"/>
    <col min="7" max="11" width="11.140625" customWidth="1"/>
    <col min="12" max="13" width="11.85546875" bestFit="1" customWidth="1"/>
    <col min="14" max="15" width="13.140625" customWidth="1"/>
    <col min="16" max="17" width="13" customWidth="1"/>
    <col min="18" max="18" width="13.140625" customWidth="1"/>
    <col min="19" max="19" width="13.85546875" customWidth="1"/>
    <col min="20" max="21" width="11.5703125" customWidth="1"/>
    <col min="22" max="22" width="17.140625" customWidth="1"/>
    <col min="23" max="23" width="45.140625" bestFit="1" customWidth="1"/>
    <col min="24" max="25" width="12.5703125" customWidth="1"/>
    <col min="26" max="26" width="10.5703125" bestFit="1" customWidth="1"/>
    <col min="27" max="27" width="10" customWidth="1"/>
  </cols>
  <sheetData>
    <row r="1" spans="1:27" ht="15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7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27">
      <c r="A3" s="20" t="s">
        <v>117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7" ht="15.75" thickBot="1"/>
    <row r="5" spans="1:27" ht="26.85" customHeight="1" thickBot="1">
      <c r="A5" s="153" t="s">
        <v>118</v>
      </c>
      <c r="B5" s="39"/>
      <c r="C5" s="157" t="s">
        <v>132</v>
      </c>
      <c r="D5" s="157"/>
      <c r="E5" s="157"/>
      <c r="F5" s="157"/>
      <c r="G5" s="157"/>
      <c r="H5" s="157"/>
      <c r="I5" s="157"/>
      <c r="J5" s="157"/>
      <c r="K5" s="150" t="s">
        <v>133</v>
      </c>
      <c r="L5" s="151"/>
      <c r="M5" s="151"/>
      <c r="N5" s="152"/>
      <c r="O5" s="155" t="s">
        <v>119</v>
      </c>
      <c r="P5" s="156"/>
      <c r="Q5" s="156"/>
      <c r="R5" s="156"/>
      <c r="S5" s="147" t="s">
        <v>148</v>
      </c>
      <c r="T5" s="148"/>
      <c r="U5" s="148"/>
      <c r="V5" s="148"/>
      <c r="W5" s="149"/>
    </row>
    <row r="6" spans="1:27" ht="26.25" thickBot="1">
      <c r="A6" s="154"/>
      <c r="B6" s="45"/>
      <c r="C6" s="32" t="s">
        <v>136</v>
      </c>
      <c r="D6" s="32" t="s">
        <v>120</v>
      </c>
      <c r="E6" s="32" t="s">
        <v>135</v>
      </c>
      <c r="F6" s="71" t="s">
        <v>150</v>
      </c>
      <c r="G6" s="71" t="s">
        <v>150</v>
      </c>
      <c r="H6" s="72" t="s">
        <v>151</v>
      </c>
      <c r="I6" s="73" t="s">
        <v>152</v>
      </c>
      <c r="J6" s="74" t="s">
        <v>153</v>
      </c>
      <c r="K6" s="71" t="s">
        <v>150</v>
      </c>
      <c r="L6" s="72" t="s">
        <v>151</v>
      </c>
      <c r="M6" s="73" t="s">
        <v>152</v>
      </c>
      <c r="N6" s="74" t="s">
        <v>153</v>
      </c>
      <c r="O6" s="71" t="s">
        <v>144</v>
      </c>
      <c r="P6" s="72" t="s">
        <v>145</v>
      </c>
      <c r="Q6" s="73" t="s">
        <v>146</v>
      </c>
      <c r="R6" s="74" t="s">
        <v>147</v>
      </c>
      <c r="S6" s="79" t="s">
        <v>144</v>
      </c>
      <c r="T6" s="80" t="s">
        <v>145</v>
      </c>
      <c r="U6" s="81" t="s">
        <v>146</v>
      </c>
      <c r="V6" s="82" t="s">
        <v>147</v>
      </c>
      <c r="W6" s="86" t="s">
        <v>149</v>
      </c>
    </row>
    <row r="7" spans="1:27" ht="45.75" customHeight="1" thickBot="1">
      <c r="A7" s="21" t="s">
        <v>121</v>
      </c>
      <c r="B7" s="40"/>
      <c r="C7" s="32">
        <f>'depense  par activites '!$C$81*0.35</f>
        <v>15896.65</v>
      </c>
      <c r="D7" s="32">
        <f>'depense  par activites '!$C$81*0.3</f>
        <v>13625.699999999999</v>
      </c>
      <c r="E7" s="32">
        <f>'depense  par activites '!$C$81*0.35</f>
        <v>15896.65</v>
      </c>
      <c r="F7" s="32">
        <f>SUM(C7:E7)</f>
        <v>45419</v>
      </c>
      <c r="G7" s="32">
        <v>45419</v>
      </c>
      <c r="H7" s="65">
        <v>0</v>
      </c>
      <c r="I7" s="32">
        <v>45419</v>
      </c>
      <c r="J7" s="77">
        <f>(I7-G7)/G7</f>
        <v>0</v>
      </c>
      <c r="K7" s="65">
        <v>101660</v>
      </c>
      <c r="L7" s="64">
        <v>0</v>
      </c>
      <c r="M7" s="63">
        <f>K7+L7</f>
        <v>101660</v>
      </c>
      <c r="N7" s="96">
        <f>(M7-K7)/K7</f>
        <v>0</v>
      </c>
      <c r="O7" s="75">
        <v>27807</v>
      </c>
      <c r="P7" s="75">
        <v>0</v>
      </c>
      <c r="Q7" s="75">
        <f>O7+P7</f>
        <v>27807</v>
      </c>
      <c r="R7" s="77">
        <f>(Q7-O7)/O7</f>
        <v>0</v>
      </c>
      <c r="S7" s="85">
        <f>G7+K7+O7</f>
        <v>174886</v>
      </c>
      <c r="T7" s="85">
        <f t="shared" ref="T7:U16" si="0">H7+L7+P7</f>
        <v>0</v>
      </c>
      <c r="U7" s="85">
        <f>I7+M7+Q7</f>
        <v>174886</v>
      </c>
      <c r="V7" s="101">
        <f>(U7-S7)/S7</f>
        <v>0</v>
      </c>
      <c r="W7" s="83"/>
      <c r="Y7" s="35"/>
      <c r="Z7" s="35"/>
    </row>
    <row r="8" spans="1:27" ht="58.5" customHeight="1" thickBot="1">
      <c r="A8" s="22" t="s">
        <v>122</v>
      </c>
      <c r="B8" s="40">
        <f>1500+2500</f>
        <v>4000</v>
      </c>
      <c r="C8" s="32">
        <f>('depense  par activites '!$C$68+'depense  par activites '!$C$74-86000)*0.35</f>
        <v>78559.73738898756</v>
      </c>
      <c r="D8" s="32">
        <f>('depense  par activites '!$C$68+'depense  par activites '!$C$74-86000)*0.3</f>
        <v>67336.917761989331</v>
      </c>
      <c r="E8" s="32">
        <f>('depense  par activites '!$C$68+'depense  par activites '!$C$74-86000)*0.35</f>
        <v>78559.73738898756</v>
      </c>
      <c r="F8" s="32">
        <f t="shared" ref="F8:F16" si="1">SUM(C8:E8)</f>
        <v>224456.39253996446</v>
      </c>
      <c r="G8" s="32">
        <v>224456</v>
      </c>
      <c r="H8" s="65">
        <v>0</v>
      </c>
      <c r="I8" s="32">
        <v>224456</v>
      </c>
      <c r="J8" s="77">
        <f t="shared" ref="J8:J16" si="2">(I8-G8)/G8</f>
        <v>0</v>
      </c>
      <c r="K8" s="65">
        <v>78000</v>
      </c>
      <c r="L8" s="94">
        <v>-75000</v>
      </c>
      <c r="M8" s="64">
        <f>K8+L8</f>
        <v>3000</v>
      </c>
      <c r="N8" s="96">
        <f t="shared" ref="N8:N15" si="3">(M8-K8)/K8</f>
        <v>-0.96153846153846156</v>
      </c>
      <c r="O8" s="75">
        <v>15000</v>
      </c>
      <c r="P8" s="75">
        <v>0</v>
      </c>
      <c r="Q8" s="75">
        <f t="shared" ref="Q8:Q16" si="4">O8+P8</f>
        <v>15000</v>
      </c>
      <c r="R8" s="77">
        <f t="shared" ref="R8:R10" si="5">(Q8-O8)/O8</f>
        <v>0</v>
      </c>
      <c r="S8" s="85">
        <f t="shared" ref="S8:S15" si="6">G8+K8+O8</f>
        <v>317456</v>
      </c>
      <c r="T8" s="85">
        <f t="shared" si="0"/>
        <v>-75000</v>
      </c>
      <c r="U8" s="85">
        <f>I8+M8+Q8</f>
        <v>242456</v>
      </c>
      <c r="V8" s="101">
        <f t="shared" ref="V8:V16" si="7">(U8-S8)/S8</f>
        <v>-0.2362532130436974</v>
      </c>
      <c r="W8" s="95" t="s">
        <v>157</v>
      </c>
      <c r="X8" s="12"/>
      <c r="Y8" s="23"/>
      <c r="Z8" s="35"/>
      <c r="AA8" s="12"/>
    </row>
    <row r="9" spans="1:27" ht="102" customHeight="1" thickBot="1">
      <c r="A9" s="22" t="s">
        <v>123</v>
      </c>
      <c r="B9" s="40">
        <v>0</v>
      </c>
      <c r="C9" s="32">
        <f>86000*0.35</f>
        <v>30099.999999999996</v>
      </c>
      <c r="D9" s="32">
        <f>86000*0.3</f>
        <v>25800</v>
      </c>
      <c r="E9" s="32">
        <f>86000*0.35</f>
        <v>30099.999999999996</v>
      </c>
      <c r="F9" s="32">
        <f t="shared" si="1"/>
        <v>86000</v>
      </c>
      <c r="G9" s="32">
        <v>86000</v>
      </c>
      <c r="H9" s="65">
        <v>0</v>
      </c>
      <c r="I9" s="32">
        <v>86000</v>
      </c>
      <c r="J9" s="77">
        <f t="shared" si="2"/>
        <v>0</v>
      </c>
      <c r="K9" s="65">
        <v>146654</v>
      </c>
      <c r="L9" s="64">
        <v>51718</v>
      </c>
      <c r="M9" s="64">
        <f>K9+L9</f>
        <v>198372</v>
      </c>
      <c r="N9" s="96">
        <f>(M9-K9)/K9</f>
        <v>0.35265318368404541</v>
      </c>
      <c r="O9" s="75">
        <v>25000</v>
      </c>
      <c r="P9" s="93">
        <v>-25000</v>
      </c>
      <c r="Q9" s="76">
        <f t="shared" si="4"/>
        <v>0</v>
      </c>
      <c r="R9" s="78">
        <f t="shared" si="5"/>
        <v>-1</v>
      </c>
      <c r="S9" s="85">
        <f t="shared" si="6"/>
        <v>257654</v>
      </c>
      <c r="T9" s="85">
        <f t="shared" si="0"/>
        <v>26718</v>
      </c>
      <c r="U9" s="85">
        <f>I9+M9+Q9</f>
        <v>284372</v>
      </c>
      <c r="V9" s="101">
        <f t="shared" si="7"/>
        <v>0.10369720633097099</v>
      </c>
      <c r="W9" s="84" t="s">
        <v>156</v>
      </c>
      <c r="Z9" s="35"/>
    </row>
    <row r="10" spans="1:27" ht="60.75" thickBot="1">
      <c r="A10" s="22" t="s">
        <v>124</v>
      </c>
      <c r="B10" s="40">
        <f>135000+305000+50409</f>
        <v>490409</v>
      </c>
      <c r="C10" s="32">
        <f>('depense  par activites '!$C$77+'depense  par activites '!$C$73+'depense  par activites '!$C$72+'depense  par activites '!$C$71+'depense  par activites '!$C$70+'depense  par activites '!$C$69+'depense  par activites '!$C$65+'depense  par activites '!$C$63+'depense  par activites '!$C$62+'depense  par activites '!$C$61+'depense  par activites '!$C$60)*0.35</f>
        <v>138880.9946714032</v>
      </c>
      <c r="D10" s="32">
        <f>('depense  par activites '!$C$77+'depense  par activites '!$C$73+'depense  par activites '!$C$72+'depense  par activites '!$C$71+'depense  par activites '!$C$70+'depense  par activites '!$C$69+'depense  par activites '!$C$65+'depense  par activites '!$C$63+'depense  par activites '!$C$62+'depense  par activites '!$C$61+'depense  par activites '!$C$60)*0.3</f>
        <v>119040.85257548846</v>
      </c>
      <c r="E10" s="32">
        <f>('depense  par activites '!$C$77+'depense  par activites '!$C$73+'depense  par activites '!$C$72+'depense  par activites '!$C$71+'depense  par activites '!$C$70+'depense  par activites '!$C$69+'depense  par activites '!$C$65+'depense  par activites '!$C$63+'depense  par activites '!$C$62+'depense  par activites '!$C$61+'depense  par activites '!$C$60)*0.35</f>
        <v>138880.9946714032</v>
      </c>
      <c r="F10" s="32">
        <f t="shared" si="1"/>
        <v>396802.84191829484</v>
      </c>
      <c r="G10" s="32">
        <v>396803</v>
      </c>
      <c r="H10" s="65">
        <v>0</v>
      </c>
      <c r="I10" s="32">
        <v>396803</v>
      </c>
      <c r="J10" s="77">
        <f t="shared" si="2"/>
        <v>0</v>
      </c>
      <c r="K10" s="65">
        <v>317520</v>
      </c>
      <c r="L10" s="64">
        <v>15407</v>
      </c>
      <c r="M10" s="64">
        <v>332927</v>
      </c>
      <c r="N10" s="96">
        <f t="shared" si="3"/>
        <v>4.8522927689594354E-2</v>
      </c>
      <c r="O10" s="75">
        <v>652000</v>
      </c>
      <c r="P10" s="76">
        <v>25000</v>
      </c>
      <c r="Q10" s="76">
        <f t="shared" si="4"/>
        <v>677000</v>
      </c>
      <c r="R10" s="78">
        <f t="shared" si="5"/>
        <v>3.834355828220859E-2</v>
      </c>
      <c r="S10" s="85">
        <f t="shared" si="6"/>
        <v>1366323</v>
      </c>
      <c r="T10" s="85">
        <f t="shared" si="0"/>
        <v>40407</v>
      </c>
      <c r="U10" s="85">
        <f>I10+M10+Q10</f>
        <v>1406730</v>
      </c>
      <c r="V10" s="101">
        <f t="shared" si="7"/>
        <v>2.9573534222874093E-2</v>
      </c>
      <c r="W10" s="84" t="s">
        <v>154</v>
      </c>
      <c r="Z10" s="35"/>
    </row>
    <row r="11" spans="1:27" ht="40.5" customHeight="1" thickBot="1">
      <c r="A11" s="22" t="s">
        <v>125</v>
      </c>
      <c r="B11" s="40">
        <f>4500+18000</f>
        <v>22500</v>
      </c>
      <c r="C11" s="32">
        <f>('depense  par activites '!$C$64+'depense  par activites '!$C$75+'depense  par activites '!$C$76)*0.35</f>
        <v>16194.493783303731</v>
      </c>
      <c r="D11" s="32">
        <f>('depense  par activites '!$C$64+'depense  par activites '!$C$75+'depense  par activites '!$C$76)*0.3</f>
        <v>13880.994671403199</v>
      </c>
      <c r="E11" s="32">
        <f>('depense  par activites '!$C$64+'depense  par activites '!$C$75+'depense  par activites '!$C$76)*0.35</f>
        <v>16194.493783303731</v>
      </c>
      <c r="F11" s="32">
        <f t="shared" si="1"/>
        <v>46269.982238010663</v>
      </c>
      <c r="G11" s="32">
        <v>46270</v>
      </c>
      <c r="H11" s="65">
        <v>0</v>
      </c>
      <c r="I11" s="32">
        <v>46270</v>
      </c>
      <c r="J11" s="77">
        <f t="shared" si="2"/>
        <v>0</v>
      </c>
      <c r="K11" s="65">
        <v>45000</v>
      </c>
      <c r="L11" s="64">
        <f>B11*0.35</f>
        <v>7874.9999999999991</v>
      </c>
      <c r="M11" s="64">
        <f t="shared" ref="M11:M13" si="8">K11+L11</f>
        <v>52875</v>
      </c>
      <c r="N11" s="96">
        <f t="shared" si="3"/>
        <v>0.17499999999999999</v>
      </c>
      <c r="O11" s="75">
        <v>15000</v>
      </c>
      <c r="P11" s="75">
        <v>0</v>
      </c>
      <c r="Q11" s="75">
        <f t="shared" si="4"/>
        <v>15000</v>
      </c>
      <c r="R11" s="77">
        <f t="shared" ref="R11:R16" si="9">(Q11-O11)/Q11</f>
        <v>0</v>
      </c>
      <c r="S11" s="85">
        <f t="shared" si="6"/>
        <v>106270</v>
      </c>
      <c r="T11" s="85">
        <f t="shared" si="0"/>
        <v>7874.9999999999991</v>
      </c>
      <c r="U11" s="85">
        <f>I11+M11+Q11</f>
        <v>114145</v>
      </c>
      <c r="V11" s="101">
        <f t="shared" si="7"/>
        <v>7.4103698127411313E-2</v>
      </c>
      <c r="W11" s="88" t="s">
        <v>155</v>
      </c>
      <c r="Z11" s="35"/>
    </row>
    <row r="12" spans="1:27" ht="46.5" customHeight="1" thickBot="1">
      <c r="A12" s="22" t="s">
        <v>126</v>
      </c>
      <c r="B12" s="40"/>
      <c r="C12" s="32"/>
      <c r="D12" s="32"/>
      <c r="E12" s="32"/>
      <c r="F12" s="32">
        <f t="shared" si="1"/>
        <v>0</v>
      </c>
      <c r="G12" s="32">
        <v>0</v>
      </c>
      <c r="H12" s="65">
        <v>0</v>
      </c>
      <c r="I12" s="32">
        <v>0</v>
      </c>
      <c r="J12" s="77"/>
      <c r="K12" s="65">
        <v>0</v>
      </c>
      <c r="L12" s="63">
        <f>B12*0.35</f>
        <v>0</v>
      </c>
      <c r="M12" s="64">
        <f t="shared" si="8"/>
        <v>0</v>
      </c>
      <c r="N12" s="96"/>
      <c r="O12" s="75"/>
      <c r="P12" s="75"/>
      <c r="Q12" s="75">
        <f t="shared" si="4"/>
        <v>0</v>
      </c>
      <c r="R12" s="77"/>
      <c r="S12" s="85">
        <f t="shared" si="6"/>
        <v>0</v>
      </c>
      <c r="T12" s="85">
        <f t="shared" si="0"/>
        <v>0</v>
      </c>
      <c r="U12" s="85">
        <f t="shared" si="0"/>
        <v>0</v>
      </c>
      <c r="V12" s="101"/>
      <c r="W12" s="83"/>
      <c r="Z12" s="35"/>
    </row>
    <row r="13" spans="1:27" ht="72" customHeight="1" thickBot="1">
      <c r="A13" s="22" t="s">
        <v>127</v>
      </c>
      <c r="B13" s="40">
        <f>611+280+34+16000+105000+100000</f>
        <v>221925</v>
      </c>
      <c r="C13" s="32">
        <f>('depense  par activites '!$C$83)*0.35</f>
        <v>17500</v>
      </c>
      <c r="D13" s="32">
        <f>('depense  par activites '!$C$83)*0.3</f>
        <v>15000</v>
      </c>
      <c r="E13" s="32">
        <f>('depense  par activites '!$C$83)*0.35</f>
        <v>17500</v>
      </c>
      <c r="F13" s="32">
        <f t="shared" si="1"/>
        <v>50000</v>
      </c>
      <c r="G13" s="32">
        <v>50000</v>
      </c>
      <c r="H13" s="65">
        <v>0</v>
      </c>
      <c r="I13" s="32">
        <v>50000</v>
      </c>
      <c r="J13" s="77">
        <f t="shared" si="2"/>
        <v>0</v>
      </c>
      <c r="K13" s="65">
        <v>50000</v>
      </c>
      <c r="L13" s="63">
        <v>0</v>
      </c>
      <c r="M13" s="64">
        <f t="shared" si="8"/>
        <v>50000</v>
      </c>
      <c r="N13" s="96">
        <f t="shared" si="3"/>
        <v>0</v>
      </c>
      <c r="O13" s="75">
        <v>13859</v>
      </c>
      <c r="P13" s="75">
        <v>0</v>
      </c>
      <c r="Q13" s="75">
        <f t="shared" si="4"/>
        <v>13859</v>
      </c>
      <c r="R13" s="77">
        <f t="shared" si="9"/>
        <v>0</v>
      </c>
      <c r="S13" s="85">
        <f t="shared" si="6"/>
        <v>113859</v>
      </c>
      <c r="T13" s="85">
        <f t="shared" si="0"/>
        <v>0</v>
      </c>
      <c r="U13" s="85">
        <f>I13+M13+Q13</f>
        <v>113859</v>
      </c>
      <c r="V13" s="101">
        <f t="shared" si="7"/>
        <v>0</v>
      </c>
      <c r="W13" s="83"/>
      <c r="X13" s="24"/>
      <c r="Y13" s="24"/>
      <c r="Z13" s="35"/>
    </row>
    <row r="14" spans="1:27" ht="15.75" thickBot="1">
      <c r="A14" s="25" t="s">
        <v>128</v>
      </c>
      <c r="B14" s="41">
        <f>B8+B9+B10+B11+B12+B13+B7</f>
        <v>738834</v>
      </c>
      <c r="C14" s="33">
        <f>SUM(C7:C13)</f>
        <v>297131.87584369449</v>
      </c>
      <c r="D14" s="33">
        <f>SUM(D7:D13)</f>
        <v>254684.465008881</v>
      </c>
      <c r="E14" s="33">
        <f>SUM(E7:E13)</f>
        <v>297131.87584369449</v>
      </c>
      <c r="F14" s="32">
        <f t="shared" si="1"/>
        <v>848948.21669627004</v>
      </c>
      <c r="G14" s="32">
        <f>SUM(G7:G13)</f>
        <v>848948</v>
      </c>
      <c r="H14" s="65">
        <v>0</v>
      </c>
      <c r="I14" s="32">
        <f>SUM(I7:I13)</f>
        <v>848948</v>
      </c>
      <c r="J14" s="77">
        <f t="shared" si="2"/>
        <v>0</v>
      </c>
      <c r="K14" s="66">
        <f>SUM(K7:K13)</f>
        <v>738834</v>
      </c>
      <c r="L14" s="66">
        <f>SUM(L7:L13)</f>
        <v>-9.0949470177292824E-13</v>
      </c>
      <c r="M14" s="66">
        <f>SUM(M7:M13)</f>
        <v>738834</v>
      </c>
      <c r="N14" s="96">
        <f t="shared" si="3"/>
        <v>0</v>
      </c>
      <c r="O14" s="34">
        <f t="shared" ref="O14" si="10">SUM(O7:O13)</f>
        <v>748666</v>
      </c>
      <c r="P14" s="34">
        <v>0</v>
      </c>
      <c r="Q14" s="75">
        <f t="shared" si="4"/>
        <v>748666</v>
      </c>
      <c r="R14" s="77">
        <f t="shared" si="9"/>
        <v>0</v>
      </c>
      <c r="S14" s="85">
        <f t="shared" si="6"/>
        <v>2336448</v>
      </c>
      <c r="T14" s="85">
        <f t="shared" si="0"/>
        <v>-9.0949470177292824E-13</v>
      </c>
      <c r="U14" s="85">
        <f>I14+M14+Q14</f>
        <v>2336448</v>
      </c>
      <c r="V14" s="101">
        <f t="shared" si="7"/>
        <v>0</v>
      </c>
      <c r="W14" s="83"/>
      <c r="Y14" s="24"/>
      <c r="Z14" s="35"/>
    </row>
    <row r="15" spans="1:27" ht="38.25" customHeight="1" thickBot="1">
      <c r="A15" s="22" t="s">
        <v>129</v>
      </c>
      <c r="B15" s="59">
        <f>B14*0.07</f>
        <v>51718.380000000005</v>
      </c>
      <c r="C15" s="33">
        <f>('depense  par activites '!$C$87)*0.35</f>
        <v>20799.231309058614</v>
      </c>
      <c r="D15" s="33">
        <f>('depense  par activites '!$C$87)*0.3</f>
        <v>17827.91255062167</v>
      </c>
      <c r="E15" s="33">
        <f>('depense  par activites '!$C$87)*0.35</f>
        <v>20799.231309058614</v>
      </c>
      <c r="F15" s="32">
        <f t="shared" si="1"/>
        <v>59426.375168738901</v>
      </c>
      <c r="G15" s="32">
        <v>59427</v>
      </c>
      <c r="H15" s="65">
        <v>0</v>
      </c>
      <c r="I15" s="32">
        <v>59427</v>
      </c>
      <c r="J15" s="77">
        <f>(I15-G15)/G15</f>
        <v>0</v>
      </c>
      <c r="K15" s="66">
        <f>K14*0.07</f>
        <v>51718.380000000005</v>
      </c>
      <c r="L15" s="66"/>
      <c r="M15" s="66">
        <f>M14*0.07</f>
        <v>51718.380000000005</v>
      </c>
      <c r="N15" s="96">
        <f t="shared" si="3"/>
        <v>0</v>
      </c>
      <c r="O15" s="34">
        <f>O14*0.07</f>
        <v>52406.62</v>
      </c>
      <c r="P15" s="34">
        <v>0</v>
      </c>
      <c r="Q15" s="75">
        <f t="shared" si="4"/>
        <v>52406.62</v>
      </c>
      <c r="R15" s="77">
        <f t="shared" si="9"/>
        <v>0</v>
      </c>
      <c r="S15" s="85">
        <f t="shared" si="6"/>
        <v>163552</v>
      </c>
      <c r="T15" s="85">
        <f t="shared" si="0"/>
        <v>0</v>
      </c>
      <c r="U15" s="85">
        <f>I15+M15+Q15</f>
        <v>163552</v>
      </c>
      <c r="V15" s="101">
        <f t="shared" si="7"/>
        <v>0</v>
      </c>
      <c r="W15" s="83"/>
      <c r="Z15" s="35"/>
    </row>
    <row r="16" spans="1:27" ht="15.75" thickBot="1">
      <c r="A16" s="25" t="s">
        <v>130</v>
      </c>
      <c r="B16" s="60">
        <f>B15+B14</f>
        <v>790552.38</v>
      </c>
      <c r="C16" s="33">
        <f>SUM(C14:C15)</f>
        <v>317931.1071527531</v>
      </c>
      <c r="D16" s="33">
        <f>SUM(D14:D15)</f>
        <v>272512.37755950267</v>
      </c>
      <c r="E16" s="36">
        <f>SUM(E14:E15)</f>
        <v>317931.1071527531</v>
      </c>
      <c r="F16" s="32">
        <f t="shared" si="1"/>
        <v>908374.59186500893</v>
      </c>
      <c r="G16" s="90">
        <f>SUM(G14:G15)</f>
        <v>908375</v>
      </c>
      <c r="H16" s="91">
        <v>0</v>
      </c>
      <c r="I16" s="90">
        <f>SUM(I14:I15)</f>
        <v>908375</v>
      </c>
      <c r="J16" s="77">
        <f t="shared" si="2"/>
        <v>0</v>
      </c>
      <c r="K16" s="102">
        <f t="shared" ref="K16:L16" si="11">K14+K15</f>
        <v>790552.38</v>
      </c>
      <c r="L16" s="67">
        <f t="shared" si="11"/>
        <v>-9.0949470177292824E-13</v>
      </c>
      <c r="M16" s="102">
        <f>M14+M15</f>
        <v>790552.38</v>
      </c>
      <c r="N16" s="96">
        <f t="shared" ref="N16" si="12">(M16-K16)/K16</f>
        <v>0</v>
      </c>
      <c r="O16" s="34">
        <f t="shared" ref="O16" si="13">O14+O15</f>
        <v>801072.62</v>
      </c>
      <c r="P16" s="34">
        <v>0</v>
      </c>
      <c r="Q16" s="75">
        <f t="shared" si="4"/>
        <v>801072.62</v>
      </c>
      <c r="R16" s="77">
        <f t="shared" si="9"/>
        <v>0</v>
      </c>
      <c r="S16" s="100">
        <f>G16+K16+O16</f>
        <v>2500000</v>
      </c>
      <c r="T16" s="100">
        <f t="shared" si="0"/>
        <v>-9.0949470177292824E-13</v>
      </c>
      <c r="U16" s="100">
        <f>I16+M16+Q16</f>
        <v>2500000</v>
      </c>
      <c r="V16" s="101">
        <f t="shared" si="7"/>
        <v>0</v>
      </c>
      <c r="W16" s="83"/>
      <c r="X16" s="24"/>
      <c r="Y16" s="24"/>
      <c r="Z16" s="35"/>
    </row>
    <row r="17" spans="3:22">
      <c r="C17" s="12"/>
      <c r="E17" s="37">
        <f>C16+D16+E16</f>
        <v>908374.59186500893</v>
      </c>
      <c r="F17" s="89"/>
      <c r="G17" s="89"/>
      <c r="H17" s="92"/>
      <c r="I17" s="89"/>
      <c r="J17" s="89"/>
      <c r="K17" s="68"/>
      <c r="M17" s="29"/>
      <c r="N17" s="37">
        <v>790552</v>
      </c>
      <c r="O17" s="31"/>
      <c r="P17" s="26"/>
      <c r="Q17" s="87"/>
      <c r="R17" s="31"/>
    </row>
    <row r="18" spans="3:22">
      <c r="M18" s="26"/>
      <c r="N18" s="26"/>
    </row>
    <row r="19" spans="3:22">
      <c r="E19" s="35"/>
      <c r="F19" s="35"/>
      <c r="G19" s="35"/>
      <c r="H19" s="35"/>
      <c r="I19" s="35"/>
      <c r="J19" s="35"/>
      <c r="K19" s="35"/>
      <c r="M19" s="35"/>
      <c r="N19" s="44"/>
      <c r="V19" s="30"/>
    </row>
    <row r="20" spans="3:22">
      <c r="E20" s="12"/>
      <c r="F20" s="12">
        <f>+F14+F15</f>
        <v>908374.59186500893</v>
      </c>
      <c r="G20" s="12"/>
      <c r="H20" s="12"/>
      <c r="I20" s="12"/>
      <c r="J20" s="12"/>
      <c r="K20" s="12"/>
      <c r="L20" s="35"/>
      <c r="M20" s="35"/>
      <c r="N20" s="35"/>
      <c r="O20" s="35"/>
      <c r="R20" s="35"/>
      <c r="S20" s="35"/>
    </row>
    <row r="21" spans="3:22">
      <c r="D21" s="35"/>
      <c r="N21" s="35"/>
      <c r="O21" s="35"/>
      <c r="S21" s="35"/>
    </row>
    <row r="22" spans="3:22">
      <c r="D22" s="35"/>
      <c r="N22" s="35"/>
      <c r="T22" s="35"/>
    </row>
    <row r="23" spans="3:22">
      <c r="D23" s="35"/>
    </row>
    <row r="24" spans="3:22">
      <c r="E24">
        <v>848948</v>
      </c>
    </row>
    <row r="26" spans="3:22">
      <c r="E26">
        <v>59426</v>
      </c>
      <c r="F26">
        <f>E24+E26</f>
        <v>908374</v>
      </c>
    </row>
    <row r="27" spans="3:22" ht="38.85" customHeight="1">
      <c r="P27" s="38"/>
      <c r="Q27" s="38"/>
      <c r="S27" s="38"/>
    </row>
    <row r="28" spans="3:22">
      <c r="P28" s="26"/>
      <c r="T28" s="26"/>
    </row>
    <row r="29" spans="3:22">
      <c r="P29" s="26"/>
      <c r="T29" s="26"/>
    </row>
    <row r="30" spans="3:22">
      <c r="P30" s="26"/>
      <c r="T30" s="26"/>
    </row>
    <row r="31" spans="3:22">
      <c r="P31" s="26"/>
      <c r="T31" s="26"/>
    </row>
    <row r="32" spans="3:22">
      <c r="P32" s="26"/>
      <c r="T32" s="26"/>
    </row>
    <row r="33" spans="12:20">
      <c r="P33" s="26"/>
      <c r="T33" s="26"/>
    </row>
    <row r="34" spans="12:20">
      <c r="P34" s="26"/>
      <c r="T34" s="26"/>
    </row>
    <row r="35" spans="12:20">
      <c r="P35" s="26"/>
      <c r="T35" s="26"/>
    </row>
    <row r="36" spans="12:20">
      <c r="P36" s="26"/>
      <c r="T36" s="26"/>
    </row>
    <row r="37" spans="12:20">
      <c r="P37" s="26"/>
    </row>
    <row r="39" spans="12:20">
      <c r="L39" s="38"/>
    </row>
  </sheetData>
  <mergeCells count="5">
    <mergeCell ref="S5:W5"/>
    <mergeCell ref="K5:N5"/>
    <mergeCell ref="A5:A6"/>
    <mergeCell ref="O5:R5"/>
    <mergeCell ref="C5:J5"/>
  </mergeCells>
  <pageMargins left="0.7" right="0.7" top="0.75" bottom="0.75" header="0.3" footer="0.3"/>
  <pageSetup scale="5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depense  par activites </vt:lpstr>
      <vt:lpstr>Sheet2</vt:lpstr>
      <vt:lpstr>'depense  par activites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User</cp:lastModifiedBy>
  <cp:lastPrinted>2020-05-26T16:48:32Z</cp:lastPrinted>
  <dcterms:created xsi:type="dcterms:W3CDTF">2017-11-15T21:17:43Z</dcterms:created>
  <dcterms:modified xsi:type="dcterms:W3CDTF">2020-11-26T12:00:16Z</dcterms:modified>
</cp:coreProperties>
</file>