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ppoline.uwimbabazi\Desktop\PBF Secretariat\PBF secretariat\Prodocs\Deuxieme tranche\Projet Lac\"/>
    </mc:Choice>
  </mc:AlternateContent>
  <xr:revisionPtr revIDLastSave="0" documentId="8_{A334EF5D-422C-4394-8CE5-19D8A9E7C61C}" xr6:coauthVersionLast="44" xr6:coauthVersionMax="44" xr10:uidLastSave="{00000000-0000-0000-0000-000000000000}"/>
  <bookViews>
    <workbookView xWindow="-110" yWindow="-110" windowWidth="19420" windowHeight="10420" activeTab="2" xr2:uid="{00000000-000D-0000-FFFF-FFFF00000000}"/>
  </bookViews>
  <sheets>
    <sheet name="ACTIVITES" sheetId="1" r:id="rId1"/>
    <sheet name="OPERATIONAL BUDGET" sheetId="2" r:id="rId2"/>
    <sheet name="AGENCIES INTERN COST BUDGET" sheetId="3" r:id="rId3"/>
  </sheets>
  <definedNames>
    <definedName name="_xlnm.Print_Area" localSheetId="2">'AGENCIES INTERN COST BUDGET'!$A$1:$L$23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3" l="1"/>
  <c r="O7" i="3"/>
  <c r="O16" i="3"/>
  <c r="O15" i="3"/>
  <c r="O14" i="3"/>
  <c r="O13" i="3"/>
  <c r="O12" i="3"/>
  <c r="O11" i="3"/>
  <c r="O10" i="3"/>
  <c r="O9" i="3"/>
  <c r="E31" i="2"/>
  <c r="C25" i="2" l="1"/>
  <c r="C24" i="2"/>
  <c r="C19" i="2"/>
  <c r="C15" i="2"/>
  <c r="C16" i="2"/>
  <c r="C17" i="2"/>
  <c r="C18" i="2"/>
  <c r="C14" i="2"/>
  <c r="C11" i="2"/>
  <c r="C12" i="2"/>
  <c r="C13" i="2"/>
  <c r="C10" i="2"/>
  <c r="F13" i="3" l="1"/>
  <c r="P13" i="3" l="1"/>
  <c r="G13" i="3" s="1"/>
  <c r="P10" i="3"/>
  <c r="P12" i="3"/>
  <c r="F11" i="3"/>
  <c r="G11" i="3" s="1"/>
  <c r="F9" i="3"/>
  <c r="G9" i="3" s="1"/>
  <c r="F8" i="3"/>
  <c r="G8" i="3" s="1"/>
  <c r="G12" i="3" l="1"/>
  <c r="F10" i="3"/>
  <c r="G10" i="3" s="1"/>
  <c r="P7" i="3"/>
  <c r="P14" i="3" s="1"/>
  <c r="P16" i="3" s="1"/>
  <c r="F7" i="3" l="1"/>
  <c r="G7" i="3" s="1"/>
  <c r="F25" i="2"/>
  <c r="F26" i="2"/>
  <c r="F23" i="2"/>
  <c r="C23" i="2" s="1"/>
  <c r="F28" i="2"/>
  <c r="F29" i="2" l="1"/>
  <c r="F30" i="2" s="1"/>
  <c r="F14" i="3"/>
  <c r="F15" i="3" l="1"/>
  <c r="F31" i="2"/>
  <c r="G14" i="3" l="1"/>
  <c r="F16" i="3"/>
  <c r="G15" i="3" l="1"/>
  <c r="G16" i="3" s="1"/>
  <c r="C12" i="3"/>
  <c r="B12" i="3"/>
  <c r="C11" i="3"/>
  <c r="B11" i="3"/>
  <c r="C10" i="3"/>
  <c r="B10" i="3"/>
  <c r="C9" i="3"/>
  <c r="B9" i="3"/>
  <c r="C8" i="3"/>
  <c r="B8" i="3"/>
  <c r="C7" i="3"/>
  <c r="B7" i="3"/>
  <c r="M7" i="3" l="1"/>
  <c r="J7" i="3"/>
  <c r="N9" i="3"/>
  <c r="I7" i="3"/>
  <c r="N7" i="3" s="1"/>
  <c r="I12" i="3"/>
  <c r="N12" i="3" s="1"/>
  <c r="G24" i="2"/>
  <c r="H8" i="3"/>
  <c r="M8" i="3" s="1"/>
  <c r="I8" i="3"/>
  <c r="N8" i="3" s="1"/>
  <c r="H9" i="3"/>
  <c r="M9" i="3" s="1"/>
  <c r="I9" i="3"/>
  <c r="H10" i="3"/>
  <c r="J10" i="3" s="1"/>
  <c r="I10" i="3"/>
  <c r="N10" i="3" s="1"/>
  <c r="H11" i="3"/>
  <c r="M11" i="3" s="1"/>
  <c r="I11" i="3"/>
  <c r="N11" i="3" s="1"/>
  <c r="H12" i="3"/>
  <c r="M12" i="3" s="1"/>
  <c r="M10" i="3" l="1"/>
  <c r="K10" i="3"/>
  <c r="K7" i="3"/>
  <c r="K12" i="3"/>
  <c r="J12" i="3"/>
  <c r="K9" i="3"/>
  <c r="J9" i="3"/>
  <c r="J8" i="3"/>
  <c r="G26" i="2"/>
  <c r="E26" i="2"/>
  <c r="D26" i="2"/>
  <c r="G20" i="2"/>
  <c r="D20" i="2"/>
  <c r="E13" i="2"/>
  <c r="C26" i="2" l="1"/>
  <c r="C20" i="2"/>
  <c r="B13" i="3"/>
  <c r="C13" i="3"/>
  <c r="H13" i="3"/>
  <c r="L9" i="3"/>
  <c r="D29" i="2"/>
  <c r="D30" i="2" s="1"/>
  <c r="L12" i="3"/>
  <c r="L10" i="3"/>
  <c r="I13" i="3"/>
  <c r="G29" i="2"/>
  <c r="G30" i="2" s="1"/>
  <c r="G31" i="2" s="1"/>
  <c r="J11" i="3"/>
  <c r="E20" i="2"/>
  <c r="E13" i="3" s="1"/>
  <c r="L7" i="3"/>
  <c r="K8" i="3"/>
  <c r="L8" i="3" s="1"/>
  <c r="K11" i="3"/>
  <c r="N13" i="3" l="1"/>
  <c r="M13" i="3"/>
  <c r="B14" i="3"/>
  <c r="C29" i="2"/>
  <c r="C30" i="2" s="1"/>
  <c r="C31" i="2" s="1"/>
  <c r="I14" i="3"/>
  <c r="E14" i="3"/>
  <c r="D13" i="3"/>
  <c r="D14" i="3" s="1"/>
  <c r="D15" i="3" s="1"/>
  <c r="K13" i="3"/>
  <c r="K14" i="3" s="1"/>
  <c r="L11" i="3"/>
  <c r="D31" i="2"/>
  <c r="H14" i="3"/>
  <c r="H15" i="3" s="1"/>
  <c r="C14" i="3"/>
  <c r="E29" i="2"/>
  <c r="C15" i="3" l="1"/>
  <c r="N14" i="3"/>
  <c r="M14" i="3"/>
  <c r="B15" i="3"/>
  <c r="M15" i="3" s="1"/>
  <c r="I15" i="3"/>
  <c r="I16" i="3" s="1"/>
  <c r="E15" i="3"/>
  <c r="J13" i="3"/>
  <c r="L13" i="3" s="1"/>
  <c r="E30" i="2"/>
  <c r="J15" i="3" l="1"/>
  <c r="B16" i="3"/>
  <c r="N15" i="3"/>
  <c r="J14" i="3"/>
  <c r="D16" i="3"/>
  <c r="H16" i="3"/>
  <c r="C16" i="3"/>
  <c r="N16" i="3" s="1"/>
  <c r="J16" i="3" l="1"/>
  <c r="M16" i="3"/>
  <c r="L14" i="3"/>
  <c r="E16" i="3"/>
  <c r="K15" i="3"/>
  <c r="K16" i="3" s="1"/>
  <c r="L16" i="3" l="1"/>
  <c r="L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Amélie Passariello</author>
  </authors>
  <commentList>
    <comment ref="C12" authorId="0" shapeId="0" xr:uid="{00000000-0006-0000-0000-000001000000}">
      <text>
        <r>
          <rPr>
            <sz val="11"/>
            <color indexed="8"/>
            <rFont val="Helvetica"/>
          </rPr>
          <t>Amélie Passariello:
Merging with intercommunautaire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tc={25F1A316-930C-4924-B0F3-DDB5035D28DC}</author>
  </authors>
  <commentList>
    <comment ref="I31" authorId="0" shapeId="0" xr:uid="{25F1A316-930C-4924-B0F3-DDB5035D28DC}">
      <text>
        <t>[Threaded comment]
Your version of Excel allows you to read this threaded comment; however, any edits to it will get removed if the file is opened in a newer version of Excel. Learn more: https://go.microsoft.com/fwlink/?linkid=870924
Comment:
    Revoir ce montant en enlevant les donnees de la colonne de l'ancien budget car le montant global normal est $2,488,906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Ndolembai Njesada</author>
    <author>Tatjana PopovicManenti (TCE)</author>
  </authors>
  <commentList>
    <comment ref="A8" authorId="0" shapeId="0" xr:uid="{00000000-0006-0000-0200-000001000000}">
      <text>
        <r>
          <rPr>
            <sz val="11"/>
            <color indexed="8"/>
            <rFont val="Helvetica"/>
          </rPr>
          <t xml:space="preserve">Ndolembai Njesada:
Etant donne la presence du HCR a Bagasola et du FAO a Bol, l'OIM propose d'utiliser les bureaux disponible. Coût de maintenance (générateur, internet, etc) a partager. </t>
        </r>
      </text>
    </comment>
    <comment ref="F8" authorId="1" shapeId="0" xr:uid="{00000000-0006-0000-0200-000002000000}">
      <text>
        <r>
          <rPr>
            <b/>
            <sz val="9"/>
            <color indexed="81"/>
            <rFont val="Tahoma"/>
            <family val="2"/>
          </rPr>
          <t>Tatjana PopovicManenti (TCE):</t>
        </r>
        <r>
          <rPr>
            <sz val="9"/>
            <color indexed="81"/>
            <rFont val="Tahoma"/>
            <family val="2"/>
          </rPr>
          <t xml:space="preserve">
</t>
        </r>
        <r>
          <rPr>
            <sz val="10"/>
            <color indexed="81"/>
            <rFont val="Tahoma"/>
            <family val="2"/>
          </rPr>
          <t>as these costs  (USD 10 000) are meant to be used for the procurement of  furniture and IT equipment they  should be moved to category 3 ( please see my comment in the tab "Budget FAO REV-OP")</t>
        </r>
      </text>
    </comment>
  </commentList>
</comments>
</file>

<file path=xl/sharedStrings.xml><?xml version="1.0" encoding="utf-8"?>
<sst xmlns="http://schemas.openxmlformats.org/spreadsheetml/2006/main" count="138" uniqueCount="120">
  <si>
    <t>RESULTATS</t>
  </si>
  <si>
    <t>PRODUITS</t>
  </si>
  <si>
    <t>INDICATEURS</t>
  </si>
  <si>
    <t>ACTIVITES</t>
  </si>
  <si>
    <t>Moyen de Verification/Frequence de collecte</t>
  </si>
  <si>
    <t>Etapes</t>
  </si>
  <si>
    <t>Les rapports soumis</t>
  </si>
  <si>
    <t>Deux (2) mois apres le debut du projet</t>
  </si>
  <si>
    <t>Nombre de plan d'action elabore et mis en oeuvre dans la differentes communautes</t>
  </si>
  <si>
    <t>Définition avec les communautés des mécanismes et plans d’action pour prévenir et résoudre les conflits d’une manière juste et équitable.</t>
  </si>
  <si>
    <t>Plan d'action soumis/ prise de contact par communautes pour evaluer la mise en oeuvre.</t>
  </si>
  <si>
    <t>Mensuel</t>
  </si>
  <si>
    <t>Nombre de jeunes et femmes engages pour le dialogue de paix constructif et inclusif</t>
  </si>
  <si>
    <t>Liste de nominatives des femmes et des jeunes engages/  prise de contact telephonique</t>
  </si>
  <si>
    <t>Nombre d'activitees menees par les association pour la prevention des conflits</t>
  </si>
  <si>
    <t>Rapport d'activites soumis/ prise de contact regulier avec les presidents des associations</t>
  </si>
  <si>
    <t xml:space="preserve">Compte-rendu et rapport des sessions du conseil communautaire / chaque session  </t>
  </si>
  <si>
    <t>Création et formation de 1 conseil intercommunautaire (y compris les autochtones, les réfugiés, les PDIs et retournés PDIs et retournés)</t>
  </si>
  <si>
    <t xml:space="preserve">Compte-rendu et rapport des sessions du conseil inter-communautaire / chaque session  </t>
  </si>
  <si>
    <t>Bi-mensuel</t>
  </si>
  <si>
    <r>
      <rPr>
        <sz val="12"/>
        <color indexed="8"/>
        <rFont val="Calibri"/>
        <family val="2"/>
      </rPr>
      <t>a)</t>
    </r>
    <r>
      <rPr>
        <sz val="7"/>
        <color indexed="8"/>
        <rFont val="Times New Roman"/>
        <family val="1"/>
      </rPr>
      <t xml:space="preserve">     </t>
    </r>
    <r>
      <rPr>
        <u/>
        <sz val="12"/>
        <color indexed="8"/>
        <rFont val="Calibri"/>
        <family val="2"/>
      </rPr>
      <t>Produit 1</t>
    </r>
    <r>
      <rPr>
        <sz val="12"/>
        <color indexed="8"/>
        <rFont val="Calibri"/>
        <family val="2"/>
      </rPr>
      <t xml:space="preserve"> : Accroitre les capacités des communautés à développer des moyens d’existence durable tout en réduisant les risques de conflits inter et intracommunautaires à travers la formation communautaire sur l’identification des initiatives productives liées la pêche, l’élevage et l’agriculture, et l’appui financier et materiel. </t>
    </r>
  </si>
  <si>
    <t>Pourcentage d'augmentation de la productivite (Rendement)</t>
  </si>
  <si>
    <t>Renforcement des initiatives productives sur l’agriculture durable (production agricole, élevage et pêche) à travers un appui technique et matériel</t>
  </si>
  <si>
    <t>Rapport de suivi des activites de groupement/ a chaque reception des rapports</t>
  </si>
  <si>
    <t>% d’augmentation des revenus des femmes ciblées (désagrégé par tranche d’âge)</t>
  </si>
  <si>
    <t>Semestrielle</t>
  </si>
  <si>
    <t>% de femmes engagées dans l'utilisation des energies alternatives et des bonnes pratiques</t>
  </si>
  <si>
    <t>Renforcement des capacités des communautés et des jeunes dans la gestion des ressources naturelles et de l’énergie</t>
  </si>
  <si>
    <t>Rapport de suivi des formations/ contact avec les personnes formées</t>
  </si>
  <si>
    <t>Trimestrielle</t>
  </si>
  <si>
    <t>Staffing (15%)</t>
  </si>
  <si>
    <t>M&amp;E (6.5%)</t>
  </si>
  <si>
    <t>Support Cost (7%)</t>
  </si>
  <si>
    <t>TOTAL GENERAL</t>
  </si>
  <si>
    <t>Annex D - PBF project budget</t>
  </si>
  <si>
    <t>Note: If this is a budget revision, insert extra columns to show budget changes.</t>
  </si>
  <si>
    <t>Table 1 - PBF project budget by Outcome, output and activity</t>
  </si>
  <si>
    <t>Outcome/ Output number</t>
  </si>
  <si>
    <t>Outcome/ output/ activity formulation:</t>
  </si>
  <si>
    <t>TOTAL BUDGET</t>
  </si>
  <si>
    <r>
      <rPr>
        <b/>
        <sz val="12"/>
        <color indexed="8"/>
        <rFont val="Times New Roman"/>
        <family val="1"/>
      </rPr>
      <t>IOM Budget</t>
    </r>
    <r>
      <rPr>
        <sz val="12"/>
        <color indexed="8"/>
        <rFont val="Times New Roman"/>
        <family val="1"/>
      </rPr>
      <t xml:space="preserve">  (not including staff, general operating costs and indirect fee) </t>
    </r>
  </si>
  <si>
    <r>
      <rPr>
        <b/>
        <sz val="12"/>
        <color indexed="8"/>
        <rFont val="Times New Roman"/>
        <family val="1"/>
      </rPr>
      <t xml:space="preserve">FAO Budget </t>
    </r>
    <r>
      <rPr>
        <sz val="12"/>
        <color indexed="8"/>
        <rFont val="Times New Roman"/>
        <family val="1"/>
      </rPr>
      <t xml:space="preserve"> (not including staff, general operating costs and indirect fee)</t>
    </r>
  </si>
  <si>
    <r>
      <rPr>
        <b/>
        <sz val="12"/>
        <color indexed="8"/>
        <rFont val="Times New Roman"/>
        <family val="1"/>
      </rPr>
      <t xml:space="preserve">UNHCR Budget  </t>
    </r>
    <r>
      <rPr>
        <sz val="12"/>
        <color indexed="8"/>
        <rFont val="Times New Roman"/>
        <family val="1"/>
      </rPr>
      <t>(not including staff, general operating costs and indirect fee)</t>
    </r>
  </si>
  <si>
    <t>Percent of budget for each output reserved for direct action on gender equality (if any):</t>
  </si>
  <si>
    <t>Any remarks (e.g. on types of inputs provided or budget justification, for example if high TA or travel costs)</t>
  </si>
  <si>
    <r>
      <rPr>
        <b/>
        <sz val="12"/>
        <color indexed="8"/>
        <rFont val="Times New Roman"/>
        <family val="1"/>
      </rPr>
      <t>OUTCOME 1: 1500</t>
    </r>
    <r>
      <rPr>
        <b/>
        <sz val="12"/>
        <color indexed="12"/>
        <rFont val="Calibri"/>
        <family val="2"/>
      </rPr>
      <t xml:space="preserve"> </t>
    </r>
    <r>
      <rPr>
        <b/>
        <sz val="12"/>
        <color indexed="8"/>
        <rFont val="Calibri"/>
        <family val="2"/>
      </rPr>
      <t>jeunes hommes et femmes contribuent à la mise œuvre d’un système de prévention et des gestions des conflits communautaires et permet la réduction et la gestion pacifique des conflits communautaires et intercommunautaires dans les 10 communautés cibles.</t>
    </r>
  </si>
  <si>
    <t>Output 1.1:</t>
  </si>
  <si>
    <t xml:space="preserve">Analyse participative et inclusive de chaque type de conflits en particulier ceux liés à l’utilisation des ressources naturelles et aux conflits sociaux. </t>
  </si>
  <si>
    <t>Activity 1.1.1:</t>
  </si>
  <si>
    <t>Activity 1.1.2:</t>
  </si>
  <si>
    <t>Output 1.2:</t>
  </si>
  <si>
    <t xml:space="preserve">Processus de dialogue de paix et de renforcement de capacité dans les 10 communautés cibles. </t>
  </si>
  <si>
    <t>Activity 1.2.1:</t>
  </si>
  <si>
    <t>Activity 1.2.2:</t>
  </si>
  <si>
    <t>Création et formation des associations de clubs d’écoute pour la prévention des conflits potentiels à travers la sensibilisation, les causeries éducatives, recueil des plaintes, orientation, etc.</t>
  </si>
  <si>
    <t>Activity 1.2.3:</t>
  </si>
  <si>
    <t>Output 1.3:</t>
  </si>
  <si>
    <r>
      <rPr>
        <b/>
        <sz val="11"/>
        <color indexed="8"/>
        <rFont val="Calibri"/>
        <family val="2"/>
      </rPr>
      <t>Établissement de conseils communautaires et intercommunautaire de médiation pour la prévention et la résolution des conflits pour le maintien de la paix.</t>
    </r>
  </si>
  <si>
    <t>Activity 1.3.1:</t>
  </si>
  <si>
    <t>Activity 1.3.2:</t>
  </si>
  <si>
    <t>Activity 1.3.3:</t>
  </si>
  <si>
    <r>
      <rPr>
        <sz val="11"/>
        <color indexed="8"/>
        <rFont val="Times New Roman"/>
        <family val="1"/>
      </rPr>
      <t>Création et formation de x conseil régional</t>
    </r>
  </si>
  <si>
    <t xml:space="preserve">TOTAL $ FOR OUTCOME 1: </t>
  </si>
  <si>
    <t>Output 2.1:</t>
  </si>
  <si>
    <t>Activity 2.1.1:</t>
  </si>
  <si>
    <t>Renforcement des initiatives productives sur l’agriculture durable (production agricole, élevage et pêche)</t>
  </si>
  <si>
    <t>Activity 2.1.2:</t>
  </si>
  <si>
    <t>Activity 2.1.3:</t>
  </si>
  <si>
    <t>Renforcement des capacités des communautés et associations de jeunes dans la gestion des ressources naturelles et de l’énergie</t>
  </si>
  <si>
    <t xml:space="preserve">TOTAL $ FOR OUTCOME 2:  </t>
  </si>
  <si>
    <t>Project personnel costs if not included in activities above (15%)</t>
  </si>
  <si>
    <t>Project M&amp;E budget</t>
  </si>
  <si>
    <t xml:space="preserve"> </t>
  </si>
  <si>
    <t xml:space="preserve">SUB-TOTAL PROJECT BUDGET: </t>
  </si>
  <si>
    <t>Indirect support costs (7%):                                                                  168,000.00</t>
  </si>
  <si>
    <t xml:space="preserve">TOTAL PROJECT BUDGET:                            </t>
  </si>
  <si>
    <t>TOTAL PAR AGENCE</t>
  </si>
  <si>
    <t>Table 2 - PBF project budget by UN cost category</t>
  </si>
  <si>
    <t>CATEGORIES</t>
  </si>
  <si>
    <t>Amount Recipient  Agency IOM</t>
  </si>
  <si>
    <t>Amount Recipient  Agency FAO</t>
  </si>
  <si>
    <t>Amount Recipient  Agency UNHCR</t>
  </si>
  <si>
    <t>Total tranche 1</t>
  </si>
  <si>
    <t>Total tranche 2</t>
  </si>
  <si>
    <t>PROJECT TOTAL</t>
  </si>
  <si>
    <t>Tranche 1 (70%)</t>
  </si>
  <si>
    <t>Tranche 2 (30%)</t>
  </si>
  <si>
    <t>1. Staff and other personnel</t>
  </si>
  <si>
    <t>2. Supplies, Commodities, Materials</t>
  </si>
  <si>
    <t>3. Equipment, Vehicles, and Furniture (including Depreciation)</t>
  </si>
  <si>
    <t>4. Contractual services</t>
  </si>
  <si>
    <t>5.Travel/DSA</t>
  </si>
  <si>
    <t>6. Transfers and Grants to Counterparts</t>
  </si>
  <si>
    <t>7. General Operating and other Direct Costs</t>
  </si>
  <si>
    <t>Sub-Total Project Costs</t>
  </si>
  <si>
    <t>8. Indirect Support Costs (must be 7%)</t>
  </si>
  <si>
    <t>TOTAL</t>
  </si>
  <si>
    <t>\</t>
  </si>
  <si>
    <r>
      <t>a)</t>
    </r>
    <r>
      <rPr>
        <sz val="7"/>
        <color indexed="8"/>
        <rFont val="Times New Roman"/>
        <family val="1"/>
      </rPr>
      <t xml:space="preserve">     </t>
    </r>
    <r>
      <rPr>
        <u/>
        <sz val="12"/>
        <color indexed="8"/>
        <rFont val="Calibri"/>
        <family val="2"/>
      </rPr>
      <t>Produit 1</t>
    </r>
    <r>
      <rPr>
        <sz val="12"/>
        <color indexed="8"/>
        <rFont val="Calibri"/>
        <family val="2"/>
      </rPr>
      <t xml:space="preserve"> : Analyse participative et inclusive de chaque type de conflits en particulier ceux liés à l’utilisation des ressources naturelles et aux conflits sociaux. L’analyse est réalisée avec des groupements et associations de la communauté locale. </t>
    </r>
  </si>
  <si>
    <r>
      <t>b)</t>
    </r>
    <r>
      <rPr>
        <sz val="7"/>
        <color indexed="8"/>
        <rFont val="Times New Roman"/>
        <family val="1"/>
      </rPr>
      <t xml:space="preserve">     </t>
    </r>
    <r>
      <rPr>
        <u/>
        <sz val="12"/>
        <color indexed="8"/>
        <rFont val="Calibri"/>
        <family val="2"/>
      </rPr>
      <t>Produit 2</t>
    </r>
    <r>
      <rPr>
        <sz val="12"/>
        <color indexed="8"/>
        <rFont val="Calibri"/>
        <family val="2"/>
      </rPr>
      <t> : Processus de dialogue de paix, de mobilisation sociale et de renforcement de capacité dans les 10 communautés cibles.</t>
    </r>
  </si>
  <si>
    <t>Former des associations pour développer des activités de sensibilisation et augmenter l’expérience collective des 10 communautés de Bol et Baga Sola réunit en  associations de club d’écoute qui organiseront les causeries éducatives à travers le théâtre communautaire, les crieurs publics ou autre mesure créative comme proposé et planifiée par les associations elles-mêmes.</t>
  </si>
  <si>
    <r>
      <t>c)</t>
    </r>
    <r>
      <rPr>
        <sz val="7"/>
        <color indexed="8"/>
        <rFont val="Times New Roman"/>
        <family val="1"/>
      </rPr>
      <t xml:space="preserve">      </t>
    </r>
    <r>
      <rPr>
        <u/>
        <sz val="12"/>
        <color indexed="8"/>
        <rFont val="Calibri"/>
        <family val="2"/>
      </rPr>
      <t>Produit 3</t>
    </r>
    <r>
      <rPr>
        <sz val="12"/>
        <color indexed="8"/>
        <rFont val="Calibri"/>
        <family val="2"/>
      </rPr>
      <t xml:space="preserve"> : Sur la base des mécanismes communautaires existant, des conseils locaux communautaires et un conseil intercommunautaire de médiation pour la prévention et la résolution des conflits pour la consolidation de la paix seront mis en place. Ces conseils incluront des membres des populations hôtes, des réfugiés et personnes déplacées internes, des PDI retournés et des retournés ainsi que les autorités locales ainsi que les représentants des ministères concernés. </t>
    </r>
  </si>
  <si>
    <t>Création et formation en méthode de la médiation et l’utilisation d’un langage non-violent de 20 conseils communautaires incluant des membres des populations hôtes, des réfugiés et personnes déplacées internes, des PDI retournés et des retournés ainsi que les autorités locales ainsi que les représentants des ministères concernés</t>
  </si>
  <si>
    <r>
      <t>1.</t>
    </r>
    <r>
      <rPr>
        <b/>
        <sz val="7"/>
        <color indexed="8"/>
        <rFont val="Times New Roman"/>
        <family val="1"/>
      </rPr>
      <t xml:space="preserve">     </t>
    </r>
    <r>
      <rPr>
        <b/>
        <sz val="12"/>
        <color indexed="8"/>
        <rFont val="Calibri"/>
        <family val="2"/>
      </rPr>
      <t>Résultat 1 : A la fin du projet, entre 1000 et 1500 jeunes hommes et femmes y compris les autochtones, les réfugiés, les PDI et les retournés par communauté contribuent à la mise œuvre d’un système de prévention et de gestion des conflits communautaires permettant la réduction et la gestion pacifique des conflits communautaires et intercommunautaires dans les 10 communautés cibles.</t>
    </r>
  </si>
  <si>
    <t xml:space="preserve">La création de comités pour analyser les conflits et pour évaluer la capacité de gestion pour ces conflits incluant différentes communautés (populations hôtes, réfugiés, personnes déplacées internes, PDI retournés et retournés) ainsi qu'avec les autorités locales ; </t>
  </si>
  <si>
    <t>Engager 1500 jeunes et femmes y compris les populations hôtes, personnes déplacée internes, PDI retournés et retournés, des leaders religieux et communautaires et les radios communautaires par la création et formation de 20 associations de clubs d’écoute (soit 2 clubs par communautés) pour la prévention des conflits potentiels à travers la formations dans la médiation des différents types de conflits, l’utilisation d’un langage non-violente, des activités pour la sensibilisation des communautés, les causeries éducatives, le recueil des plaintes, l’accompagnement des associations pendant les premiers mois par des experts.</t>
  </si>
  <si>
    <r>
      <t>Création et formation de 1 conseil intercommunautaire</t>
    </r>
    <r>
      <rPr>
        <sz val="11"/>
        <color indexed="8"/>
        <rFont val="Calibri"/>
        <family val="2"/>
      </rPr>
      <t xml:space="preserve"> (y compris les populations hôtes, réfugiés, personnes déplacées internes, PDI retournés et retournés)</t>
    </r>
  </si>
  <si>
    <r>
      <t>2.</t>
    </r>
    <r>
      <rPr>
        <b/>
        <sz val="7"/>
        <color indexed="8"/>
        <rFont val="Times New Roman"/>
        <family val="1"/>
      </rPr>
      <t xml:space="preserve">     </t>
    </r>
    <r>
      <rPr>
        <b/>
        <sz val="12"/>
        <color indexed="8"/>
        <rFont val="Calibri"/>
        <family val="2"/>
      </rPr>
      <t>Résultat 2 : Développer des moyens d’existence alternatifs durables pour adapter les 10 communautés cibles y compris les autochtones, les réfugiés et les PDI retournés et des retournés au changement environnemental, promouvant la cohésion sociale et la pérennisation de la paix.</t>
    </r>
  </si>
  <si>
    <r>
      <t>OUTCOME 2: Développer des moyens d’existence alternatifs durables pour adapter les 10 communautés cibles y compris les autochtones, les réfugiés et les PDI retournés et des retournés au changement environnemental, promouvant la cohésion sociale et la pérennisation de la paix.</t>
    </r>
    <r>
      <rPr>
        <b/>
        <sz val="12"/>
        <color indexed="8"/>
        <rFont val="Calibri"/>
        <family val="2"/>
      </rPr>
      <t xml:space="preserve">
</t>
    </r>
  </si>
  <si>
    <t>Accroitre les capacités des communautés à développer des moyens d’existence durables tout en réduisant les risques de conflits inter et intracommunautaires à travers la formation communautaire sur la promotion des initiatives productives liées la pêche, l’élevage et l’agriculture, et l’appui technique et financier.</t>
  </si>
  <si>
    <t xml:space="preserve">Appuyer les communautés et les femmes à travers une dotation financière, l’épargne et l’accès aux services financiers pour la réalisation d’activités génératrices de revenus; les activités suivantes seront mises en œuvre </t>
  </si>
  <si>
    <t>Appuyer les communautés et les femmes à travers une dotation financière, l’épargne et l’accès aux services financiers pour la réalisation d’activités génératrices de revenus.</t>
  </si>
  <si>
    <t>FAO revised</t>
  </si>
  <si>
    <r>
      <rPr>
        <b/>
        <sz val="12"/>
        <color indexed="8"/>
        <rFont val="Times New Roman"/>
        <family val="1"/>
      </rPr>
      <t>FAO Budget  Amendé</t>
    </r>
    <r>
      <rPr>
        <sz val="12"/>
        <color indexed="8"/>
        <rFont val="Times New Roman"/>
        <family val="1"/>
      </rPr>
      <t xml:space="preserve"> (not including staff, general operating costs and indirect fee)</t>
    </r>
  </si>
  <si>
    <r>
      <t xml:space="preserve">Nombre de conflits entendus par les conseils inter-communautaires </t>
    </r>
    <r>
      <rPr>
        <sz val="12"/>
        <rFont val="Calibri"/>
        <family val="2"/>
      </rPr>
      <t>et pourcentage de conflits resolus</t>
    </r>
  </si>
  <si>
    <t>Nombre de conflits entendus par les conseils communautaires et pourcentage de conflits resolus</t>
  </si>
  <si>
    <t xml:space="preserve">Nombre de rapport d'evaluation produit et partage avec toutes les parties prenantes
Nombre de personnes participants à l’analyse
Base – 0
Pourcentage des femmes et des jeunes participants à l’analyse (15-30)
</t>
  </si>
  <si>
    <t xml:space="preserve">Le développement des mécanismes et des plans d’action avec les communautés pour prévenir et résoudre les conflits d’une manière juste et équitable. </t>
  </si>
  <si>
    <t>Revised budget</t>
  </si>
  <si>
    <t>Colonnes en jaune et les chiffres en rouge indiquent les modifications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</si>
</sst>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0.00"/>
    <numFmt numFmtId="165" formatCode="#,##0%"/>
    <numFmt numFmtId="166" formatCode="&quot; &quot;[$£-809]* #,##0.00&quot; &quot;;&quot;-&quot;[$£-809]* #,##0.00&quot; &quot;;&quot; &quot;[$£-809]* &quot;-&quot;??&quot; &quot;"/>
    <numFmt numFmtId="167" formatCode="&quot; &quot;[$$-409]* #,##0.00&quot; &quot;;&quot; &quot;[$$-409]* \(#,##0.00\);&quot; &quot;[$$-409]* &quot;-&quot;??&quot; &quot;"/>
    <numFmt numFmtId="168" formatCode="[$$-409]#,##0"/>
    <numFmt numFmtId="169" formatCode="[$$-409]#,##0.0"/>
  </numFmts>
  <fonts count="29" x14ac:knownFonts="1">
    <font>
      <sz val="11"/>
      <color indexed="8"/>
      <name val="Calibri"/>
    </font>
    <font>
      <b/>
      <sz val="11"/>
      <color indexed="8"/>
      <name val="Calibri"/>
      <family val="2"/>
    </font>
    <font>
      <b/>
      <sz val="12"/>
      <color indexed="8"/>
      <name val="Calibri"/>
      <family val="2"/>
    </font>
    <font>
      <b/>
      <sz val="7"/>
      <color indexed="8"/>
      <name val="Times New Roman"/>
      <family val="1"/>
    </font>
    <font>
      <sz val="12"/>
      <color indexed="8"/>
      <name val="Calibri"/>
      <family val="2"/>
    </font>
    <font>
      <sz val="7"/>
      <color indexed="8"/>
      <name val="Times New Roman"/>
      <family val="1"/>
    </font>
    <font>
      <u/>
      <sz val="12"/>
      <color indexed="8"/>
      <name val="Calibri"/>
      <family val="2"/>
    </font>
    <font>
      <strike/>
      <sz val="12"/>
      <color indexed="8"/>
      <name val="Calibri"/>
      <family val="2"/>
    </font>
    <font>
      <sz val="11"/>
      <color indexed="8"/>
      <name val="Helvetica"/>
    </font>
    <font>
      <i/>
      <sz val="12"/>
      <color indexed="8"/>
      <name val="Calibri"/>
      <family val="2"/>
    </font>
    <font>
      <b/>
      <sz val="16"/>
      <color indexed="8"/>
      <name val="Calibri"/>
      <family val="2"/>
    </font>
    <font>
      <b/>
      <sz val="14"/>
      <color indexed="8"/>
      <name val="Calibri"/>
      <family val="2"/>
    </font>
    <font>
      <sz val="12"/>
      <color indexed="8"/>
      <name val="Times New Roman"/>
      <family val="1"/>
    </font>
    <font>
      <sz val="11"/>
      <color indexed="8"/>
      <name val="Times New Roman"/>
      <family val="1"/>
    </font>
    <font>
      <b/>
      <sz val="12"/>
      <color indexed="8"/>
      <name val="Times New Roman"/>
      <family val="1"/>
    </font>
    <font>
      <b/>
      <sz val="12"/>
      <color indexed="12"/>
      <name val="Calibri"/>
      <family val="2"/>
    </font>
    <font>
      <b/>
      <sz val="11"/>
      <color indexed="8"/>
      <name val="Times New Roman"/>
      <family val="1"/>
    </font>
    <font>
      <b/>
      <sz val="18"/>
      <color indexed="8"/>
      <name val="Calibri"/>
      <family val="2"/>
    </font>
    <font>
      <sz val="11"/>
      <color indexed="8"/>
      <name val="Calibri"/>
      <family val="2"/>
    </font>
    <font>
      <sz val="9"/>
      <color indexed="81"/>
      <name val="Tahoma"/>
      <family val="2"/>
    </font>
    <font>
      <b/>
      <sz val="9"/>
      <color indexed="81"/>
      <name val="Tahoma"/>
      <family val="2"/>
    </font>
    <font>
      <sz val="10"/>
      <color indexed="81"/>
      <name val="Tahoma"/>
      <family val="2"/>
    </font>
    <font>
      <sz val="12"/>
      <color rgb="FFFF0000"/>
      <name val="Calibri"/>
      <family val="2"/>
    </font>
    <font>
      <sz val="12"/>
      <color rgb="FFFF0000"/>
      <name val="Times New Roman"/>
      <family val="1"/>
    </font>
    <font>
      <b/>
      <sz val="12"/>
      <color rgb="FFFF0000"/>
      <name val="Times New Roman"/>
      <family val="1"/>
    </font>
    <font>
      <sz val="12"/>
      <name val="Calibri"/>
      <family val="2"/>
    </font>
    <font>
      <sz val="11"/>
      <name val="Calibri"/>
      <family val="2"/>
    </font>
    <font>
      <sz val="14"/>
      <color rgb="FFFF0000"/>
      <name val="Calibri"/>
      <family val="2"/>
    </font>
    <font>
      <b/>
      <sz val="12"/>
      <name val="Times New Roman"/>
      <family val="1"/>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theme="0"/>
        <bgColor indexed="64"/>
      </patternFill>
    </fill>
    <fill>
      <patternFill patternType="solid">
        <fgColor rgb="FFFFFF00"/>
        <bgColor indexed="64"/>
      </patternFill>
    </fill>
  </fills>
  <borders count="75">
    <border>
      <left/>
      <right/>
      <top/>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top/>
      <bottom/>
      <diagonal/>
    </border>
    <border>
      <left/>
      <right/>
      <top/>
      <bottom/>
      <diagonal/>
    </border>
    <border>
      <left/>
      <right style="thin">
        <color indexed="10"/>
      </right>
      <top/>
      <bottom/>
      <diagonal/>
    </border>
    <border>
      <left style="thin">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thin">
        <color indexed="8"/>
      </right>
      <top style="thin">
        <color indexed="11"/>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11"/>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11"/>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top style="thin">
        <color indexed="10"/>
      </top>
      <bottom/>
      <diagonal/>
    </border>
    <border>
      <left/>
      <right/>
      <top style="medium">
        <color indexed="8"/>
      </top>
      <bottom/>
      <diagonal/>
    </border>
    <border>
      <left style="thin">
        <color indexed="10"/>
      </left>
      <right/>
      <top/>
      <bottom/>
      <diagonal/>
    </border>
    <border>
      <left/>
      <right/>
      <top/>
      <bottom style="medium">
        <color indexed="8"/>
      </bottom>
      <diagonal/>
    </border>
    <border>
      <left style="thin">
        <color indexed="10"/>
      </left>
      <right/>
      <top/>
      <bottom style="thin">
        <color indexed="10"/>
      </bottom>
      <diagonal/>
    </border>
    <border>
      <left/>
      <right/>
      <top/>
      <bottom style="thin">
        <color indexed="10"/>
      </bottom>
      <diagonal/>
    </border>
    <border>
      <left/>
      <right style="thin">
        <color indexed="11"/>
      </right>
      <top/>
      <bottom style="thin">
        <color indexed="10"/>
      </bottom>
      <diagonal/>
    </border>
    <border>
      <left style="thin">
        <color indexed="11"/>
      </left>
      <right/>
      <top/>
      <bottom style="thin">
        <color indexed="10"/>
      </bottom>
      <diagonal/>
    </border>
    <border>
      <left/>
      <right style="thin">
        <color indexed="10"/>
      </right>
      <top/>
      <bottom style="thin">
        <color indexed="10"/>
      </bottom>
      <diagonal/>
    </border>
    <border>
      <left/>
      <right style="medium">
        <color indexed="8"/>
      </right>
      <top style="medium">
        <color indexed="8"/>
      </top>
      <bottom style="medium">
        <color indexed="8"/>
      </bottom>
      <diagonal/>
    </border>
    <border>
      <left style="medium">
        <color indexed="8"/>
      </left>
      <right/>
      <top style="thin">
        <color indexed="10"/>
      </top>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top style="thin">
        <color indexed="11"/>
      </top>
      <bottom style="thin">
        <color indexed="11"/>
      </bottom>
      <diagonal/>
    </border>
    <border>
      <left/>
      <right/>
      <top style="thin">
        <color indexed="11"/>
      </top>
      <bottom style="thin">
        <color indexed="11"/>
      </bottom>
      <diagonal/>
    </border>
    <border>
      <left/>
      <right style="medium">
        <color indexed="8"/>
      </right>
      <top style="thin">
        <color indexed="11"/>
      </top>
      <bottom style="thin">
        <color indexed="11"/>
      </bottom>
      <diagonal/>
    </border>
    <border>
      <left style="medium">
        <color indexed="8"/>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right style="thin">
        <color indexed="11"/>
      </right>
      <top style="thin">
        <color indexed="11"/>
      </top>
      <bottom style="thin">
        <color indexed="11"/>
      </bottom>
      <diagonal/>
    </border>
    <border>
      <left style="thin">
        <color indexed="11"/>
      </left>
      <right style="thin">
        <color indexed="11"/>
      </right>
      <top style="medium">
        <color indexed="8"/>
      </top>
      <bottom/>
      <diagonal/>
    </border>
    <border>
      <left style="medium">
        <color indexed="64"/>
      </left>
      <right style="medium">
        <color indexed="64"/>
      </right>
      <top style="medium">
        <color indexed="64"/>
      </top>
      <bottom style="medium">
        <color indexed="64"/>
      </bottom>
      <diagonal/>
    </border>
    <border>
      <left style="thin">
        <color indexed="11"/>
      </left>
      <right/>
      <top style="medium">
        <color indexed="8"/>
      </top>
      <bottom style="medium">
        <color indexed="8"/>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64"/>
      </bottom>
      <diagonal/>
    </border>
    <border>
      <left style="thin">
        <color indexed="8"/>
      </left>
      <right/>
      <top style="medium">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pplyNumberFormat="0" applyFill="0" applyBorder="0" applyProtection="0"/>
  </cellStyleXfs>
  <cellXfs count="223">
    <xf numFmtId="0" fontId="0" fillId="0" borderId="0" xfId="0" applyFont="1" applyAlignment="1"/>
    <xf numFmtId="0" fontId="0" fillId="0" borderId="0" xfId="0" applyNumberFormat="1" applyFont="1" applyAlignment="1"/>
    <xf numFmtId="0" fontId="0" fillId="2" borderId="1" xfId="0" applyNumberFormat="1" applyFont="1" applyFill="1" applyBorder="1" applyAlignment="1"/>
    <xf numFmtId="49" fontId="1" fillId="2" borderId="2" xfId="0" applyNumberFormat="1" applyFont="1" applyFill="1" applyBorder="1" applyAlignment="1">
      <alignment horizontal="center"/>
    </xf>
    <xf numFmtId="49" fontId="1" fillId="2" borderId="2" xfId="0" applyNumberFormat="1" applyFont="1" applyFill="1" applyBorder="1" applyAlignment="1">
      <alignment horizontal="center" vertical="center" wrapText="1"/>
    </xf>
    <xf numFmtId="0" fontId="0" fillId="2" borderId="2" xfId="0" applyNumberFormat="1" applyFont="1" applyFill="1" applyBorder="1" applyAlignment="1"/>
    <xf numFmtId="0" fontId="1"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0" fillId="2" borderId="2" xfId="0" applyNumberFormat="1" applyFont="1" applyFill="1" applyBorder="1" applyAlignment="1">
      <alignment vertical="center" wrapText="1"/>
    </xf>
    <xf numFmtId="49" fontId="0" fillId="2" borderId="2" xfId="0" applyNumberFormat="1" applyFont="1" applyFill="1" applyBorder="1" applyAlignment="1">
      <alignment horizontal="center" vertical="center" wrapText="1"/>
    </xf>
    <xf numFmtId="0" fontId="0" fillId="2" borderId="2" xfId="0" applyNumberFormat="1" applyFont="1" applyFill="1" applyBorder="1" applyAlignment="1">
      <alignment vertical="center" wrapText="1"/>
    </xf>
    <xf numFmtId="0" fontId="0"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0" fontId="1" fillId="2" borderId="2" xfId="0" applyNumberFormat="1" applyFont="1" applyFill="1" applyBorder="1" applyAlignment="1">
      <alignment vertical="center" wrapText="1"/>
    </xf>
    <xf numFmtId="0" fontId="9" fillId="2" borderId="2" xfId="0" applyNumberFormat="1" applyFont="1" applyFill="1" applyBorder="1" applyAlignment="1">
      <alignment horizontal="left" vertical="center" wrapText="1"/>
    </xf>
    <xf numFmtId="0" fontId="0" fillId="0" borderId="0" xfId="0" applyNumberFormat="1" applyFont="1" applyAlignment="1"/>
    <xf numFmtId="49" fontId="10" fillId="2" borderId="5" xfId="0" applyNumberFormat="1" applyFont="1" applyFill="1" applyBorder="1" applyAlignment="1"/>
    <xf numFmtId="0" fontId="1" fillId="2" borderId="6" xfId="0" applyNumberFormat="1" applyFont="1" applyFill="1" applyBorder="1" applyAlignment="1"/>
    <xf numFmtId="0" fontId="11" fillId="2" borderId="6" xfId="0" applyNumberFormat="1" applyFont="1" applyFill="1" applyBorder="1" applyAlignment="1">
      <alignment horizontal="center"/>
    </xf>
    <xf numFmtId="0" fontId="0" fillId="2" borderId="6" xfId="0" applyNumberFormat="1" applyFont="1" applyFill="1" applyBorder="1" applyAlignment="1">
      <alignment horizontal="center"/>
    </xf>
    <xf numFmtId="0" fontId="0" fillId="2" borderId="7" xfId="0" applyNumberFormat="1" applyFont="1" applyFill="1" applyBorder="1" applyAlignment="1"/>
    <xf numFmtId="0" fontId="0" fillId="2" borderId="8" xfId="0" applyNumberFormat="1" applyFont="1" applyFill="1" applyBorder="1" applyAlignment="1"/>
    <xf numFmtId="0" fontId="0" fillId="2" borderId="9" xfId="0" applyNumberFormat="1" applyFont="1" applyFill="1" applyBorder="1" applyAlignment="1"/>
    <xf numFmtId="0" fontId="0" fillId="2" borderId="10" xfId="0" applyNumberFormat="1" applyFont="1" applyFill="1" applyBorder="1" applyAlignment="1"/>
    <xf numFmtId="0" fontId="2" fillId="2" borderId="11" xfId="0" applyNumberFormat="1" applyFont="1" applyFill="1" applyBorder="1" applyAlignment="1"/>
    <xf numFmtId="0" fontId="1" fillId="2" borderId="12" xfId="0" applyNumberFormat="1" applyFont="1" applyFill="1" applyBorder="1" applyAlignment="1"/>
    <xf numFmtId="0" fontId="2" fillId="2" borderId="12" xfId="0" applyNumberFormat="1" applyFont="1" applyFill="1" applyBorder="1" applyAlignment="1">
      <alignment horizontal="center"/>
    </xf>
    <xf numFmtId="0" fontId="2" fillId="2" borderId="13" xfId="0" applyNumberFormat="1" applyFont="1" applyFill="1" applyBorder="1" applyAlignment="1">
      <alignment horizontal="center"/>
    </xf>
    <xf numFmtId="0" fontId="0" fillId="2" borderId="12" xfId="0" applyNumberFormat="1" applyFont="1" applyFill="1" applyBorder="1" applyAlignment="1">
      <alignment horizontal="center"/>
    </xf>
    <xf numFmtId="0" fontId="0" fillId="2" borderId="14" xfId="0" applyNumberFormat="1" applyFont="1" applyFill="1" applyBorder="1" applyAlignment="1"/>
    <xf numFmtId="0" fontId="0" fillId="2" borderId="15" xfId="0" applyNumberFormat="1" applyFont="1" applyFill="1" applyBorder="1" applyAlignment="1"/>
    <xf numFmtId="0" fontId="0" fillId="2" borderId="16" xfId="0" applyNumberFormat="1" applyFont="1" applyFill="1" applyBorder="1" applyAlignment="1"/>
    <xf numFmtId="0" fontId="0" fillId="2" borderId="17" xfId="0" applyNumberFormat="1" applyFont="1" applyFill="1" applyBorder="1" applyAlignment="1"/>
    <xf numFmtId="49" fontId="2" fillId="2" borderId="11" xfId="0" applyNumberFormat="1" applyFont="1" applyFill="1" applyBorder="1" applyAlignment="1"/>
    <xf numFmtId="0" fontId="2" fillId="2" borderId="14"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11" xfId="0" applyNumberFormat="1" applyFont="1" applyFill="1" applyBorder="1" applyAlignment="1">
      <alignment horizontal="center"/>
    </xf>
    <xf numFmtId="0" fontId="0" fillId="2" borderId="11" xfId="0" applyNumberFormat="1" applyFont="1" applyFill="1" applyBorder="1" applyAlignment="1"/>
    <xf numFmtId="0" fontId="0" fillId="2" borderId="12" xfId="0" applyNumberFormat="1" applyFont="1" applyFill="1" applyBorder="1" applyAlignment="1"/>
    <xf numFmtId="0" fontId="0" fillId="2" borderId="18" xfId="0" applyNumberFormat="1" applyFont="1" applyFill="1" applyBorder="1" applyAlignment="1"/>
    <xf numFmtId="0" fontId="0" fillId="2" borderId="19" xfId="0" applyNumberFormat="1" applyFont="1" applyFill="1" applyBorder="1" applyAlignment="1"/>
    <xf numFmtId="0" fontId="0" fillId="2" borderId="19" xfId="0" applyNumberFormat="1" applyFont="1" applyFill="1" applyBorder="1" applyAlignment="1">
      <alignment horizontal="center"/>
    </xf>
    <xf numFmtId="0" fontId="0" fillId="2" borderId="20" xfId="0" applyNumberFormat="1" applyFont="1" applyFill="1" applyBorder="1" applyAlignment="1"/>
    <xf numFmtId="49" fontId="12" fillId="2" borderId="2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49" fontId="12" fillId="2" borderId="21" xfId="0" applyNumberFormat="1" applyFont="1" applyFill="1" applyBorder="1" applyAlignment="1">
      <alignment vertical="center" wrapText="1"/>
    </xf>
    <xf numFmtId="0" fontId="0" fillId="2" borderId="22" xfId="0" applyNumberFormat="1" applyFont="1" applyFill="1" applyBorder="1" applyAlignment="1"/>
    <xf numFmtId="49" fontId="14" fillId="2" borderId="21" xfId="0" applyNumberFormat="1" applyFont="1" applyFill="1" applyBorder="1" applyAlignment="1">
      <alignment vertical="center" wrapText="1"/>
    </xf>
    <xf numFmtId="49" fontId="1" fillId="2" borderId="21" xfId="0" applyNumberFormat="1" applyFont="1" applyFill="1" applyBorder="1" applyAlignment="1">
      <alignment horizontal="left" vertical="center" wrapText="1"/>
    </xf>
    <xf numFmtId="164" fontId="2" fillId="2" borderId="21" xfId="0" applyNumberFormat="1" applyFont="1" applyFill="1" applyBorder="1" applyAlignment="1">
      <alignment horizontal="center" vertical="center" wrapText="1"/>
    </xf>
    <xf numFmtId="164" fontId="14" fillId="2" borderId="21" xfId="0" applyNumberFormat="1" applyFont="1" applyFill="1" applyBorder="1" applyAlignment="1">
      <alignment horizontal="center" vertical="center" wrapText="1"/>
    </xf>
    <xf numFmtId="164" fontId="12" fillId="2" borderId="21" xfId="0" applyNumberFormat="1" applyFont="1" applyFill="1" applyBorder="1" applyAlignment="1">
      <alignment horizontal="center" vertical="center" wrapText="1"/>
    </xf>
    <xf numFmtId="164" fontId="12" fillId="2" borderId="21" xfId="0" applyNumberFormat="1" applyFont="1" applyFill="1" applyBorder="1" applyAlignment="1">
      <alignment vertical="center" wrapText="1"/>
    </xf>
    <xf numFmtId="49" fontId="13" fillId="2" borderId="21" xfId="0" applyNumberFormat="1" applyFont="1" applyFill="1" applyBorder="1" applyAlignment="1">
      <alignment horizontal="left" vertical="center" wrapText="1"/>
    </xf>
    <xf numFmtId="166" fontId="12" fillId="2" borderId="21"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2" fillId="2" borderId="21" xfId="0" applyNumberFormat="1" applyFont="1" applyFill="1" applyBorder="1" applyAlignment="1">
      <alignment vertical="center" wrapText="1"/>
    </xf>
    <xf numFmtId="49" fontId="16" fillId="2" borderId="21" xfId="0" applyNumberFormat="1" applyFont="1" applyFill="1" applyBorder="1" applyAlignment="1">
      <alignment horizontal="left" vertical="center" wrapText="1"/>
    </xf>
    <xf numFmtId="164" fontId="14" fillId="2" borderId="24" xfId="0" applyNumberFormat="1" applyFont="1" applyFill="1" applyBorder="1" applyAlignment="1">
      <alignment horizontal="center" vertical="center" wrapText="1"/>
    </xf>
    <xf numFmtId="164" fontId="12" fillId="2" borderId="25" xfId="0" applyNumberFormat="1" applyFont="1" applyFill="1" applyBorder="1" applyAlignment="1">
      <alignment vertical="center" wrapText="1"/>
    </xf>
    <xf numFmtId="164" fontId="12" fillId="2" borderId="21" xfId="0" applyNumberFormat="1" applyFont="1" applyFill="1" applyBorder="1" applyAlignment="1">
      <alignment horizontal="center" wrapText="1"/>
    </xf>
    <xf numFmtId="49" fontId="12" fillId="2" borderId="28" xfId="0" applyNumberFormat="1" applyFont="1" applyFill="1" applyBorder="1" applyAlignment="1">
      <alignment vertical="center" wrapText="1"/>
    </xf>
    <xf numFmtId="0" fontId="16" fillId="2" borderId="29" xfId="0" applyNumberFormat="1" applyFont="1" applyFill="1" applyBorder="1" applyAlignment="1">
      <alignment vertical="center" wrapText="1"/>
    </xf>
    <xf numFmtId="164" fontId="14" fillId="2" borderId="29" xfId="0" applyNumberFormat="1" applyFont="1" applyFill="1" applyBorder="1" applyAlignment="1">
      <alignment horizontal="center" vertical="center" wrapText="1"/>
    </xf>
    <xf numFmtId="164" fontId="14" fillId="2" borderId="30" xfId="0" applyNumberFormat="1" applyFont="1" applyFill="1" applyBorder="1" applyAlignment="1">
      <alignment horizontal="center" vertical="center"/>
    </xf>
    <xf numFmtId="49" fontId="13" fillId="2" borderId="21" xfId="0" applyNumberFormat="1" applyFont="1" applyFill="1" applyBorder="1" applyAlignment="1">
      <alignment vertical="center" wrapText="1"/>
    </xf>
    <xf numFmtId="164" fontId="14" fillId="2" borderId="31" xfId="0" applyNumberFormat="1" applyFont="1" applyFill="1" applyBorder="1" applyAlignment="1">
      <alignment horizontal="center" vertical="center" wrapText="1"/>
    </xf>
    <xf numFmtId="164" fontId="12" fillId="2" borderId="24" xfId="0" applyNumberFormat="1" applyFont="1" applyFill="1" applyBorder="1" applyAlignment="1">
      <alignment horizontal="center" vertical="center" wrapText="1"/>
    </xf>
    <xf numFmtId="49" fontId="14" fillId="2" borderId="28" xfId="0" applyNumberFormat="1" applyFont="1" applyFill="1" applyBorder="1" applyAlignment="1">
      <alignment vertical="center" wrapText="1"/>
    </xf>
    <xf numFmtId="0" fontId="14" fillId="2" borderId="29" xfId="0" applyNumberFormat="1" applyFont="1" applyFill="1" applyBorder="1" applyAlignment="1">
      <alignment horizontal="center" vertical="center" wrapText="1"/>
    </xf>
    <xf numFmtId="0" fontId="0" fillId="2" borderId="33" xfId="0" applyNumberFormat="1" applyFont="1" applyFill="1" applyBorder="1" applyAlignment="1"/>
    <xf numFmtId="0" fontId="0" fillId="2" borderId="34" xfId="0" applyNumberFormat="1" applyFont="1" applyFill="1" applyBorder="1" applyAlignment="1"/>
    <xf numFmtId="164" fontId="0" fillId="2" borderId="35" xfId="0" applyNumberFormat="1" applyFont="1" applyFill="1" applyBorder="1" applyAlignment="1"/>
    <xf numFmtId="0" fontId="0" fillId="2" borderId="35" xfId="0" applyNumberFormat="1" applyFont="1" applyFill="1" applyBorder="1" applyAlignment="1"/>
    <xf numFmtId="0" fontId="0" fillId="2" borderId="36" xfId="0" applyNumberFormat="1" applyFont="1" applyFill="1" applyBorder="1" applyAlignment="1"/>
    <xf numFmtId="0" fontId="0" fillId="2" borderId="38" xfId="0" applyNumberFormat="1" applyFont="1" applyFill="1" applyBorder="1" applyAlignment="1"/>
    <xf numFmtId="0" fontId="0" fillId="2" borderId="39" xfId="0" applyNumberFormat="1" applyFont="1" applyFill="1" applyBorder="1" applyAlignment="1"/>
    <xf numFmtId="4" fontId="0" fillId="2" borderId="39" xfId="0" applyNumberFormat="1" applyFont="1" applyFill="1" applyBorder="1" applyAlignment="1"/>
    <xf numFmtId="164" fontId="0" fillId="2" borderId="39" xfId="0" applyNumberFormat="1" applyFont="1" applyFill="1" applyBorder="1" applyAlignment="1"/>
    <xf numFmtId="164" fontId="14" fillId="2" borderId="40" xfId="0" applyNumberFormat="1" applyFont="1" applyFill="1" applyBorder="1" applyAlignment="1">
      <alignment horizontal="center"/>
    </xf>
    <xf numFmtId="0" fontId="14" fillId="2" borderId="41" xfId="0" applyNumberFormat="1" applyFont="1" applyFill="1" applyBorder="1" applyAlignment="1">
      <alignment horizontal="center"/>
    </xf>
    <xf numFmtId="0" fontId="0" fillId="2" borderId="42" xfId="0" applyNumberFormat="1" applyFont="1" applyFill="1" applyBorder="1" applyAlignment="1"/>
    <xf numFmtId="0" fontId="0" fillId="0" borderId="0" xfId="0" applyNumberFormat="1" applyFont="1" applyAlignment="1"/>
    <xf numFmtId="0" fontId="0" fillId="2" borderId="44" xfId="0" applyNumberFormat="1" applyFont="1" applyFill="1" applyBorder="1" applyAlignment="1"/>
    <xf numFmtId="0" fontId="1" fillId="2" borderId="45" xfId="0" applyNumberFormat="1" applyFont="1" applyFill="1" applyBorder="1" applyAlignment="1"/>
    <xf numFmtId="0" fontId="1" fillId="2" borderId="46" xfId="0" applyNumberFormat="1" applyFont="1" applyFill="1" applyBorder="1" applyAlignment="1"/>
    <xf numFmtId="0" fontId="0" fillId="2" borderId="46" xfId="0" applyNumberFormat="1" applyFont="1" applyFill="1" applyBorder="1" applyAlignment="1"/>
    <xf numFmtId="0" fontId="0" fillId="2" borderId="47" xfId="0" applyNumberFormat="1" applyFont="1" applyFill="1" applyBorder="1" applyAlignment="1"/>
    <xf numFmtId="0" fontId="0" fillId="2" borderId="51" xfId="0" applyNumberFormat="1" applyFont="1" applyFill="1" applyBorder="1" applyAlignment="1"/>
    <xf numFmtId="0" fontId="0" fillId="2" borderId="13" xfId="0" applyNumberFormat="1" applyFont="1" applyFill="1" applyBorder="1" applyAlignment="1"/>
    <xf numFmtId="0" fontId="0" fillId="2" borderId="52" xfId="0" applyNumberFormat="1" applyFont="1" applyFill="1" applyBorder="1" applyAlignment="1"/>
    <xf numFmtId="49" fontId="2" fillId="8" borderId="57" xfId="0" applyNumberFormat="1" applyFont="1" applyFill="1" applyBorder="1" applyAlignment="1">
      <alignment horizontal="center" vertical="center" wrapText="1"/>
    </xf>
    <xf numFmtId="49" fontId="2" fillId="8" borderId="2" xfId="0" applyNumberFormat="1" applyFont="1" applyFill="1" applyBorder="1" applyAlignment="1">
      <alignment horizontal="center" vertical="center" wrapText="1"/>
    </xf>
    <xf numFmtId="49" fontId="2" fillId="7" borderId="21" xfId="0" applyNumberFormat="1" applyFont="1" applyFill="1" applyBorder="1" applyAlignment="1">
      <alignment horizontal="center" vertical="center" wrapText="1"/>
    </xf>
    <xf numFmtId="0" fontId="2" fillId="7" borderId="59" xfId="0" applyNumberFormat="1" applyFont="1" applyFill="1" applyBorder="1" applyAlignment="1">
      <alignment horizontal="center" vertical="center" wrapText="1"/>
    </xf>
    <xf numFmtId="49" fontId="4" fillId="2" borderId="21" xfId="0" applyNumberFormat="1" applyFont="1" applyFill="1" applyBorder="1" applyAlignment="1">
      <alignment vertical="center" wrapText="1"/>
    </xf>
    <xf numFmtId="164" fontId="4" fillId="2" borderId="21" xfId="0" applyNumberFormat="1" applyFont="1" applyFill="1" applyBorder="1" applyAlignment="1">
      <alignment horizontal="center" vertical="center" wrapText="1"/>
    </xf>
    <xf numFmtId="164" fontId="4" fillId="9" borderId="21" xfId="0" applyNumberFormat="1" applyFont="1" applyFill="1" applyBorder="1" applyAlignment="1">
      <alignment horizontal="center" vertical="center" wrapText="1"/>
    </xf>
    <xf numFmtId="164" fontId="0" fillId="2" borderId="17" xfId="0" applyNumberFormat="1" applyFont="1" applyFill="1" applyBorder="1" applyAlignment="1"/>
    <xf numFmtId="49" fontId="2" fillId="9" borderId="21" xfId="0" applyNumberFormat="1" applyFont="1" applyFill="1" applyBorder="1" applyAlignment="1">
      <alignment vertical="center" wrapText="1"/>
    </xf>
    <xf numFmtId="49" fontId="0" fillId="2" borderId="33" xfId="0" applyNumberFormat="1" applyFont="1" applyFill="1" applyBorder="1" applyAlignment="1"/>
    <xf numFmtId="164" fontId="0" fillId="2" borderId="33" xfId="0" applyNumberFormat="1" applyFont="1" applyFill="1" applyBorder="1" applyAlignment="1"/>
    <xf numFmtId="0" fontId="0" fillId="2" borderId="60" xfId="0" applyNumberFormat="1" applyFont="1" applyFill="1" applyBorder="1" applyAlignment="1"/>
    <xf numFmtId="164" fontId="0" fillId="2" borderId="60" xfId="0" applyNumberFormat="1" applyFont="1" applyFill="1" applyBorder="1" applyAlignment="1"/>
    <xf numFmtId="49" fontId="0" fillId="2" borderId="60" xfId="0" applyNumberFormat="1" applyFont="1" applyFill="1" applyBorder="1" applyAlignment="1"/>
    <xf numFmtId="164" fontId="0" fillId="0" borderId="0" xfId="0" applyNumberFormat="1" applyFont="1" applyAlignment="1"/>
    <xf numFmtId="164" fontId="0" fillId="2" borderId="16" xfId="0" applyNumberFormat="1" applyFont="1" applyFill="1" applyBorder="1" applyAlignment="1"/>
    <xf numFmtId="0" fontId="0" fillId="10" borderId="60" xfId="0" applyNumberFormat="1" applyFont="1" applyFill="1" applyBorder="1" applyAlignment="1"/>
    <xf numFmtId="49" fontId="0" fillId="10" borderId="60" xfId="0" applyNumberFormat="1" applyFont="1" applyFill="1" applyBorder="1" applyAlignment="1"/>
    <xf numFmtId="164" fontId="0" fillId="10" borderId="60" xfId="0" applyNumberFormat="1" applyFont="1" applyFill="1" applyBorder="1" applyAlignment="1"/>
    <xf numFmtId="0" fontId="0" fillId="10" borderId="36" xfId="0" applyNumberFormat="1" applyFont="1" applyFill="1" applyBorder="1" applyAlignment="1"/>
    <xf numFmtId="0" fontId="0" fillId="10" borderId="17" xfId="0" applyNumberFormat="1" applyFont="1" applyFill="1" applyBorder="1" applyAlignment="1"/>
    <xf numFmtId="0" fontId="0" fillId="10" borderId="0" xfId="0" applyNumberFormat="1" applyFont="1" applyFill="1" applyAlignment="1"/>
    <xf numFmtId="0" fontId="0" fillId="10" borderId="0" xfId="0" applyFont="1" applyFill="1" applyAlignment="1"/>
    <xf numFmtId="164" fontId="4" fillId="11" borderId="21" xfId="0" applyNumberFormat="1" applyFont="1" applyFill="1" applyBorder="1" applyAlignment="1">
      <alignment horizontal="center" vertical="center" wrapText="1"/>
    </xf>
    <xf numFmtId="164" fontId="4" fillId="10" borderId="21" xfId="0" applyNumberFormat="1" applyFont="1" applyFill="1" applyBorder="1" applyAlignment="1">
      <alignment horizontal="center" vertical="center" wrapText="1"/>
    </xf>
    <xf numFmtId="9" fontId="0" fillId="2" borderId="6" xfId="0" applyNumberFormat="1" applyFont="1" applyFill="1" applyBorder="1" applyAlignment="1">
      <alignment horizontal="center"/>
    </xf>
    <xf numFmtId="9" fontId="0" fillId="2" borderId="12" xfId="0" applyNumberFormat="1" applyFont="1" applyFill="1" applyBorder="1" applyAlignment="1">
      <alignment horizontal="center"/>
    </xf>
    <xf numFmtId="9" fontId="0" fillId="2" borderId="19" xfId="0" applyNumberFormat="1" applyFont="1" applyFill="1" applyBorder="1" applyAlignment="1">
      <alignment horizontal="center"/>
    </xf>
    <xf numFmtId="165" fontId="12" fillId="2" borderId="21" xfId="0" applyNumberFormat="1" applyFont="1" applyFill="1" applyBorder="1" applyAlignment="1">
      <alignment horizontal="center" vertical="center" wrapText="1"/>
    </xf>
    <xf numFmtId="9" fontId="12" fillId="2" borderId="21" xfId="0" applyNumberFormat="1" applyFont="1" applyFill="1" applyBorder="1" applyAlignment="1">
      <alignment horizontal="center" vertical="center" wrapText="1"/>
    </xf>
    <xf numFmtId="165" fontId="14" fillId="2" borderId="24" xfId="0" applyNumberFormat="1" applyFont="1" applyFill="1" applyBorder="1" applyAlignment="1">
      <alignment horizontal="center" vertical="center" wrapText="1"/>
    </xf>
    <xf numFmtId="165" fontId="12" fillId="2" borderId="24" xfId="0" applyNumberFormat="1" applyFont="1" applyFill="1" applyBorder="1" applyAlignment="1">
      <alignment horizontal="center" vertical="center" wrapText="1"/>
    </xf>
    <xf numFmtId="0" fontId="14" fillId="2" borderId="27" xfId="0" applyNumberFormat="1" applyFont="1" applyFill="1" applyBorder="1" applyAlignment="1">
      <alignment horizontal="center" vertical="center" wrapText="1"/>
    </xf>
    <xf numFmtId="9" fontId="14" fillId="2" borderId="32" xfId="0" applyNumberFormat="1" applyFont="1" applyFill="1" applyBorder="1" applyAlignment="1">
      <alignment horizontal="center" vertical="center" wrapText="1"/>
    </xf>
    <xf numFmtId="0" fontId="0" fillId="2" borderId="35" xfId="0" applyNumberFormat="1" applyFont="1" applyFill="1" applyBorder="1" applyAlignment="1">
      <alignment horizontal="center"/>
    </xf>
    <xf numFmtId="0" fontId="0" fillId="2" borderId="37" xfId="0" applyNumberFormat="1" applyFont="1" applyFill="1" applyBorder="1" applyAlignment="1">
      <alignment horizontal="center"/>
    </xf>
    <xf numFmtId="0" fontId="0" fillId="0" borderId="0" xfId="0" applyNumberFormat="1" applyFont="1" applyAlignment="1">
      <alignment horizontal="center"/>
    </xf>
    <xf numFmtId="164" fontId="4" fillId="10" borderId="43" xfId="0" applyNumberFormat="1" applyFont="1" applyFill="1" applyBorder="1" applyAlignment="1">
      <alignment horizontal="center" vertical="center" wrapText="1"/>
    </xf>
    <xf numFmtId="0" fontId="2" fillId="2" borderId="61" xfId="0" applyNumberFormat="1" applyFont="1" applyFill="1" applyBorder="1" applyAlignment="1">
      <alignment horizontal="center"/>
    </xf>
    <xf numFmtId="164" fontId="14" fillId="2" borderId="62" xfId="0" applyNumberFormat="1" applyFont="1" applyFill="1" applyBorder="1" applyAlignment="1">
      <alignment horizontal="center" vertical="center" wrapText="1"/>
    </xf>
    <xf numFmtId="164" fontId="12" fillId="2" borderId="58" xfId="0" applyNumberFormat="1" applyFont="1" applyFill="1" applyBorder="1" applyAlignment="1">
      <alignment horizontal="center" vertical="center" wrapText="1"/>
    </xf>
    <xf numFmtId="167" fontId="12" fillId="2" borderId="27" xfId="0" applyNumberFormat="1" applyFont="1" applyFill="1" applyBorder="1" applyAlignment="1">
      <alignment horizontal="center" vertical="center" wrapText="1"/>
    </xf>
    <xf numFmtId="164" fontId="14" fillId="2" borderId="63" xfId="0" applyNumberFormat="1" applyFont="1" applyFill="1" applyBorder="1" applyAlignment="1">
      <alignment horizontal="center" vertical="center" wrapText="1"/>
    </xf>
    <xf numFmtId="164" fontId="12" fillId="11" borderId="21" xfId="0" applyNumberFormat="1" applyFont="1" applyFill="1" applyBorder="1" applyAlignment="1">
      <alignment horizontal="center" vertical="center" wrapText="1"/>
    </xf>
    <xf numFmtId="164" fontId="14" fillId="11" borderId="31" xfId="0" applyNumberFormat="1" applyFont="1" applyFill="1" applyBorder="1" applyAlignment="1">
      <alignment horizontal="center" vertical="center" wrapText="1"/>
    </xf>
    <xf numFmtId="49" fontId="12" fillId="11" borderId="21" xfId="0" applyNumberFormat="1" applyFont="1" applyFill="1" applyBorder="1" applyAlignment="1">
      <alignment horizontal="center" vertical="center" wrapText="1"/>
    </xf>
    <xf numFmtId="164" fontId="12" fillId="2" borderId="64" xfId="0" applyNumberFormat="1" applyFont="1" applyFill="1" applyBorder="1" applyAlignment="1">
      <alignment horizontal="center" vertical="center" wrapText="1"/>
    </xf>
    <xf numFmtId="164" fontId="14" fillId="2" borderId="35" xfId="0" applyNumberFormat="1" applyFont="1" applyFill="1" applyBorder="1" applyAlignment="1">
      <alignment horizontal="center" vertical="center" wrapText="1"/>
    </xf>
    <xf numFmtId="164" fontId="14" fillId="2" borderId="65" xfId="0" applyNumberFormat="1" applyFont="1" applyFill="1" applyBorder="1" applyAlignment="1">
      <alignment horizontal="center" vertical="center" wrapText="1"/>
    </xf>
    <xf numFmtId="164" fontId="12" fillId="2" borderId="66" xfId="0" applyNumberFormat="1" applyFont="1" applyFill="1" applyBorder="1" applyAlignment="1">
      <alignment horizontal="center" vertical="center" wrapText="1"/>
    </xf>
    <xf numFmtId="164" fontId="14" fillId="2" borderId="67" xfId="0" applyNumberFormat="1" applyFont="1" applyFill="1" applyBorder="1" applyAlignment="1">
      <alignment horizontal="center" vertical="center" wrapText="1"/>
    </xf>
    <xf numFmtId="164" fontId="12" fillId="11" borderId="31" xfId="0" applyNumberFormat="1" applyFont="1" applyFill="1" applyBorder="1" applyAlignment="1">
      <alignment horizontal="center" vertical="center" wrapText="1"/>
    </xf>
    <xf numFmtId="9" fontId="12" fillId="2" borderId="27" xfId="0" applyNumberFormat="1" applyFont="1" applyFill="1" applyBorder="1" applyAlignment="1">
      <alignment horizontal="center" vertical="center" wrapText="1"/>
    </xf>
    <xf numFmtId="9" fontId="14" fillId="2" borderId="27" xfId="0" applyNumberFormat="1" applyFont="1" applyFill="1" applyBorder="1" applyAlignment="1">
      <alignment horizontal="center" vertical="center" wrapText="1"/>
    </xf>
    <xf numFmtId="49" fontId="2" fillId="11" borderId="21" xfId="0" applyNumberFormat="1" applyFont="1" applyFill="1" applyBorder="1" applyAlignment="1">
      <alignment horizontal="center" vertical="center" wrapText="1"/>
    </xf>
    <xf numFmtId="164" fontId="22" fillId="11" borderId="21" xfId="0" applyNumberFormat="1" applyFont="1" applyFill="1" applyBorder="1" applyAlignment="1">
      <alignment horizontal="center" vertical="center" wrapText="1"/>
    </xf>
    <xf numFmtId="164" fontId="0" fillId="2" borderId="17" xfId="0" applyNumberFormat="1" applyFont="1" applyFill="1" applyBorder="1" applyAlignment="1">
      <alignment vertical="center"/>
    </xf>
    <xf numFmtId="164" fontId="23" fillId="2" borderId="21" xfId="0" applyNumberFormat="1" applyFont="1" applyFill="1" applyBorder="1" applyAlignment="1">
      <alignment horizontal="center" vertical="center" wrapText="1"/>
    </xf>
    <xf numFmtId="164" fontId="23" fillId="11" borderId="21" xfId="0" applyNumberFormat="1" applyFont="1" applyFill="1" applyBorder="1" applyAlignment="1">
      <alignment horizontal="center" vertical="center" wrapText="1"/>
    </xf>
    <xf numFmtId="164" fontId="24" fillId="0" borderId="63" xfId="0" applyNumberFormat="1" applyFont="1" applyFill="1" applyBorder="1" applyAlignment="1">
      <alignment horizontal="center" vertical="center"/>
    </xf>
    <xf numFmtId="164" fontId="24" fillId="11" borderId="31" xfId="0" applyNumberFormat="1" applyFont="1" applyFill="1" applyBorder="1" applyAlignment="1">
      <alignment horizontal="center" vertical="center"/>
    </xf>
    <xf numFmtId="49" fontId="18" fillId="2" borderId="2" xfId="0" applyNumberFormat="1" applyFont="1" applyFill="1" applyBorder="1" applyAlignment="1">
      <alignment vertical="center" wrapText="1"/>
    </xf>
    <xf numFmtId="49" fontId="26" fillId="2" borderId="2" xfId="0" applyNumberFormat="1" applyFont="1" applyFill="1" applyBorder="1" applyAlignment="1">
      <alignment vertical="center" wrapText="1"/>
    </xf>
    <xf numFmtId="49" fontId="25" fillId="2" borderId="2" xfId="0" applyNumberFormat="1" applyFont="1" applyFill="1" applyBorder="1" applyAlignment="1">
      <alignment horizontal="left" vertical="center" wrapText="1"/>
    </xf>
    <xf numFmtId="168" fontId="12" fillId="2" borderId="25" xfId="0" applyNumberFormat="1" applyFont="1" applyFill="1" applyBorder="1" applyAlignment="1">
      <alignment vertical="center" wrapText="1"/>
    </xf>
    <xf numFmtId="168" fontId="4" fillId="9" borderId="21" xfId="0" applyNumberFormat="1" applyFont="1" applyFill="1" applyBorder="1" applyAlignment="1">
      <alignment horizontal="center" vertical="center" wrapText="1"/>
    </xf>
    <xf numFmtId="168" fontId="4" fillId="11" borderId="21" xfId="0" applyNumberFormat="1" applyFont="1" applyFill="1" applyBorder="1" applyAlignment="1">
      <alignment horizontal="center" vertical="center" wrapText="1"/>
    </xf>
    <xf numFmtId="164" fontId="24" fillId="2" borderId="24" xfId="0" applyNumberFormat="1" applyFont="1" applyFill="1" applyBorder="1" applyAlignment="1">
      <alignment horizontal="center" vertical="center" wrapText="1"/>
    </xf>
    <xf numFmtId="164" fontId="24" fillId="11" borderId="24" xfId="0" applyNumberFormat="1" applyFont="1" applyFill="1" applyBorder="1" applyAlignment="1">
      <alignment horizontal="center" vertical="center" wrapText="1"/>
    </xf>
    <xf numFmtId="164" fontId="24" fillId="2" borderId="29" xfId="0" applyNumberFormat="1" applyFont="1" applyFill="1" applyBorder="1" applyAlignment="1">
      <alignment horizontal="center" vertical="center" wrapText="1"/>
    </xf>
    <xf numFmtId="164" fontId="14" fillId="2" borderId="64" xfId="0" applyNumberFormat="1" applyFont="1" applyFill="1" applyBorder="1" applyAlignment="1">
      <alignment horizontal="center" vertical="center" wrapText="1"/>
    </xf>
    <xf numFmtId="0" fontId="2" fillId="11" borderId="58" xfId="0" applyNumberFormat="1" applyFont="1" applyFill="1" applyBorder="1" applyAlignment="1">
      <alignment horizontal="center" vertical="center" wrapText="1"/>
    </xf>
    <xf numFmtId="164" fontId="25" fillId="11" borderId="21" xfId="0" applyNumberFormat="1" applyFont="1" applyFill="1" applyBorder="1" applyAlignment="1">
      <alignment horizontal="center" vertical="center" wrapText="1"/>
    </xf>
    <xf numFmtId="164" fontId="25" fillId="11" borderId="43" xfId="0" applyNumberFormat="1" applyFont="1" applyFill="1" applyBorder="1" applyAlignment="1">
      <alignment horizontal="center" vertical="center" wrapText="1"/>
    </xf>
    <xf numFmtId="168" fontId="25" fillId="11" borderId="21" xfId="0" applyNumberFormat="1" applyFont="1" applyFill="1" applyBorder="1" applyAlignment="1">
      <alignment horizontal="center" vertical="center" wrapText="1"/>
    </xf>
    <xf numFmtId="49" fontId="17" fillId="3" borderId="16" xfId="0" applyNumberFormat="1" applyFont="1" applyFill="1" applyBorder="1" applyAlignment="1">
      <alignment horizontal="center"/>
    </xf>
    <xf numFmtId="49" fontId="10" fillId="2" borderId="16" xfId="0" applyNumberFormat="1" applyFont="1" applyFill="1" applyBorder="1" applyAlignment="1">
      <alignment horizontal="center"/>
    </xf>
    <xf numFmtId="164" fontId="0" fillId="2" borderId="36" xfId="0" applyNumberFormat="1" applyFont="1" applyFill="1" applyBorder="1" applyAlignment="1"/>
    <xf numFmtId="164" fontId="0" fillId="10" borderId="36" xfId="0" applyNumberFormat="1" applyFont="1" applyFill="1" applyBorder="1" applyAlignment="1"/>
    <xf numFmtId="164" fontId="4" fillId="0" borderId="21" xfId="0" applyNumberFormat="1" applyFont="1" applyFill="1" applyBorder="1" applyAlignment="1">
      <alignment horizontal="center" vertical="center" wrapText="1"/>
    </xf>
    <xf numFmtId="0" fontId="2" fillId="11" borderId="69" xfId="0" applyNumberFormat="1" applyFont="1" applyFill="1" applyBorder="1" applyAlignment="1">
      <alignment horizontal="center" vertical="center" wrapText="1"/>
    </xf>
    <xf numFmtId="164" fontId="22" fillId="11" borderId="26" xfId="0" applyNumberFormat="1" applyFont="1" applyFill="1" applyBorder="1" applyAlignment="1">
      <alignment horizontal="center" vertical="center" wrapText="1"/>
    </xf>
    <xf numFmtId="164" fontId="25" fillId="11" borderId="26" xfId="0" applyNumberFormat="1" applyFont="1" applyFill="1" applyBorder="1" applyAlignment="1">
      <alignment horizontal="center" vertical="center" wrapText="1"/>
    </xf>
    <xf numFmtId="164" fontId="4" fillId="11" borderId="72" xfId="0" applyNumberFormat="1" applyFont="1" applyFill="1" applyBorder="1" applyAlignment="1">
      <alignment horizontal="center" vertical="center" wrapText="1"/>
    </xf>
    <xf numFmtId="164" fontId="22" fillId="11" borderId="72" xfId="0" applyNumberFormat="1" applyFont="1" applyFill="1" applyBorder="1" applyAlignment="1">
      <alignment horizontal="center" vertical="center" wrapText="1"/>
    </xf>
    <xf numFmtId="164" fontId="4" fillId="11" borderId="67" xfId="0" applyNumberFormat="1" applyFont="1" applyFill="1" applyBorder="1" applyAlignment="1">
      <alignment horizontal="center" vertical="center" wrapText="1"/>
    </xf>
    <xf numFmtId="164" fontId="25" fillId="10" borderId="21" xfId="0" applyNumberFormat="1" applyFont="1" applyFill="1" applyBorder="1" applyAlignment="1">
      <alignment horizontal="center" vertical="center" wrapText="1"/>
    </xf>
    <xf numFmtId="164" fontId="25" fillId="10" borderId="43" xfId="0" applyNumberFormat="1" applyFont="1" applyFill="1" applyBorder="1" applyAlignment="1">
      <alignment horizontal="center" vertical="center" wrapText="1"/>
    </xf>
    <xf numFmtId="169" fontId="25" fillId="11" borderId="21" xfId="0" applyNumberFormat="1" applyFont="1" applyFill="1" applyBorder="1" applyAlignment="1">
      <alignment horizontal="center" vertical="center" wrapText="1"/>
    </xf>
    <xf numFmtId="164" fontId="0" fillId="11" borderId="60" xfId="0" applyNumberFormat="1" applyFont="1" applyFill="1" applyBorder="1" applyAlignment="1"/>
    <xf numFmtId="49" fontId="27" fillId="11" borderId="60" xfId="0" applyNumberFormat="1" applyFont="1" applyFill="1" applyBorder="1" applyAlignment="1"/>
    <xf numFmtId="4" fontId="28" fillId="2" borderId="24"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14" fillId="2" borderId="26" xfId="0" applyNumberFormat="1" applyFont="1" applyFill="1" applyBorder="1" applyAlignment="1">
      <alignment horizontal="left" vertical="center" wrapText="1"/>
    </xf>
    <xf numFmtId="49" fontId="14" fillId="2" borderId="27" xfId="0" applyNumberFormat="1" applyFont="1" applyFill="1" applyBorder="1" applyAlignment="1">
      <alignment horizontal="left" vertical="center" wrapText="1"/>
    </xf>
    <xf numFmtId="49" fontId="14" fillId="2" borderId="26" xfId="0" applyNumberFormat="1" applyFont="1" applyFill="1" applyBorder="1" applyAlignment="1">
      <alignment horizontal="center" vertical="center" wrapText="1"/>
    </xf>
    <xf numFmtId="49" fontId="14" fillId="2" borderId="31" xfId="0" applyNumberFormat="1" applyFont="1" applyFill="1" applyBorder="1" applyAlignment="1">
      <alignment horizontal="center" vertical="center" wrapText="1"/>
    </xf>
    <xf numFmtId="49" fontId="12" fillId="2" borderId="26" xfId="0" applyNumberFormat="1" applyFont="1" applyFill="1" applyBorder="1" applyAlignment="1">
      <alignment horizontal="left" vertical="center" wrapText="1"/>
    </xf>
    <xf numFmtId="49" fontId="12" fillId="2" borderId="27" xfId="0" applyNumberFormat="1" applyFont="1" applyFill="1" applyBorder="1" applyAlignment="1">
      <alignment horizontal="left" vertical="center" wrapText="1"/>
    </xf>
    <xf numFmtId="49" fontId="14" fillId="2" borderId="23" xfId="0" applyNumberFormat="1" applyFont="1" applyFill="1" applyBorder="1" applyAlignment="1">
      <alignment vertical="center" wrapText="1"/>
    </xf>
    <xf numFmtId="0" fontId="14" fillId="2" borderId="24" xfId="0" applyNumberFormat="1" applyFont="1" applyFill="1" applyBorder="1" applyAlignment="1">
      <alignment vertical="center" wrapText="1"/>
    </xf>
    <xf numFmtId="0" fontId="14" fillId="2" borderId="25" xfId="0" applyNumberFormat="1" applyFont="1" applyFill="1" applyBorder="1" applyAlignment="1">
      <alignment vertical="center" wrapText="1"/>
    </xf>
    <xf numFmtId="49" fontId="2" fillId="11" borderId="70" xfId="0" applyNumberFormat="1" applyFont="1" applyFill="1" applyBorder="1" applyAlignment="1">
      <alignment horizontal="center" vertical="center" wrapText="1"/>
    </xf>
    <xf numFmtId="0" fontId="2" fillId="11" borderId="71" xfId="0" applyNumberFormat="1" applyFont="1" applyFill="1" applyBorder="1" applyAlignment="1">
      <alignment horizontal="center" vertical="center" wrapText="1"/>
    </xf>
    <xf numFmtId="49" fontId="10" fillId="2" borderId="48" xfId="0" applyNumberFormat="1" applyFont="1" applyFill="1" applyBorder="1" applyAlignment="1">
      <alignment horizontal="center"/>
    </xf>
    <xf numFmtId="49" fontId="10" fillId="2" borderId="49" xfId="0" applyNumberFormat="1" applyFont="1" applyFill="1" applyBorder="1" applyAlignment="1">
      <alignment horizontal="center"/>
    </xf>
    <xf numFmtId="49" fontId="10" fillId="2" borderId="50" xfId="0" applyNumberFormat="1" applyFont="1" applyFill="1" applyBorder="1" applyAlignment="1">
      <alignment horizontal="center"/>
    </xf>
    <xf numFmtId="49" fontId="2" fillId="5" borderId="54" xfId="0" applyNumberFormat="1" applyFont="1" applyFill="1" applyBorder="1" applyAlignment="1">
      <alignment horizontal="center" vertical="center" wrapText="1"/>
    </xf>
    <xf numFmtId="0" fontId="2" fillId="5" borderId="55" xfId="0" applyNumberFormat="1" applyFont="1" applyFill="1" applyBorder="1" applyAlignment="1">
      <alignment horizontal="center" vertical="center" wrapText="1"/>
    </xf>
    <xf numFmtId="49" fontId="2" fillId="6" borderId="28" xfId="0" applyNumberFormat="1" applyFont="1" applyFill="1" applyBorder="1" applyAlignment="1">
      <alignment horizontal="center" vertical="center" wrapText="1"/>
    </xf>
    <xf numFmtId="0" fontId="2" fillId="6" borderId="56" xfId="0" applyNumberFormat="1" applyFont="1" applyFill="1" applyBorder="1" applyAlignment="1">
      <alignment horizontal="center" vertical="center" wrapText="1"/>
    </xf>
    <xf numFmtId="49" fontId="17" fillId="3" borderId="26" xfId="0" applyNumberFormat="1" applyFont="1" applyFill="1" applyBorder="1" applyAlignment="1">
      <alignment horizontal="center"/>
    </xf>
    <xf numFmtId="49" fontId="17" fillId="3" borderId="31" xfId="0" applyNumberFormat="1" applyFont="1" applyFill="1" applyBorder="1" applyAlignment="1">
      <alignment horizontal="center"/>
    </xf>
    <xf numFmtId="49" fontId="17" fillId="3" borderId="43" xfId="0" applyNumberFormat="1" applyFont="1" applyFill="1" applyBorder="1" applyAlignment="1">
      <alignment horizontal="center"/>
    </xf>
    <xf numFmtId="49" fontId="2" fillId="8" borderId="68" xfId="0" applyNumberFormat="1" applyFont="1" applyFill="1" applyBorder="1" applyAlignment="1">
      <alignment horizontal="center" vertical="center" wrapText="1"/>
    </xf>
    <xf numFmtId="0" fontId="2" fillId="8" borderId="58" xfId="0" applyNumberFormat="1" applyFont="1" applyFill="1" applyBorder="1" applyAlignment="1">
      <alignment horizontal="center" vertical="center" wrapText="1"/>
    </xf>
    <xf numFmtId="49" fontId="2" fillId="4" borderId="53" xfId="0" applyNumberFormat="1" applyFont="1" applyFill="1" applyBorder="1" applyAlignment="1">
      <alignment horizontal="center" vertical="center" wrapText="1"/>
    </xf>
    <xf numFmtId="0" fontId="2" fillId="4" borderId="58" xfId="0" applyNumberFormat="1" applyFont="1" applyFill="1" applyBorder="1" applyAlignment="1">
      <alignment horizontal="center" vertical="center" wrapText="1"/>
    </xf>
    <xf numFmtId="49" fontId="2" fillId="7" borderId="28" xfId="0" applyNumberFormat="1" applyFont="1" applyFill="1" applyBorder="1" applyAlignment="1">
      <alignment horizontal="center" vertical="center" wrapText="1"/>
    </xf>
    <xf numFmtId="0" fontId="2" fillId="7" borderId="56" xfId="0" applyNumberFormat="1" applyFont="1" applyFill="1" applyBorder="1" applyAlignment="1">
      <alignment horizontal="center" vertical="center" wrapText="1"/>
    </xf>
    <xf numFmtId="0" fontId="2" fillId="11" borderId="26" xfId="0" applyNumberFormat="1" applyFont="1" applyFill="1" applyBorder="1" applyAlignment="1">
      <alignment horizontal="center" vertical="center" wrapText="1"/>
    </xf>
    <xf numFmtId="0" fontId="2" fillId="11" borderId="43" xfId="0" applyNumberFormat="1" applyFont="1" applyFill="1" applyBorder="1" applyAlignment="1">
      <alignment horizontal="center" vertical="center" wrapText="1"/>
    </xf>
    <xf numFmtId="49" fontId="2" fillId="11" borderId="73" xfId="0" applyNumberFormat="1" applyFont="1" applyFill="1" applyBorder="1" applyAlignment="1">
      <alignment horizontal="center" vertical="center" wrapText="1"/>
    </xf>
    <xf numFmtId="49" fontId="2" fillId="11" borderId="74"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F2600"/>
      <rgbColor rgb="FFBFBFBF"/>
      <rgbColor rgb="FFADACAC"/>
      <rgbColor rgb="FFFFE598"/>
      <rgbColor rgb="FF8E98A5"/>
      <rgbColor rgb="FFE2EEDA"/>
      <rgbColor rgb="FF00FF00"/>
      <rgbColor rgb="FFFFFF00"/>
      <rgbColor rgb="FF84B4D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domassal Kainder Nehemie" id="{E3D8C3CC-05BC-44B9-B26A-12511D61EC58}" userId="Ndomassal Kainder Nehemie" providerId="None"/>
</personList>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31" dT="2020-05-28T15:25:04.56" personId="{E3D8C3CC-05BC-44B9-B26A-12511D61EC58}" id="{25F1A316-930C-4924-B0F3-DDB5035D28DC}">
    <text>Revoir ce montant en enlevant les donnees de la colonne de l'ancien budget car le montant global normal est $2,488,906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6"/>
  <sheetViews>
    <sheetView showGridLines="0" zoomScale="70" zoomScaleNormal="70" workbookViewId="0">
      <selection activeCell="D16" sqref="D16"/>
    </sheetView>
  </sheetViews>
  <sheetFormatPr defaultColWidth="8.81640625" defaultRowHeight="14.9" customHeight="1" x14ac:dyDescent="0.35"/>
  <cols>
    <col min="1" max="1" width="40.453125" style="1" customWidth="1"/>
    <col min="2" max="2" width="54" style="1" customWidth="1"/>
    <col min="3" max="6" width="50.453125" style="1" customWidth="1"/>
    <col min="7" max="256" width="8.81640625" style="1" customWidth="1"/>
  </cols>
  <sheetData>
    <row r="1" spans="1:6" ht="15" customHeight="1" x14ac:dyDescent="0.35">
      <c r="A1" s="2"/>
      <c r="B1" s="2"/>
      <c r="C1" s="2"/>
      <c r="D1" s="2"/>
      <c r="E1" s="2"/>
      <c r="F1" s="2"/>
    </row>
    <row r="2" spans="1:6" ht="15" customHeight="1" x14ac:dyDescent="0.35">
      <c r="A2" s="3" t="s">
        <v>0</v>
      </c>
      <c r="B2" s="3" t="s">
        <v>1</v>
      </c>
      <c r="C2" s="3" t="s">
        <v>2</v>
      </c>
      <c r="D2" s="4" t="s">
        <v>3</v>
      </c>
      <c r="E2" s="4" t="s">
        <v>4</v>
      </c>
      <c r="F2" s="4" t="s">
        <v>5</v>
      </c>
    </row>
    <row r="3" spans="1:6" ht="15" customHeight="1" x14ac:dyDescent="0.35">
      <c r="A3" s="5"/>
      <c r="B3" s="5"/>
      <c r="C3" s="5"/>
      <c r="D3" s="6"/>
      <c r="E3" s="6"/>
      <c r="F3" s="6"/>
    </row>
    <row r="4" spans="1:6" ht="145.5" customHeight="1" x14ac:dyDescent="0.35">
      <c r="A4" s="188" t="s">
        <v>103</v>
      </c>
      <c r="B4" s="186" t="s">
        <v>98</v>
      </c>
      <c r="C4" s="155" t="s">
        <v>116</v>
      </c>
      <c r="D4" s="154" t="s">
        <v>104</v>
      </c>
      <c r="E4" s="9" t="s">
        <v>6</v>
      </c>
      <c r="F4" s="9" t="s">
        <v>7</v>
      </c>
    </row>
    <row r="5" spans="1:6" ht="45" customHeight="1" x14ac:dyDescent="0.35">
      <c r="A5" s="189"/>
      <c r="B5" s="187"/>
      <c r="C5" s="155" t="s">
        <v>8</v>
      </c>
      <c r="D5" s="154" t="s">
        <v>117</v>
      </c>
      <c r="E5" s="9" t="s">
        <v>10</v>
      </c>
      <c r="F5" s="9" t="s">
        <v>11</v>
      </c>
    </row>
    <row r="6" spans="1:6" ht="15" customHeight="1" x14ac:dyDescent="0.35">
      <c r="A6" s="189"/>
      <c r="B6" s="5"/>
      <c r="C6" s="5"/>
      <c r="D6" s="10"/>
      <c r="E6" s="11"/>
      <c r="F6" s="11"/>
    </row>
    <row r="7" spans="1:6" ht="205.5" customHeight="1" x14ac:dyDescent="0.35">
      <c r="A7" s="189"/>
      <c r="B7" s="186" t="s">
        <v>99</v>
      </c>
      <c r="C7" s="7" t="s">
        <v>12</v>
      </c>
      <c r="D7" s="154" t="s">
        <v>105</v>
      </c>
      <c r="E7" s="9" t="s">
        <v>13</v>
      </c>
      <c r="F7" s="9" t="s">
        <v>11</v>
      </c>
    </row>
    <row r="8" spans="1:6" ht="101.5" x14ac:dyDescent="0.35">
      <c r="A8" s="189"/>
      <c r="B8" s="187"/>
      <c r="C8" s="7" t="s">
        <v>14</v>
      </c>
      <c r="D8" s="8" t="s">
        <v>100</v>
      </c>
      <c r="E8" s="9" t="s">
        <v>15</v>
      </c>
      <c r="F8" s="9" t="s">
        <v>11</v>
      </c>
    </row>
    <row r="9" spans="1:6" ht="14.5" x14ac:dyDescent="0.35">
      <c r="A9" s="189"/>
      <c r="B9" s="5"/>
      <c r="C9" s="5"/>
      <c r="D9" s="10"/>
      <c r="E9" s="11"/>
      <c r="F9" s="11"/>
    </row>
    <row r="10" spans="1:6" ht="111.5" customHeight="1" x14ac:dyDescent="0.35">
      <c r="A10" s="189"/>
      <c r="B10" s="186" t="s">
        <v>101</v>
      </c>
      <c r="C10" s="155" t="s">
        <v>115</v>
      </c>
      <c r="D10" s="8" t="s">
        <v>102</v>
      </c>
      <c r="E10" s="9" t="s">
        <v>16</v>
      </c>
      <c r="F10" s="9" t="s">
        <v>11</v>
      </c>
    </row>
    <row r="11" spans="1:6" ht="45" customHeight="1" x14ac:dyDescent="0.35">
      <c r="A11" s="189"/>
      <c r="B11" s="187"/>
      <c r="C11" s="7" t="s">
        <v>114</v>
      </c>
      <c r="D11" s="8" t="s">
        <v>17</v>
      </c>
      <c r="E11" s="9" t="s">
        <v>18</v>
      </c>
      <c r="F11" s="9" t="s">
        <v>19</v>
      </c>
    </row>
    <row r="12" spans="1:6" ht="68.5" customHeight="1" x14ac:dyDescent="0.35">
      <c r="A12" s="189"/>
      <c r="B12" s="187"/>
      <c r="C12" s="12"/>
      <c r="D12" s="8"/>
      <c r="E12" s="9"/>
      <c r="F12" s="9"/>
    </row>
    <row r="13" spans="1:6" ht="15" customHeight="1" x14ac:dyDescent="0.35">
      <c r="A13" s="5"/>
      <c r="B13" s="5"/>
      <c r="C13" s="5"/>
      <c r="D13" s="13"/>
      <c r="E13" s="6"/>
      <c r="F13" s="6"/>
    </row>
    <row r="14" spans="1:6" ht="63" customHeight="1" x14ac:dyDescent="0.35">
      <c r="A14" s="188" t="s">
        <v>107</v>
      </c>
      <c r="B14" s="190" t="s">
        <v>20</v>
      </c>
      <c r="C14" s="7" t="s">
        <v>21</v>
      </c>
      <c r="D14" s="8" t="s">
        <v>22</v>
      </c>
      <c r="E14" s="9" t="s">
        <v>23</v>
      </c>
      <c r="F14" s="9" t="s">
        <v>19</v>
      </c>
    </row>
    <row r="15" spans="1:6" ht="60" customHeight="1" x14ac:dyDescent="0.35">
      <c r="A15" s="189"/>
      <c r="B15" s="191"/>
      <c r="C15" s="7" t="s">
        <v>24</v>
      </c>
      <c r="D15" s="8" t="s">
        <v>111</v>
      </c>
      <c r="E15" s="9" t="s">
        <v>23</v>
      </c>
      <c r="F15" s="9" t="s">
        <v>25</v>
      </c>
    </row>
    <row r="16" spans="1:6" ht="39" customHeight="1" x14ac:dyDescent="0.35">
      <c r="A16" s="189"/>
      <c r="B16" s="191"/>
      <c r="C16" s="7" t="s">
        <v>26</v>
      </c>
      <c r="D16" s="153" t="s">
        <v>27</v>
      </c>
      <c r="E16" s="9" t="s">
        <v>28</v>
      </c>
      <c r="F16" s="9" t="s">
        <v>29</v>
      </c>
    </row>
    <row r="17" spans="1:6" ht="15.75" customHeight="1" x14ac:dyDescent="0.35">
      <c r="A17" s="189"/>
      <c r="B17" s="184"/>
      <c r="C17" s="14"/>
      <c r="D17" s="10"/>
      <c r="E17" s="10"/>
      <c r="F17" s="10"/>
    </row>
    <row r="18" spans="1:6" ht="15.75" customHeight="1" x14ac:dyDescent="0.35">
      <c r="A18" s="189"/>
      <c r="B18" s="185"/>
      <c r="C18" s="14"/>
      <c r="D18" s="10"/>
      <c r="E18" s="10"/>
      <c r="F18" s="10"/>
    </row>
    <row r="19" spans="1:6" ht="48.65" customHeight="1" x14ac:dyDescent="0.35">
      <c r="A19" s="189"/>
      <c r="B19" s="185"/>
      <c r="C19" s="14"/>
      <c r="D19" s="10"/>
      <c r="E19" s="10"/>
      <c r="F19" s="10"/>
    </row>
    <row r="20" spans="1:6" ht="15" customHeight="1" x14ac:dyDescent="0.35">
      <c r="A20" s="5"/>
      <c r="B20" s="5"/>
      <c r="C20" s="5"/>
      <c r="D20" s="10"/>
      <c r="E20" s="10"/>
      <c r="F20" s="10"/>
    </row>
    <row r="21" spans="1:6" ht="15" customHeight="1" x14ac:dyDescent="0.35">
      <c r="A21" s="5"/>
      <c r="B21" s="5"/>
      <c r="C21" s="5"/>
      <c r="D21" s="8" t="s">
        <v>30</v>
      </c>
      <c r="E21" s="8"/>
      <c r="F21" s="8"/>
    </row>
    <row r="22" spans="1:6" ht="15" customHeight="1" x14ac:dyDescent="0.35">
      <c r="A22" s="5"/>
      <c r="B22" s="5"/>
      <c r="C22" s="5"/>
      <c r="D22" s="8" t="s">
        <v>31</v>
      </c>
      <c r="E22" s="8"/>
      <c r="F22" s="8"/>
    </row>
    <row r="23" spans="1:6" ht="15" customHeight="1" x14ac:dyDescent="0.35">
      <c r="A23" s="5"/>
      <c r="B23" s="5"/>
      <c r="C23" s="5"/>
      <c r="D23" s="8" t="s">
        <v>32</v>
      </c>
      <c r="E23" s="8"/>
      <c r="F23" s="8"/>
    </row>
    <row r="24" spans="1:6" ht="15" customHeight="1" x14ac:dyDescent="0.35">
      <c r="A24" s="5"/>
      <c r="B24" s="5"/>
      <c r="C24" s="5"/>
      <c r="D24" s="10"/>
      <c r="E24" s="10"/>
      <c r="F24" s="10"/>
    </row>
    <row r="25" spans="1:6" ht="15" customHeight="1" x14ac:dyDescent="0.35">
      <c r="A25" s="5"/>
      <c r="B25" s="5"/>
      <c r="C25" s="5"/>
      <c r="D25" s="8" t="s">
        <v>33</v>
      </c>
      <c r="E25" s="8"/>
      <c r="F25" s="8"/>
    </row>
    <row r="26" spans="1:6" ht="15" customHeight="1" x14ac:dyDescent="0.35">
      <c r="A26" s="5"/>
      <c r="B26" s="5"/>
      <c r="C26" s="5"/>
      <c r="D26" s="8"/>
      <c r="E26" s="8"/>
      <c r="F26" s="8"/>
    </row>
  </sheetData>
  <mergeCells count="7">
    <mergeCell ref="B17:B19"/>
    <mergeCell ref="B7:B8"/>
    <mergeCell ref="A4:A12"/>
    <mergeCell ref="B10:B12"/>
    <mergeCell ref="A14:A19"/>
    <mergeCell ref="B4:B5"/>
    <mergeCell ref="B14:B16"/>
  </mergeCells>
  <pageMargins left="0.25" right="0.25" top="0.75" bottom="0.75" header="0.3" footer="0.3"/>
  <pageSetup orientation="landscape" r:id="rId1"/>
  <headerFooter>
    <oddFooter>&amp;C&amp;"Helvetica,Regular"&amp;12&amp;K000000&amp;P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
  <sheetViews>
    <sheetView showGridLines="0" zoomScale="53" zoomScaleNormal="53" workbookViewId="0">
      <pane ySplit="8" topLeftCell="A26" activePane="bottomLeft" state="frozen"/>
      <selection activeCell="B1" sqref="B1"/>
      <selection pane="bottomLeft" activeCell="C31" sqref="C31"/>
    </sheetView>
  </sheetViews>
  <sheetFormatPr defaultColWidth="8.7265625" defaultRowHeight="15" customHeight="1" x14ac:dyDescent="0.35"/>
  <cols>
    <col min="1" max="1" width="17.453125" style="15" customWidth="1"/>
    <col min="2" max="2" width="44.26953125" style="15" customWidth="1"/>
    <col min="3" max="3" width="27.453125" style="15" customWidth="1"/>
    <col min="4" max="5" width="24.7265625" style="15" customWidth="1"/>
    <col min="6" max="6" width="24.7265625" style="83" customWidth="1"/>
    <col min="7" max="7" width="25.453125" style="15" customWidth="1"/>
    <col min="8" max="8" width="22.453125" style="128" customWidth="1"/>
    <col min="9" max="9" width="20.7265625" style="15" customWidth="1"/>
    <col min="10" max="10" width="8.7265625" style="15" customWidth="1"/>
    <col min="11" max="11" width="17.7265625" style="15" customWidth="1"/>
    <col min="12" max="12" width="23.7265625" style="15" customWidth="1"/>
    <col min="13" max="257" width="8.7265625" style="15" customWidth="1"/>
  </cols>
  <sheetData>
    <row r="1" spans="1:14" ht="21" customHeight="1" x14ac:dyDescent="0.5">
      <c r="A1" s="16" t="s">
        <v>34</v>
      </c>
      <c r="B1" s="17"/>
      <c r="C1" s="18"/>
      <c r="D1" s="18"/>
      <c r="E1" s="18"/>
      <c r="F1" s="18"/>
      <c r="G1" s="19"/>
      <c r="H1" s="117"/>
      <c r="I1" s="20"/>
      <c r="J1" s="21"/>
      <c r="K1" s="22"/>
      <c r="L1" s="22"/>
      <c r="M1" s="22"/>
      <c r="N1" s="23"/>
    </row>
    <row r="2" spans="1:14" ht="15.75" customHeight="1" x14ac:dyDescent="0.35">
      <c r="A2" s="24"/>
      <c r="B2" s="25"/>
      <c r="C2" s="26"/>
      <c r="D2" s="27"/>
      <c r="E2" s="26"/>
      <c r="F2" s="26"/>
      <c r="G2" s="28"/>
      <c r="H2" s="118"/>
      <c r="I2" s="29"/>
      <c r="J2" s="30"/>
      <c r="K2" s="31"/>
      <c r="L2" s="31"/>
      <c r="M2" s="31"/>
      <c r="N2" s="32"/>
    </row>
    <row r="3" spans="1:14" ht="15.75" customHeight="1" x14ac:dyDescent="0.35">
      <c r="A3" s="33" t="s">
        <v>35</v>
      </c>
      <c r="B3" s="25"/>
      <c r="C3" s="34"/>
      <c r="D3" s="35"/>
      <c r="E3" s="36"/>
      <c r="F3" s="130"/>
      <c r="G3" s="28"/>
      <c r="H3" s="118"/>
      <c r="I3" s="29"/>
      <c r="J3" s="30"/>
      <c r="K3" s="31"/>
      <c r="L3" s="31"/>
      <c r="M3" s="31"/>
      <c r="N3" s="32"/>
    </row>
    <row r="4" spans="1:14" ht="15" customHeight="1" x14ac:dyDescent="0.35">
      <c r="A4" s="37"/>
      <c r="B4" s="38"/>
      <c r="C4" s="28"/>
      <c r="D4" s="19"/>
      <c r="E4" s="28"/>
      <c r="F4" s="28"/>
      <c r="G4" s="28"/>
      <c r="H4" s="118"/>
      <c r="I4" s="29"/>
      <c r="J4" s="30"/>
      <c r="K4" s="31"/>
      <c r="L4" s="31"/>
      <c r="M4" s="31"/>
      <c r="N4" s="32"/>
    </row>
    <row r="5" spans="1:14" ht="15.75" customHeight="1" x14ac:dyDescent="0.35">
      <c r="A5" s="33" t="s">
        <v>36</v>
      </c>
      <c r="B5" s="38"/>
      <c r="C5" s="28"/>
      <c r="D5" s="28"/>
      <c r="E5" s="28"/>
      <c r="F5" s="28"/>
      <c r="G5" s="28"/>
      <c r="H5" s="118"/>
      <c r="I5" s="29"/>
      <c r="J5" s="30"/>
      <c r="K5" s="31"/>
      <c r="L5" s="31"/>
      <c r="M5" s="31"/>
      <c r="N5" s="32"/>
    </row>
    <row r="6" spans="1:14" ht="15.75" customHeight="1" x14ac:dyDescent="0.35">
      <c r="A6" s="39"/>
      <c r="B6" s="40"/>
      <c r="C6" s="41"/>
      <c r="D6" s="41"/>
      <c r="E6" s="41"/>
      <c r="F6" s="41"/>
      <c r="G6" s="41"/>
      <c r="H6" s="119"/>
      <c r="I6" s="42"/>
      <c r="J6" s="30"/>
      <c r="K6" s="31"/>
      <c r="L6" s="31"/>
      <c r="M6" s="31"/>
      <c r="N6" s="32"/>
    </row>
    <row r="7" spans="1:14" ht="95.25" customHeight="1" x14ac:dyDescent="0.35">
      <c r="A7" s="43" t="s">
        <v>37</v>
      </c>
      <c r="B7" s="44" t="s">
        <v>38</v>
      </c>
      <c r="C7" s="45" t="s">
        <v>39</v>
      </c>
      <c r="D7" s="43" t="s">
        <v>40</v>
      </c>
      <c r="E7" s="43" t="s">
        <v>41</v>
      </c>
      <c r="F7" s="137" t="s">
        <v>113</v>
      </c>
      <c r="G7" s="43" t="s">
        <v>42</v>
      </c>
      <c r="H7" s="43" t="s">
        <v>43</v>
      </c>
      <c r="I7" s="46" t="s">
        <v>44</v>
      </c>
      <c r="J7" s="47"/>
      <c r="K7" s="31"/>
      <c r="L7" s="31"/>
      <c r="M7" s="31"/>
      <c r="N7" s="32"/>
    </row>
    <row r="8" spans="1:14" ht="33" customHeight="1" x14ac:dyDescent="0.35">
      <c r="A8" s="198" t="s">
        <v>45</v>
      </c>
      <c r="B8" s="199"/>
      <c r="C8" s="199"/>
      <c r="D8" s="199"/>
      <c r="E8" s="199"/>
      <c r="F8" s="199"/>
      <c r="G8" s="199"/>
      <c r="H8" s="199"/>
      <c r="I8" s="200"/>
      <c r="J8" s="47"/>
      <c r="K8" s="31"/>
      <c r="L8" s="31"/>
      <c r="M8" s="31"/>
      <c r="N8" s="32"/>
    </row>
    <row r="9" spans="1:14" ht="95.25" customHeight="1" x14ac:dyDescent="0.35">
      <c r="A9" s="48" t="s">
        <v>46</v>
      </c>
      <c r="B9" s="49" t="s">
        <v>47</v>
      </c>
      <c r="C9" s="50"/>
      <c r="D9" s="51"/>
      <c r="E9" s="52"/>
      <c r="F9" s="135"/>
      <c r="G9" s="52"/>
      <c r="H9" s="120"/>
      <c r="I9" s="53"/>
      <c r="J9" s="47"/>
      <c r="K9" s="31"/>
      <c r="L9" s="31"/>
      <c r="M9" s="31"/>
      <c r="N9" s="32"/>
    </row>
    <row r="10" spans="1:14" ht="111.65" customHeight="1" x14ac:dyDescent="0.35">
      <c r="A10" s="46" t="s">
        <v>48</v>
      </c>
      <c r="B10" s="54" t="s">
        <v>104</v>
      </c>
      <c r="C10" s="52">
        <f>SUM(D10+F10+G10)</f>
        <v>110000</v>
      </c>
      <c r="D10" s="52">
        <v>60000</v>
      </c>
      <c r="E10" s="52">
        <v>0</v>
      </c>
      <c r="F10" s="135">
        <v>0</v>
      </c>
      <c r="G10" s="52">
        <v>50000</v>
      </c>
      <c r="H10" s="120">
        <v>0.5</v>
      </c>
      <c r="I10" s="53"/>
      <c r="J10" s="47"/>
      <c r="K10" s="31"/>
      <c r="L10" s="31"/>
      <c r="M10" s="31"/>
      <c r="N10" s="32"/>
    </row>
    <row r="11" spans="1:14" ht="95.25" customHeight="1" x14ac:dyDescent="0.35">
      <c r="A11" s="46" t="s">
        <v>49</v>
      </c>
      <c r="B11" s="54" t="s">
        <v>9</v>
      </c>
      <c r="C11" s="52">
        <f t="shared" ref="C11:C13" si="0">SUM(D11+F11+G11)</f>
        <v>95000</v>
      </c>
      <c r="D11" s="52">
        <v>50000</v>
      </c>
      <c r="E11" s="52">
        <v>0</v>
      </c>
      <c r="F11" s="135">
        <v>0</v>
      </c>
      <c r="G11" s="52">
        <v>45000</v>
      </c>
      <c r="H11" s="120">
        <v>0.5</v>
      </c>
      <c r="I11" s="53"/>
      <c r="J11" s="47"/>
      <c r="K11" s="31"/>
      <c r="L11" s="31"/>
      <c r="M11" s="31"/>
      <c r="N11" s="32"/>
    </row>
    <row r="12" spans="1:14" ht="83.25" customHeight="1" x14ac:dyDescent="0.35">
      <c r="A12" s="48" t="s">
        <v>50</v>
      </c>
      <c r="B12" s="49" t="s">
        <v>51</v>
      </c>
      <c r="C12" s="52">
        <f t="shared" si="0"/>
        <v>0</v>
      </c>
      <c r="D12" s="51"/>
      <c r="E12" s="52"/>
      <c r="F12" s="135">
        <v>0</v>
      </c>
      <c r="G12" s="52"/>
      <c r="H12" s="120"/>
      <c r="I12" s="53"/>
      <c r="J12" s="47"/>
      <c r="K12" s="31"/>
      <c r="L12" s="31"/>
      <c r="M12" s="31"/>
      <c r="N12" s="32"/>
    </row>
    <row r="13" spans="1:14" ht="233.25" customHeight="1" x14ac:dyDescent="0.35">
      <c r="A13" s="46" t="s">
        <v>52</v>
      </c>
      <c r="B13" s="54" t="s">
        <v>105</v>
      </c>
      <c r="C13" s="149">
        <f t="shared" si="0"/>
        <v>50500</v>
      </c>
      <c r="D13" s="52">
        <v>28000</v>
      </c>
      <c r="E13" s="149">
        <f>5000</f>
        <v>5000</v>
      </c>
      <c r="F13" s="150">
        <v>0</v>
      </c>
      <c r="G13" s="52">
        <v>22500</v>
      </c>
      <c r="H13" s="120">
        <v>0.4</v>
      </c>
      <c r="I13" s="53"/>
      <c r="J13" s="47"/>
      <c r="K13" s="31"/>
      <c r="L13" s="31"/>
      <c r="M13" s="31"/>
      <c r="N13" s="32"/>
    </row>
    <row r="14" spans="1:14" ht="111" customHeight="1" x14ac:dyDescent="0.35">
      <c r="A14" s="46" t="s">
        <v>53</v>
      </c>
      <c r="B14" s="54" t="s">
        <v>54</v>
      </c>
      <c r="C14" s="52">
        <f>SUM(D14+F14+G14)</f>
        <v>150000</v>
      </c>
      <c r="D14" s="52">
        <v>75000</v>
      </c>
      <c r="E14" s="52">
        <v>0</v>
      </c>
      <c r="F14" s="135">
        <v>0</v>
      </c>
      <c r="G14" s="52">
        <v>75000</v>
      </c>
      <c r="H14" s="120">
        <v>0.5</v>
      </c>
      <c r="I14" s="53"/>
      <c r="J14" s="47"/>
      <c r="K14" s="31"/>
      <c r="L14" s="31"/>
      <c r="M14" s="31"/>
      <c r="N14" s="32"/>
    </row>
    <row r="15" spans="1:14" ht="16.5" customHeight="1" x14ac:dyDescent="0.35">
      <c r="A15" s="46" t="s">
        <v>55</v>
      </c>
      <c r="B15" s="54"/>
      <c r="C15" s="52">
        <f>SUM(D15+F15+G15)</f>
        <v>0</v>
      </c>
      <c r="D15" s="55"/>
      <c r="E15" s="56"/>
      <c r="F15" s="135">
        <v>0</v>
      </c>
      <c r="G15" s="56"/>
      <c r="H15" s="121"/>
      <c r="I15" s="57"/>
      <c r="J15" s="47"/>
      <c r="K15" s="31"/>
      <c r="L15" s="31"/>
      <c r="M15" s="31"/>
      <c r="N15" s="32"/>
    </row>
    <row r="16" spans="1:14" ht="75.650000000000006" customHeight="1" x14ac:dyDescent="0.35">
      <c r="A16" s="48" t="s">
        <v>56</v>
      </c>
      <c r="B16" s="58" t="s">
        <v>57</v>
      </c>
      <c r="C16" s="52">
        <f t="shared" ref="C16:C19" si="1">SUM(D16+F16+G16)</f>
        <v>0</v>
      </c>
      <c r="D16" s="51"/>
      <c r="E16" s="52"/>
      <c r="F16" s="135">
        <v>0</v>
      </c>
      <c r="G16" s="52"/>
      <c r="H16" s="120"/>
      <c r="I16" s="53"/>
      <c r="J16" s="47"/>
      <c r="K16" s="31"/>
      <c r="L16" s="31"/>
      <c r="M16" s="31"/>
      <c r="N16" s="32"/>
    </row>
    <row r="17" spans="1:14" ht="98" x14ac:dyDescent="0.35">
      <c r="A17" s="46" t="s">
        <v>58</v>
      </c>
      <c r="B17" s="54" t="s">
        <v>102</v>
      </c>
      <c r="C17" s="52">
        <f t="shared" si="1"/>
        <v>105000</v>
      </c>
      <c r="D17" s="52">
        <v>55000</v>
      </c>
      <c r="E17" s="52">
        <v>0</v>
      </c>
      <c r="F17" s="135">
        <v>0</v>
      </c>
      <c r="G17" s="52">
        <v>50000</v>
      </c>
      <c r="H17" s="120">
        <v>0.5</v>
      </c>
      <c r="I17" s="53"/>
      <c r="J17" s="47"/>
      <c r="K17" s="31"/>
      <c r="L17" s="31"/>
      <c r="M17" s="31"/>
      <c r="N17" s="32"/>
    </row>
    <row r="18" spans="1:14" ht="57.5" x14ac:dyDescent="0.35">
      <c r="A18" s="46" t="s">
        <v>59</v>
      </c>
      <c r="B18" s="54" t="s">
        <v>106</v>
      </c>
      <c r="C18" s="52">
        <f t="shared" si="1"/>
        <v>29000</v>
      </c>
      <c r="D18" s="52">
        <v>16500</v>
      </c>
      <c r="E18" s="52">
        <v>0</v>
      </c>
      <c r="F18" s="135">
        <v>0</v>
      </c>
      <c r="G18" s="52">
        <v>12500</v>
      </c>
      <c r="H18" s="120">
        <v>0.4</v>
      </c>
      <c r="I18" s="53"/>
      <c r="J18" s="47"/>
      <c r="K18" s="31"/>
      <c r="L18" s="31"/>
      <c r="M18" s="31"/>
      <c r="N18" s="32"/>
    </row>
    <row r="19" spans="1:14" ht="15.5" x14ac:dyDescent="0.35">
      <c r="A19" s="46" t="s">
        <v>60</v>
      </c>
      <c r="B19" s="54" t="s">
        <v>61</v>
      </c>
      <c r="C19" s="52">
        <f t="shared" si="1"/>
        <v>0</v>
      </c>
      <c r="D19" s="52">
        <v>0</v>
      </c>
      <c r="E19" s="52">
        <v>0</v>
      </c>
      <c r="F19" s="135">
        <v>0</v>
      </c>
      <c r="G19" s="52">
        <v>0</v>
      </c>
      <c r="H19" s="120"/>
      <c r="I19" s="53"/>
      <c r="J19" s="47"/>
      <c r="K19" s="31"/>
      <c r="L19" s="31"/>
      <c r="M19" s="31"/>
      <c r="N19" s="32"/>
    </row>
    <row r="20" spans="1:14" ht="31.5" customHeight="1" x14ac:dyDescent="0.35">
      <c r="A20" s="192" t="s">
        <v>62</v>
      </c>
      <c r="B20" s="193"/>
      <c r="C20" s="159">
        <f>SUM(C9:C19)</f>
        <v>539500</v>
      </c>
      <c r="D20" s="59">
        <f>SUM(D9:D19)</f>
        <v>284500</v>
      </c>
      <c r="E20" s="59">
        <f>SUM(E9:E19)</f>
        <v>5000</v>
      </c>
      <c r="F20" s="150">
        <v>0</v>
      </c>
      <c r="G20" s="59">
        <f>SUM(G9:G19)</f>
        <v>255000</v>
      </c>
      <c r="H20" s="122"/>
      <c r="I20" s="60"/>
      <c r="J20" s="47"/>
      <c r="K20" s="31"/>
      <c r="L20" s="31"/>
      <c r="M20" s="31"/>
      <c r="N20" s="32"/>
    </row>
    <row r="21" spans="1:14" ht="54" customHeight="1" x14ac:dyDescent="0.35">
      <c r="A21" s="198" t="s">
        <v>108</v>
      </c>
      <c r="B21" s="199"/>
      <c r="C21" s="199"/>
      <c r="D21" s="199"/>
      <c r="E21" s="199"/>
      <c r="F21" s="199"/>
      <c r="G21" s="199"/>
      <c r="H21" s="199"/>
      <c r="I21" s="200"/>
      <c r="J21" s="47"/>
      <c r="K21" s="31"/>
      <c r="L21" s="31"/>
      <c r="M21" s="31"/>
      <c r="N21" s="32"/>
    </row>
    <row r="22" spans="1:14" ht="132" customHeight="1" x14ac:dyDescent="0.35">
      <c r="A22" s="48" t="s">
        <v>63</v>
      </c>
      <c r="B22" s="58" t="s">
        <v>109</v>
      </c>
      <c r="C22" s="51"/>
      <c r="D22" s="61"/>
      <c r="E22" s="52"/>
      <c r="F22" s="135"/>
      <c r="G22" s="52"/>
      <c r="H22" s="120"/>
      <c r="I22" s="53"/>
      <c r="J22" s="47"/>
      <c r="K22" s="31"/>
      <c r="L22" s="31"/>
      <c r="M22" s="31"/>
      <c r="N22" s="32"/>
    </row>
    <row r="23" spans="1:14" ht="127.5" customHeight="1" x14ac:dyDescent="0.35">
      <c r="A23" s="46" t="s">
        <v>64</v>
      </c>
      <c r="B23" s="54" t="s">
        <v>65</v>
      </c>
      <c r="C23" s="52">
        <f>D23+F23+G23</f>
        <v>605000</v>
      </c>
      <c r="D23" s="52">
        <v>105000</v>
      </c>
      <c r="E23" s="52">
        <v>400000</v>
      </c>
      <c r="F23" s="135">
        <f>E23</f>
        <v>400000</v>
      </c>
      <c r="G23" s="52">
        <v>100000</v>
      </c>
      <c r="H23" s="120">
        <v>0.25</v>
      </c>
      <c r="I23" s="53"/>
      <c r="J23" s="47"/>
      <c r="K23" s="31"/>
      <c r="L23" s="31"/>
      <c r="M23" s="31"/>
      <c r="N23" s="32"/>
    </row>
    <row r="24" spans="1:14" ht="141.75" customHeight="1" x14ac:dyDescent="0.35">
      <c r="A24" s="46" t="s">
        <v>66</v>
      </c>
      <c r="B24" s="54" t="s">
        <v>110</v>
      </c>
      <c r="C24" s="149">
        <f>D24+F24+G24</f>
        <v>415750</v>
      </c>
      <c r="D24" s="52">
        <v>62000</v>
      </c>
      <c r="E24" s="149">
        <v>250000</v>
      </c>
      <c r="F24" s="150">
        <v>293750</v>
      </c>
      <c r="G24" s="52">
        <f>60000</f>
        <v>60000</v>
      </c>
      <c r="H24" s="120">
        <v>0.7</v>
      </c>
      <c r="I24" s="53"/>
      <c r="J24" s="47"/>
      <c r="K24" s="107"/>
      <c r="L24" s="31"/>
      <c r="M24" s="31"/>
      <c r="N24" s="32"/>
    </row>
    <row r="25" spans="1:14" ht="113.25" customHeight="1" thickBot="1" x14ac:dyDescent="0.4">
      <c r="A25" s="46" t="s">
        <v>67</v>
      </c>
      <c r="B25" s="54" t="s">
        <v>68</v>
      </c>
      <c r="C25" s="52">
        <f>D25+F25+G25</f>
        <v>215000</v>
      </c>
      <c r="D25" s="52">
        <v>110000</v>
      </c>
      <c r="E25" s="52">
        <v>0</v>
      </c>
      <c r="F25" s="135">
        <f>E25</f>
        <v>0</v>
      </c>
      <c r="G25" s="52">
        <v>105000</v>
      </c>
      <c r="H25" s="120">
        <v>0.5</v>
      </c>
      <c r="I25" s="53"/>
      <c r="J25" s="47"/>
      <c r="K25" s="31"/>
      <c r="L25" s="31"/>
      <c r="M25" s="31"/>
      <c r="N25" s="32"/>
    </row>
    <row r="26" spans="1:14" ht="36" customHeight="1" thickBot="1" x14ac:dyDescent="0.4">
      <c r="A26" s="192" t="s">
        <v>69</v>
      </c>
      <c r="B26" s="193"/>
      <c r="C26" s="159">
        <f>SUM(C22:C25)</f>
        <v>1235750</v>
      </c>
      <c r="D26" s="59">
        <f>SUM(D22:D25)</f>
        <v>277000</v>
      </c>
      <c r="E26" s="131">
        <f>SUM(E22:E25)</f>
        <v>650000</v>
      </c>
      <c r="F26" s="160">
        <f>SUM(F22:F25)</f>
        <v>693750</v>
      </c>
      <c r="G26" s="131">
        <f>SUM(G22:G25)</f>
        <v>265000</v>
      </c>
      <c r="H26" s="123"/>
      <c r="I26" s="60"/>
      <c r="J26" s="47"/>
      <c r="K26" s="31"/>
      <c r="L26" s="31"/>
      <c r="M26" s="31"/>
      <c r="N26" s="32"/>
    </row>
    <row r="27" spans="1:14" ht="110.25" customHeight="1" thickBot="1" x14ac:dyDescent="0.4">
      <c r="A27" s="62" t="s">
        <v>70</v>
      </c>
      <c r="B27" s="63"/>
      <c r="C27" s="161">
        <v>266725</v>
      </c>
      <c r="D27" s="65">
        <v>112725</v>
      </c>
      <c r="E27" s="151">
        <v>108750</v>
      </c>
      <c r="F27" s="152">
        <v>70000</v>
      </c>
      <c r="G27" s="134">
        <v>84000</v>
      </c>
      <c r="H27" s="133"/>
      <c r="I27" s="60"/>
      <c r="J27" s="47"/>
      <c r="K27" s="107"/>
      <c r="L27" s="31"/>
      <c r="M27" s="31"/>
      <c r="N27" s="32"/>
    </row>
    <row r="28" spans="1:14" ht="42.75" customHeight="1" thickBot="1" x14ac:dyDescent="0.4">
      <c r="A28" s="46" t="s">
        <v>71</v>
      </c>
      <c r="B28" s="66" t="s">
        <v>72</v>
      </c>
      <c r="C28" s="51">
        <v>284105.24670000002</v>
      </c>
      <c r="D28" s="52">
        <v>181000</v>
      </c>
      <c r="E28" s="132">
        <v>54105.25</v>
      </c>
      <c r="F28" s="135">
        <f>E28</f>
        <v>54105.25</v>
      </c>
      <c r="G28" s="132">
        <v>49000</v>
      </c>
      <c r="H28" s="120"/>
      <c r="I28" s="53"/>
      <c r="J28" s="47"/>
      <c r="K28" s="31"/>
      <c r="L28" s="31"/>
      <c r="M28" s="31"/>
      <c r="N28" s="32"/>
    </row>
    <row r="29" spans="1:14" ht="26.25" customHeight="1" thickBot="1" x14ac:dyDescent="0.4">
      <c r="A29" s="194" t="s">
        <v>73</v>
      </c>
      <c r="B29" s="195"/>
      <c r="C29" s="67">
        <f>C20+C26+C27+C28</f>
        <v>2326080.2467</v>
      </c>
      <c r="D29" s="67">
        <f>D20+D26+D27+D28</f>
        <v>855225</v>
      </c>
      <c r="E29" s="139">
        <f>E20+E26+E27+E28</f>
        <v>817855.25</v>
      </c>
      <c r="F29" s="136">
        <f>F20+F26+F27+F28</f>
        <v>817855.25</v>
      </c>
      <c r="G29" s="139">
        <f>G20+G26+G27+G28</f>
        <v>653000</v>
      </c>
      <c r="H29" s="124"/>
      <c r="I29" s="60"/>
      <c r="J29" s="47"/>
      <c r="K29" s="31"/>
      <c r="L29" s="31"/>
      <c r="M29" s="31"/>
      <c r="N29" s="32"/>
    </row>
    <row r="30" spans="1:14" ht="35.25" customHeight="1" thickBot="1" x14ac:dyDescent="0.4">
      <c r="A30" s="196" t="s">
        <v>74</v>
      </c>
      <c r="B30" s="197"/>
      <c r="C30" s="68">
        <f>C29*7%</f>
        <v>162825.61726900001</v>
      </c>
      <c r="D30" s="138">
        <f>D29*7%</f>
        <v>59865.750000000007</v>
      </c>
      <c r="E30" s="141">
        <f>E29*7%</f>
        <v>57249.867500000008</v>
      </c>
      <c r="F30" s="143">
        <f>F29*7%</f>
        <v>57249.867500000008</v>
      </c>
      <c r="G30" s="141">
        <f>G29*7%</f>
        <v>45710.000000000007</v>
      </c>
      <c r="H30" s="144"/>
      <c r="I30" s="60"/>
      <c r="J30" s="47"/>
      <c r="K30" s="31"/>
      <c r="L30" s="31"/>
      <c r="M30" s="31"/>
      <c r="N30" s="32"/>
    </row>
    <row r="31" spans="1:14" ht="27.75" customHeight="1" thickBot="1" x14ac:dyDescent="0.4">
      <c r="A31" s="192" t="s">
        <v>75</v>
      </c>
      <c r="B31" s="193"/>
      <c r="C31" s="183">
        <f>C29+C30</f>
        <v>2488905.8639690001</v>
      </c>
      <c r="D31" s="162">
        <f>D29+D30</f>
        <v>915090.75</v>
      </c>
      <c r="E31" s="162">
        <f>E29+E30</f>
        <v>875105.11750000005</v>
      </c>
      <c r="F31" s="136">
        <f>F29+F30</f>
        <v>875105.11750000005</v>
      </c>
      <c r="G31" s="142">
        <f>G29+G30</f>
        <v>698710</v>
      </c>
      <c r="H31" s="145"/>
      <c r="I31" s="156"/>
      <c r="J31" s="47"/>
      <c r="K31" s="107"/>
      <c r="L31" s="31"/>
      <c r="M31" s="31"/>
      <c r="N31" s="32"/>
    </row>
    <row r="32" spans="1:14" ht="32.25" customHeight="1" thickBot="1" x14ac:dyDescent="0.4">
      <c r="A32" s="69" t="s">
        <v>76</v>
      </c>
      <c r="B32" s="63"/>
      <c r="C32" s="70"/>
      <c r="D32" s="64"/>
      <c r="E32" s="140"/>
      <c r="F32" s="64"/>
      <c r="G32" s="140"/>
      <c r="H32" s="125"/>
      <c r="I32" s="60"/>
      <c r="J32" s="47"/>
      <c r="K32" s="31"/>
      <c r="L32" s="31"/>
      <c r="M32" s="31"/>
      <c r="N32" s="32"/>
    </row>
    <row r="33" spans="1:14" ht="16.5" customHeight="1" x14ac:dyDescent="0.35">
      <c r="A33" s="72"/>
      <c r="B33" s="22"/>
      <c r="C33" s="22"/>
      <c r="D33" s="73"/>
      <c r="E33" s="74"/>
      <c r="F33" s="74"/>
      <c r="G33" s="74"/>
      <c r="H33" s="126"/>
      <c r="I33" s="74"/>
      <c r="J33" s="31"/>
      <c r="K33" s="31"/>
      <c r="L33" s="31"/>
      <c r="M33" s="31"/>
      <c r="N33" s="32"/>
    </row>
    <row r="34" spans="1:14" ht="16.5" customHeight="1" x14ac:dyDescent="0.35">
      <c r="A34" s="75"/>
      <c r="B34" s="31"/>
      <c r="C34" s="31"/>
      <c r="D34" s="31"/>
      <c r="E34" s="31"/>
      <c r="F34" s="31"/>
      <c r="G34" s="31"/>
      <c r="H34" s="127"/>
      <c r="I34" s="31"/>
      <c r="J34" s="31"/>
      <c r="K34" s="31"/>
      <c r="L34" s="31"/>
      <c r="M34" s="31"/>
      <c r="N34" s="32"/>
    </row>
    <row r="35" spans="1:14" ht="32.25" customHeight="1" x14ac:dyDescent="0.35">
      <c r="A35" s="76"/>
      <c r="B35" s="77"/>
      <c r="C35" s="78"/>
      <c r="D35" s="79"/>
      <c r="E35" s="77"/>
      <c r="F35" s="77"/>
      <c r="G35" s="80"/>
      <c r="H35" s="59"/>
      <c r="I35" s="81"/>
      <c r="J35" s="77"/>
      <c r="K35" s="77"/>
      <c r="L35" s="77"/>
      <c r="M35" s="77"/>
      <c r="N35" s="82"/>
    </row>
  </sheetData>
  <mergeCells count="7">
    <mergeCell ref="A31:B31"/>
    <mergeCell ref="A20:B20"/>
    <mergeCell ref="A29:B29"/>
    <mergeCell ref="A30:B30"/>
    <mergeCell ref="A8:I8"/>
    <mergeCell ref="A21:I21"/>
    <mergeCell ref="A26:B26"/>
  </mergeCells>
  <pageMargins left="0.7" right="0.7" top="0.75" bottom="0.75" header="0.3" footer="0.3"/>
  <pageSetup orientation="portrait" r:id="rId1"/>
  <headerFooter>
    <oddFooter>&amp;C&amp;"Helvetica,Regular"&amp;12&amp;K000000&amp;P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T26"/>
  <sheetViews>
    <sheetView showGridLines="0" tabSelected="1" topLeftCell="A11" zoomScale="67" zoomScaleNormal="67" workbookViewId="0">
      <selection activeCell="H16" sqref="H16"/>
    </sheetView>
  </sheetViews>
  <sheetFormatPr defaultColWidth="8.7265625" defaultRowHeight="15" customHeight="1" x14ac:dyDescent="0.35"/>
  <cols>
    <col min="1" max="1" width="17.81640625" style="83" customWidth="1"/>
    <col min="2" max="2" width="23" style="83" customWidth="1"/>
    <col min="3" max="3" width="22.26953125" style="83" customWidth="1"/>
    <col min="4" max="4" width="19.7265625" style="83" customWidth="1"/>
    <col min="5" max="7" width="18.81640625" style="83" customWidth="1"/>
    <col min="8" max="8" width="18.453125" style="83" customWidth="1"/>
    <col min="9" max="9" width="20.1796875" style="83" customWidth="1"/>
    <col min="10" max="10" width="18.26953125" style="83" customWidth="1"/>
    <col min="11" max="11" width="17.453125" style="83" customWidth="1"/>
    <col min="12" max="14" width="24" style="83" customWidth="1"/>
    <col min="15" max="15" width="22.36328125" style="83" customWidth="1"/>
    <col min="16" max="16" width="29.08984375" style="83" hidden="1" customWidth="1"/>
    <col min="17" max="17" width="22.81640625" style="83" customWidth="1"/>
    <col min="18" max="18" width="18.81640625" style="83" customWidth="1"/>
    <col min="19" max="254" width="8.7265625" style="83" customWidth="1"/>
  </cols>
  <sheetData>
    <row r="1" spans="1:21" ht="24" customHeight="1" thickBot="1" x14ac:dyDescent="0.6">
      <c r="A1" s="210" t="s">
        <v>77</v>
      </c>
      <c r="B1" s="211"/>
      <c r="C1" s="211"/>
      <c r="D1" s="211"/>
      <c r="E1" s="211"/>
      <c r="F1" s="211"/>
      <c r="G1" s="211"/>
      <c r="H1" s="211"/>
      <c r="I1" s="211"/>
      <c r="J1" s="211"/>
      <c r="K1" s="211"/>
      <c r="L1" s="212"/>
      <c r="M1" s="167"/>
      <c r="N1" s="167"/>
      <c r="O1" s="84"/>
      <c r="P1" s="23"/>
    </row>
    <row r="2" spans="1:21" ht="15" customHeight="1" x14ac:dyDescent="0.35">
      <c r="A2" s="85"/>
      <c r="B2" s="86"/>
      <c r="C2" s="86"/>
      <c r="D2" s="86"/>
      <c r="E2" s="87"/>
      <c r="F2" s="87"/>
      <c r="G2" s="87"/>
      <c r="H2" s="87"/>
      <c r="I2" s="87"/>
      <c r="J2" s="87"/>
      <c r="K2" s="87"/>
      <c r="L2" s="88"/>
      <c r="M2" s="31"/>
      <c r="N2" s="31"/>
      <c r="O2" s="47"/>
      <c r="P2" s="32"/>
    </row>
    <row r="3" spans="1:21" ht="24" customHeight="1" x14ac:dyDescent="0.5">
      <c r="A3" s="203" t="s">
        <v>35</v>
      </c>
      <c r="B3" s="204"/>
      <c r="C3" s="204"/>
      <c r="D3" s="204"/>
      <c r="E3" s="204"/>
      <c r="F3" s="204"/>
      <c r="G3" s="204"/>
      <c r="H3" s="204"/>
      <c r="I3" s="204"/>
      <c r="J3" s="204"/>
      <c r="K3" s="204"/>
      <c r="L3" s="205"/>
      <c r="M3" s="168"/>
      <c r="N3" s="168"/>
      <c r="O3" s="47"/>
      <c r="P3" s="32"/>
    </row>
    <row r="4" spans="1:21" ht="15.75" customHeight="1" thickBot="1" x14ac:dyDescent="0.4">
      <c r="A4" s="89"/>
      <c r="B4" s="90"/>
      <c r="C4" s="90"/>
      <c r="D4" s="40"/>
      <c r="E4" s="40"/>
      <c r="F4" s="40"/>
      <c r="G4" s="40"/>
      <c r="H4" s="40"/>
      <c r="I4" s="40"/>
      <c r="J4" s="90"/>
      <c r="K4" s="90"/>
      <c r="L4" s="91"/>
      <c r="M4" s="31"/>
      <c r="N4" s="31"/>
      <c r="O4" s="47"/>
      <c r="P4" s="32"/>
    </row>
    <row r="5" spans="1:21" ht="41.25" customHeight="1" thickBot="1" x14ac:dyDescent="0.4">
      <c r="A5" s="215" t="s">
        <v>78</v>
      </c>
      <c r="B5" s="206" t="s">
        <v>79</v>
      </c>
      <c r="C5" s="207"/>
      <c r="D5" s="208" t="s">
        <v>80</v>
      </c>
      <c r="E5" s="209"/>
      <c r="F5" s="219" t="s">
        <v>112</v>
      </c>
      <c r="G5" s="220"/>
      <c r="H5" s="217" t="s">
        <v>81</v>
      </c>
      <c r="I5" s="218"/>
      <c r="J5" s="92" t="s">
        <v>82</v>
      </c>
      <c r="K5" s="93" t="s">
        <v>83</v>
      </c>
      <c r="L5" s="213" t="s">
        <v>84</v>
      </c>
      <c r="M5" s="221" t="s">
        <v>118</v>
      </c>
      <c r="N5" s="222"/>
      <c r="O5" s="201" t="s">
        <v>84</v>
      </c>
      <c r="P5" s="32"/>
    </row>
    <row r="6" spans="1:21" ht="41.5" customHeight="1" thickBot="1" x14ac:dyDescent="0.4">
      <c r="A6" s="216"/>
      <c r="B6" s="94" t="s">
        <v>85</v>
      </c>
      <c r="C6" s="94" t="s">
        <v>86</v>
      </c>
      <c r="D6" s="94" t="s">
        <v>85</v>
      </c>
      <c r="E6" s="94" t="s">
        <v>86</v>
      </c>
      <c r="F6" s="146" t="s">
        <v>85</v>
      </c>
      <c r="G6" s="146" t="s">
        <v>86</v>
      </c>
      <c r="H6" s="94" t="s">
        <v>85</v>
      </c>
      <c r="I6" s="94" t="s">
        <v>86</v>
      </c>
      <c r="J6" s="95"/>
      <c r="K6" s="95"/>
      <c r="L6" s="214"/>
      <c r="M6" s="163" t="s">
        <v>82</v>
      </c>
      <c r="N6" s="172" t="s">
        <v>83</v>
      </c>
      <c r="O6" s="202"/>
      <c r="P6" s="99"/>
    </row>
    <row r="7" spans="1:21" ht="54.75" customHeight="1" thickBot="1" x14ac:dyDescent="0.4">
      <c r="A7" s="96" t="s">
        <v>87</v>
      </c>
      <c r="B7" s="97">
        <f>20000*0.7</f>
        <v>14000</v>
      </c>
      <c r="C7" s="97">
        <f>20000*0.3</f>
        <v>6000</v>
      </c>
      <c r="D7" s="97">
        <v>49000</v>
      </c>
      <c r="E7" s="116">
        <v>21000</v>
      </c>
      <c r="F7" s="147">
        <f t="shared" ref="F7:F11" si="0">P7*70%</f>
        <v>100502.5</v>
      </c>
      <c r="G7" s="147">
        <f t="shared" ref="G7:G13" si="1">P7-F7</f>
        <v>43072.5</v>
      </c>
      <c r="H7" s="178">
        <v>15485.32</v>
      </c>
      <c r="I7" s="116">
        <f>51617.74*0.7</f>
        <v>36132.417999999998</v>
      </c>
      <c r="J7" s="116">
        <f>B7+D7+H7</f>
        <v>78485.320000000007</v>
      </c>
      <c r="K7" s="97">
        <f t="shared" ref="J7:K13" si="2">C7+E7+I7</f>
        <v>63132.417999999998</v>
      </c>
      <c r="L7" s="171">
        <f t="shared" ref="L7:L16" si="3">J7+K7</f>
        <v>141617.73800000001</v>
      </c>
      <c r="M7" s="147">
        <f t="shared" ref="M7:M16" si="4">B7+F7+H7</f>
        <v>129987.82</v>
      </c>
      <c r="N7" s="173">
        <f t="shared" ref="N7:N16" si="5">C7+G7+I7</f>
        <v>85204.918000000005</v>
      </c>
      <c r="O7" s="176">
        <f>M7+N7</f>
        <v>215192.73800000001</v>
      </c>
      <c r="P7" s="148">
        <f>873+128639+14063</f>
        <v>143575</v>
      </c>
      <c r="Q7" s="106"/>
    </row>
    <row r="8" spans="1:21" ht="57.75" customHeight="1" thickBot="1" x14ac:dyDescent="0.4">
      <c r="A8" s="96" t="s">
        <v>88</v>
      </c>
      <c r="B8" s="97">
        <f>11735*0.7</f>
        <v>8214.5</v>
      </c>
      <c r="C8" s="97">
        <f>11735*0.3</f>
        <v>3520.5</v>
      </c>
      <c r="D8" s="97">
        <v>5950</v>
      </c>
      <c r="E8" s="116">
        <v>2050</v>
      </c>
      <c r="F8" s="147">
        <f t="shared" si="0"/>
        <v>239634.49999999997</v>
      </c>
      <c r="G8" s="147">
        <f t="shared" si="1"/>
        <v>102700.50000000003</v>
      </c>
      <c r="H8" s="116">
        <f>6766*0.7</f>
        <v>4736.2</v>
      </c>
      <c r="I8" s="116">
        <f>6766*0.3</f>
        <v>2029.8</v>
      </c>
      <c r="J8" s="116">
        <f t="shared" si="2"/>
        <v>18900.7</v>
      </c>
      <c r="K8" s="97">
        <f t="shared" si="2"/>
        <v>7600.3</v>
      </c>
      <c r="L8" s="171">
        <f t="shared" si="3"/>
        <v>26501</v>
      </c>
      <c r="M8" s="147">
        <f t="shared" si="4"/>
        <v>252585.19999999998</v>
      </c>
      <c r="N8" s="173">
        <f t="shared" si="5"/>
        <v>108250.80000000003</v>
      </c>
      <c r="O8" s="176">
        <f>M8+N8</f>
        <v>360836</v>
      </c>
      <c r="P8" s="148">
        <v>342335</v>
      </c>
      <c r="Q8" s="106"/>
    </row>
    <row r="9" spans="1:21" ht="84.75" customHeight="1" thickBot="1" x14ac:dyDescent="0.4">
      <c r="A9" s="96" t="s">
        <v>89</v>
      </c>
      <c r="B9" s="97">
        <f>65000*0.7</f>
        <v>45500</v>
      </c>
      <c r="C9" s="97">
        <f>65000*0.3</f>
        <v>19500</v>
      </c>
      <c r="D9" s="97">
        <v>7000</v>
      </c>
      <c r="E9" s="116">
        <v>3000</v>
      </c>
      <c r="F9" s="147">
        <f t="shared" si="0"/>
        <v>12600</v>
      </c>
      <c r="G9" s="147">
        <f t="shared" si="1"/>
        <v>5400</v>
      </c>
      <c r="H9" s="116">
        <f>15000*0.7</f>
        <v>10500</v>
      </c>
      <c r="I9" s="116">
        <f>15000*0.3</f>
        <v>4500</v>
      </c>
      <c r="J9" s="116">
        <f t="shared" si="2"/>
        <v>63000</v>
      </c>
      <c r="K9" s="97">
        <f t="shared" si="2"/>
        <v>27000</v>
      </c>
      <c r="L9" s="171">
        <f t="shared" si="3"/>
        <v>90000</v>
      </c>
      <c r="M9" s="147">
        <f t="shared" si="4"/>
        <v>68600</v>
      </c>
      <c r="N9" s="173">
        <f t="shared" si="5"/>
        <v>29400</v>
      </c>
      <c r="O9" s="176">
        <f t="shared" ref="O9:O16" si="6">M9+N9</f>
        <v>98000</v>
      </c>
      <c r="P9" s="148">
        <v>18000</v>
      </c>
      <c r="Q9" s="106"/>
    </row>
    <row r="10" spans="1:21" ht="39.75" customHeight="1" thickBot="1" x14ac:dyDescent="0.4">
      <c r="A10" s="96" t="s">
        <v>90</v>
      </c>
      <c r="B10" s="97">
        <f>100*0.7</f>
        <v>70</v>
      </c>
      <c r="C10" s="97">
        <f>100*0.3</f>
        <v>30</v>
      </c>
      <c r="D10" s="97">
        <v>3500</v>
      </c>
      <c r="E10" s="116">
        <v>1500</v>
      </c>
      <c r="F10" s="147">
        <f t="shared" si="0"/>
        <v>100274.08999999998</v>
      </c>
      <c r="G10" s="147">
        <f t="shared" si="1"/>
        <v>42974.61</v>
      </c>
      <c r="H10" s="116">
        <f>515*0.7</f>
        <v>360.5</v>
      </c>
      <c r="I10" s="116">
        <f>515*0.3</f>
        <v>154.5</v>
      </c>
      <c r="J10" s="116">
        <f t="shared" si="2"/>
        <v>3930.5</v>
      </c>
      <c r="K10" s="97">
        <f t="shared" si="2"/>
        <v>1684.5</v>
      </c>
      <c r="L10" s="171">
        <f t="shared" si="3"/>
        <v>5615</v>
      </c>
      <c r="M10" s="147">
        <f t="shared" si="4"/>
        <v>100704.58999999998</v>
      </c>
      <c r="N10" s="173">
        <f t="shared" si="5"/>
        <v>43159.11</v>
      </c>
      <c r="O10" s="176">
        <f t="shared" si="6"/>
        <v>143863.69999999998</v>
      </c>
      <c r="P10" s="148">
        <f>204641*70%</f>
        <v>143248.69999999998</v>
      </c>
      <c r="Q10" s="106"/>
    </row>
    <row r="11" spans="1:21" ht="33" customHeight="1" thickBot="1" x14ac:dyDescent="0.4">
      <c r="A11" s="96" t="s">
        <v>91</v>
      </c>
      <c r="B11" s="97">
        <f>15800*0.7</f>
        <v>11060</v>
      </c>
      <c r="C11" s="97">
        <f>15800*0.3</f>
        <v>4740</v>
      </c>
      <c r="D11" s="97">
        <v>12000</v>
      </c>
      <c r="E11" s="116">
        <v>3000</v>
      </c>
      <c r="F11" s="147">
        <f t="shared" si="0"/>
        <v>17111.5</v>
      </c>
      <c r="G11" s="147">
        <f t="shared" si="1"/>
        <v>7333.5</v>
      </c>
      <c r="H11" s="116">
        <f>9500*0.7</f>
        <v>6650</v>
      </c>
      <c r="I11" s="116">
        <f>9500*0.3</f>
        <v>2850</v>
      </c>
      <c r="J11" s="116">
        <f t="shared" si="2"/>
        <v>29710</v>
      </c>
      <c r="K11" s="97">
        <f t="shared" si="2"/>
        <v>10590</v>
      </c>
      <c r="L11" s="171">
        <f t="shared" si="3"/>
        <v>40300</v>
      </c>
      <c r="M11" s="147">
        <f t="shared" si="4"/>
        <v>34821.5</v>
      </c>
      <c r="N11" s="173">
        <f t="shared" si="5"/>
        <v>14923.5</v>
      </c>
      <c r="O11" s="176">
        <f t="shared" si="6"/>
        <v>49745</v>
      </c>
      <c r="P11" s="148">
        <v>24445</v>
      </c>
      <c r="Q11" s="106"/>
    </row>
    <row r="12" spans="1:21" ht="61.5" customHeight="1" thickBot="1" x14ac:dyDescent="0.4">
      <c r="A12" s="96" t="s">
        <v>92</v>
      </c>
      <c r="B12" s="97">
        <f>90*0.7</f>
        <v>62.999999999999993</v>
      </c>
      <c r="C12" s="97">
        <f>90*0.3</f>
        <v>27</v>
      </c>
      <c r="D12" s="97">
        <v>525</v>
      </c>
      <c r="E12" s="116">
        <v>225</v>
      </c>
      <c r="F12" s="147">
        <v>42974.6</v>
      </c>
      <c r="G12" s="147">
        <f t="shared" si="1"/>
        <v>18417.700000000019</v>
      </c>
      <c r="H12" s="116">
        <f>601.26*0.7</f>
        <v>420.88199999999995</v>
      </c>
      <c r="I12" s="116">
        <f>601.26*0.3</f>
        <v>180.37799999999999</v>
      </c>
      <c r="J12" s="116">
        <f t="shared" si="2"/>
        <v>1008.8819999999999</v>
      </c>
      <c r="K12" s="97">
        <f t="shared" si="2"/>
        <v>432.37799999999999</v>
      </c>
      <c r="L12" s="171">
        <f t="shared" si="3"/>
        <v>1441.26</v>
      </c>
      <c r="M12" s="147">
        <f t="shared" si="4"/>
        <v>43458.481999999996</v>
      </c>
      <c r="N12" s="173">
        <f t="shared" si="5"/>
        <v>18625.07800000002</v>
      </c>
      <c r="O12" s="176">
        <f t="shared" si="6"/>
        <v>62083.560000000012</v>
      </c>
      <c r="P12" s="148">
        <f>204641-P10</f>
        <v>61392.300000000017</v>
      </c>
      <c r="Q12" s="106"/>
    </row>
    <row r="13" spans="1:21" ht="63.75" customHeight="1" thickBot="1" x14ac:dyDescent="0.4">
      <c r="A13" s="96" t="s">
        <v>93</v>
      </c>
      <c r="B13" s="97">
        <f>('OPERATIONAL BUDGET'!D20+'OPERATIONAL BUDGET'!D26+'OPERATIONAL BUDGET'!D28)*0.7</f>
        <v>519749.99999999994</v>
      </c>
      <c r="C13" s="97">
        <f>('OPERATIONAL BUDGET'!D20+'OPERATIONAL BUDGET'!D26+'OPERATIONAL BUDGET'!D28)*0.3</f>
        <v>222750</v>
      </c>
      <c r="D13" s="97">
        <f>('OPERATIONAL BUDGET'!E26+'OPERATIONAL BUDGET'!E20+'OPERATIONAL BUDGET'!E28)*0.7</f>
        <v>496373.67499999999</v>
      </c>
      <c r="E13" s="116">
        <f>('OPERATIONAL BUDGET'!E26+'OPERATIONAL BUDGET'!E20+'OPERATIONAL BUDGET'!E28)*0.3</f>
        <v>212731.57499999998</v>
      </c>
      <c r="F13" s="147">
        <f>59401.48+1850</f>
        <v>61251.48</v>
      </c>
      <c r="G13" s="147">
        <f t="shared" si="1"/>
        <v>23607.769999999997</v>
      </c>
      <c r="H13" s="116">
        <f>('OPERATIONAL BUDGET'!G20+'OPERATIONAL BUDGET'!G26+'OPERATIONAL BUDGET'!G28)*0.7</f>
        <v>398300</v>
      </c>
      <c r="I13" s="116">
        <f>('OPERATIONAL BUDGET'!G20+'OPERATIONAL BUDGET'!G26+'OPERATIONAL BUDGET'!G28)*0.3</f>
        <v>170700</v>
      </c>
      <c r="J13" s="116">
        <f t="shared" si="2"/>
        <v>1414423.6749999998</v>
      </c>
      <c r="K13" s="97">
        <f t="shared" si="2"/>
        <v>606181.57499999995</v>
      </c>
      <c r="L13" s="171">
        <f t="shared" si="3"/>
        <v>2020605.2499999998</v>
      </c>
      <c r="M13" s="147">
        <f t="shared" si="4"/>
        <v>979301.48</v>
      </c>
      <c r="N13" s="173">
        <f t="shared" si="5"/>
        <v>417057.77</v>
      </c>
      <c r="O13" s="176">
        <f t="shared" si="6"/>
        <v>1396359.25</v>
      </c>
      <c r="P13" s="148">
        <f>10000+14872+30838+65+29084.25</f>
        <v>84859.25</v>
      </c>
      <c r="Q13" s="106"/>
      <c r="R13" s="106"/>
    </row>
    <row r="14" spans="1:21" ht="32.25" customHeight="1" thickBot="1" x14ac:dyDescent="0.4">
      <c r="A14" s="100" t="s">
        <v>94</v>
      </c>
      <c r="B14" s="98">
        <f>SUM(B7:B13)</f>
        <v>598657.5</v>
      </c>
      <c r="C14" s="115">
        <f t="shared" ref="C14" si="7">SUM(C7:C13)</f>
        <v>256567.5</v>
      </c>
      <c r="D14" s="115">
        <f t="shared" ref="D14:K14" si="8">SUM(D7:D13)</f>
        <v>574348.67500000005</v>
      </c>
      <c r="E14" s="115">
        <f t="shared" si="8"/>
        <v>243506.57499999998</v>
      </c>
      <c r="F14" s="164">
        <f>SUM(F7:F13)</f>
        <v>574348.66999999993</v>
      </c>
      <c r="G14" s="164">
        <f>SUM(G7:G13)</f>
        <v>243506.58000000005</v>
      </c>
      <c r="H14" s="164">
        <f t="shared" si="8"/>
        <v>436452.902</v>
      </c>
      <c r="I14" s="115">
        <f t="shared" si="8"/>
        <v>216547.09599999999</v>
      </c>
      <c r="J14" s="115">
        <f t="shared" si="8"/>
        <v>1609459.0769999998</v>
      </c>
      <c r="K14" s="115">
        <f t="shared" si="8"/>
        <v>716621.17099999997</v>
      </c>
      <c r="L14" s="98">
        <f t="shared" si="3"/>
        <v>2326080.2479999997</v>
      </c>
      <c r="M14" s="164">
        <f t="shared" si="4"/>
        <v>1609459.0719999999</v>
      </c>
      <c r="N14" s="174">
        <f t="shared" si="5"/>
        <v>716621.17600000009</v>
      </c>
      <c r="O14" s="175">
        <f t="shared" si="6"/>
        <v>2326080.2480000001</v>
      </c>
      <c r="P14" s="148">
        <f>SUM(P7:P13)</f>
        <v>817855.25</v>
      </c>
      <c r="Q14" s="106"/>
      <c r="U14" s="106"/>
    </row>
    <row r="15" spans="1:21" ht="55.5" customHeight="1" thickBot="1" x14ac:dyDescent="0.4">
      <c r="A15" s="96" t="s">
        <v>95</v>
      </c>
      <c r="B15" s="97">
        <f xml:space="preserve"> B14*7%</f>
        <v>41906.025000000001</v>
      </c>
      <c r="C15" s="116">
        <f xml:space="preserve"> C14*7%</f>
        <v>17959.725000000002</v>
      </c>
      <c r="D15" s="116">
        <f t="shared" ref="D15:I15" si="9">D14*7%</f>
        <v>40204.407250000004</v>
      </c>
      <c r="E15" s="116">
        <f t="shared" si="9"/>
        <v>17045.46025</v>
      </c>
      <c r="F15" s="165">
        <f>7%*F14</f>
        <v>40204.406900000002</v>
      </c>
      <c r="G15" s="165">
        <f>7%*G14</f>
        <v>17045.460600000006</v>
      </c>
      <c r="H15" s="179">
        <f>H14*7%</f>
        <v>30551.703140000001</v>
      </c>
      <c r="I15" s="129">
        <f t="shared" si="9"/>
        <v>15158.29672</v>
      </c>
      <c r="J15" s="97">
        <f>B15+D15+H15</f>
        <v>112662.13539000001</v>
      </c>
      <c r="K15" s="97">
        <f>C15+E15+I15</f>
        <v>50163.481970000001</v>
      </c>
      <c r="L15" s="171">
        <f t="shared" si="3"/>
        <v>162825.61736</v>
      </c>
      <c r="M15" s="164">
        <f t="shared" si="4"/>
        <v>112662.13503999999</v>
      </c>
      <c r="N15" s="174">
        <f t="shared" si="5"/>
        <v>50163.48232000001</v>
      </c>
      <c r="O15" s="175">
        <f t="shared" si="6"/>
        <v>162825.61736</v>
      </c>
      <c r="P15" s="148">
        <v>57250</v>
      </c>
      <c r="Q15" s="106"/>
    </row>
    <row r="16" spans="1:21" ht="51" customHeight="1" thickBot="1" x14ac:dyDescent="0.4">
      <c r="A16" s="100" t="s">
        <v>96</v>
      </c>
      <c r="B16" s="98">
        <f t="shared" ref="B16:I16" si="10">SUM(B14:B15)</f>
        <v>640563.52500000002</v>
      </c>
      <c r="C16" s="98">
        <f t="shared" si="10"/>
        <v>274527.22499999998</v>
      </c>
      <c r="D16" s="157">
        <f t="shared" si="10"/>
        <v>614553.08225000009</v>
      </c>
      <c r="E16" s="158">
        <f t="shared" si="10"/>
        <v>260552.03524999999</v>
      </c>
      <c r="F16" s="166">
        <f t="shared" si="10"/>
        <v>614553.07689999999</v>
      </c>
      <c r="G16" s="166">
        <f>SUM(G14:G15)</f>
        <v>260552.04060000007</v>
      </c>
      <c r="H16" s="180">
        <f t="shared" si="10"/>
        <v>467004.60514</v>
      </c>
      <c r="I16" s="158">
        <f t="shared" si="10"/>
        <v>231705.39272</v>
      </c>
      <c r="J16" s="115">
        <f>SUM(J14:J15)</f>
        <v>1722121.2123899998</v>
      </c>
      <c r="K16" s="158">
        <f>SUM(K14:K15)</f>
        <v>766784.65296999994</v>
      </c>
      <c r="L16" s="157">
        <f t="shared" si="3"/>
        <v>2488905.8653599997</v>
      </c>
      <c r="M16" s="164">
        <f t="shared" si="4"/>
        <v>1722121.2070400002</v>
      </c>
      <c r="N16" s="174">
        <f t="shared" si="5"/>
        <v>766784.65832000005</v>
      </c>
      <c r="O16" s="177">
        <f t="shared" si="6"/>
        <v>2488905.8653600002</v>
      </c>
      <c r="P16" s="148">
        <f>P14+P15</f>
        <v>875105.25</v>
      </c>
      <c r="Q16" s="106"/>
    </row>
    <row r="17" spans="1:254" ht="26.15" customHeight="1" x14ac:dyDescent="0.35">
      <c r="A17" s="71"/>
      <c r="B17" s="101"/>
      <c r="C17" s="102"/>
      <c r="D17" s="102"/>
      <c r="E17" s="102"/>
      <c r="F17" s="102"/>
      <c r="G17" s="102"/>
      <c r="H17" s="102"/>
      <c r="I17" s="102"/>
      <c r="J17" s="102"/>
      <c r="K17" s="102"/>
      <c r="L17" s="102"/>
      <c r="M17" s="169"/>
      <c r="N17" s="169"/>
      <c r="O17" s="75"/>
      <c r="P17" s="32"/>
      <c r="R17" s="83" t="s">
        <v>97</v>
      </c>
    </row>
    <row r="18" spans="1:254" s="114" customFormat="1" ht="15" customHeight="1" x14ac:dyDescent="0.45">
      <c r="A18" s="108"/>
      <c r="B18" s="109"/>
      <c r="C18" s="110"/>
      <c r="D18" s="182" t="s">
        <v>119</v>
      </c>
      <c r="E18" s="181"/>
      <c r="F18" s="181"/>
      <c r="G18" s="181"/>
      <c r="H18" s="108"/>
      <c r="I18" s="110"/>
      <c r="J18" s="108"/>
      <c r="K18" s="108"/>
      <c r="L18" s="110"/>
      <c r="M18" s="170"/>
      <c r="N18" s="170"/>
      <c r="O18" s="111"/>
      <c r="P18" s="112"/>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row>
    <row r="19" spans="1:254" ht="15" customHeight="1" x14ac:dyDescent="0.35">
      <c r="A19" s="103"/>
      <c r="B19" s="104"/>
      <c r="C19" s="104"/>
      <c r="D19" s="103"/>
      <c r="E19" s="103"/>
      <c r="F19" s="103"/>
      <c r="G19" s="103"/>
      <c r="H19" s="104"/>
      <c r="I19" s="104"/>
      <c r="J19" s="103"/>
      <c r="K19" s="103"/>
      <c r="L19" s="103"/>
      <c r="M19" s="75"/>
      <c r="N19" s="75"/>
      <c r="O19" s="75"/>
      <c r="P19" s="32"/>
    </row>
    <row r="20" spans="1:254" ht="15" customHeight="1" x14ac:dyDescent="0.35">
      <c r="A20" s="103"/>
      <c r="B20" s="105"/>
      <c r="C20" s="104"/>
      <c r="D20" s="103"/>
      <c r="E20" s="104"/>
      <c r="F20" s="104"/>
      <c r="G20" s="104"/>
      <c r="H20" s="104"/>
      <c r="I20" s="104"/>
      <c r="J20" s="104"/>
      <c r="K20" s="103"/>
      <c r="L20" s="103"/>
      <c r="M20" s="75"/>
      <c r="N20" s="75"/>
      <c r="O20" s="75"/>
      <c r="P20" s="32"/>
    </row>
    <row r="21" spans="1:254" ht="15" customHeight="1" x14ac:dyDescent="0.35">
      <c r="A21" s="103"/>
      <c r="B21" s="103"/>
      <c r="C21" s="103"/>
      <c r="D21" s="103"/>
      <c r="E21" s="103"/>
      <c r="F21" s="103"/>
      <c r="G21" s="103"/>
      <c r="H21" s="104"/>
      <c r="I21" s="104"/>
      <c r="J21" s="103"/>
      <c r="K21" s="103"/>
      <c r="L21" s="103"/>
      <c r="M21" s="75"/>
      <c r="N21" s="75"/>
      <c r="O21" s="75"/>
      <c r="P21" s="32"/>
    </row>
    <row r="22" spans="1:254" ht="15" customHeight="1" x14ac:dyDescent="0.35">
      <c r="A22" s="103"/>
      <c r="B22" s="103"/>
      <c r="C22" s="103"/>
      <c r="D22" s="103"/>
      <c r="E22" s="104"/>
      <c r="F22" s="104"/>
      <c r="G22" s="104"/>
      <c r="H22" s="104"/>
      <c r="I22" s="103"/>
      <c r="J22" s="103"/>
      <c r="K22" s="103"/>
      <c r="L22" s="103"/>
      <c r="M22" s="75"/>
      <c r="N22" s="75"/>
      <c r="O22" s="75"/>
      <c r="P22" s="32"/>
    </row>
    <row r="23" spans="1:254" ht="15" customHeight="1" x14ac:dyDescent="0.35">
      <c r="A23" s="103"/>
      <c r="B23" s="103"/>
      <c r="C23" s="103"/>
      <c r="D23" s="103"/>
      <c r="E23" s="103"/>
      <c r="F23" s="103"/>
      <c r="G23" s="103"/>
      <c r="H23" s="104"/>
      <c r="I23" s="104"/>
      <c r="J23" s="103"/>
      <c r="K23" s="103"/>
      <c r="L23" s="103"/>
      <c r="M23" s="76"/>
      <c r="N23" s="76"/>
      <c r="O23" s="76"/>
      <c r="P23" s="82"/>
    </row>
    <row r="25" spans="1:254" ht="15" customHeight="1" x14ac:dyDescent="0.35">
      <c r="H25" s="106"/>
      <c r="I25" s="106"/>
    </row>
    <row r="26" spans="1:254" ht="15" customHeight="1" x14ac:dyDescent="0.35">
      <c r="H26" s="106"/>
    </row>
  </sheetData>
  <mergeCells count="10">
    <mergeCell ref="O5:O6"/>
    <mergeCell ref="A3:L3"/>
    <mergeCell ref="B5:C5"/>
    <mergeCell ref="D5:E5"/>
    <mergeCell ref="A1:L1"/>
    <mergeCell ref="L5:L6"/>
    <mergeCell ref="A5:A6"/>
    <mergeCell ref="H5:I5"/>
    <mergeCell ref="F5:G5"/>
    <mergeCell ref="M5:N5"/>
  </mergeCells>
  <pageMargins left="0.7" right="0.7" top="0.75" bottom="0.75" header="0.3" footer="0.3"/>
  <pageSetup scale="51"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ACTIVITES</vt:lpstr>
      <vt:lpstr>OPERATIONAL BUDGET</vt:lpstr>
      <vt:lpstr>AGENCIES INTERN COST BUDGET</vt:lpstr>
      <vt:lpstr>'AGENCIES INTERN COST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Roberline Flore Teunkwa Tozwen</dc:creator>
  <cp:lastModifiedBy>UWIMBABAZI Appoline</cp:lastModifiedBy>
  <cp:lastPrinted>2019-02-12T13:50:41Z</cp:lastPrinted>
  <dcterms:created xsi:type="dcterms:W3CDTF">2018-06-20T08:45:33Z</dcterms:created>
  <dcterms:modified xsi:type="dcterms:W3CDTF">2020-08-07T15:47:41Z</dcterms:modified>
</cp:coreProperties>
</file>