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DE\Downloads\"/>
    </mc:Choice>
  </mc:AlternateContent>
  <xr:revisionPtr revIDLastSave="0" documentId="13_ncr:1_{4DB28836-D666-4AA7-B03F-AD28F90A90B0}" xr6:coauthVersionLast="45" xr6:coauthVersionMax="45" xr10:uidLastSave="{00000000-0000-0000-0000-000000000000}"/>
  <bookViews>
    <workbookView xWindow="-120" yWindow="-120" windowWidth="20730" windowHeight="11160" xr2:uid="{00000000-000D-0000-FFFF-FFFF00000000}"/>
  </bookViews>
  <sheets>
    <sheet name="joint financials" sheetId="3" r:id="rId1"/>
    <sheet name="Lifecycle budget" sheetId="1" r:id="rId2"/>
    <sheet name="FAO budget review" sheetId="4"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3" i="3" l="1"/>
  <c r="L93" i="3"/>
  <c r="M91" i="3"/>
  <c r="M13" i="3"/>
  <c r="M92" i="3"/>
  <c r="L91" i="3"/>
  <c r="K91" i="3"/>
  <c r="K66" i="3"/>
  <c r="K80" i="3"/>
  <c r="K53" i="3"/>
  <c r="K26" i="3"/>
  <c r="K22" i="3"/>
  <c r="K18" i="3"/>
  <c r="K13" i="3"/>
  <c r="I26" i="3"/>
  <c r="I22" i="3"/>
  <c r="I18" i="3"/>
  <c r="I13" i="3"/>
  <c r="M26" i="3"/>
  <c r="I91" i="3"/>
  <c r="I92" i="3"/>
  <c r="K92" i="3"/>
  <c r="AC68" i="3"/>
  <c r="E68" i="3"/>
  <c r="K68" i="3"/>
  <c r="Q68" i="3"/>
  <c r="W68" i="3"/>
  <c r="AB68" i="3"/>
  <c r="AD68" i="3"/>
  <c r="AE68" i="3"/>
  <c r="AC69" i="3"/>
  <c r="E69" i="3"/>
  <c r="K69" i="3"/>
  <c r="Q69" i="3"/>
  <c r="W69" i="3"/>
  <c r="AB69" i="3"/>
  <c r="AD69" i="3"/>
  <c r="AE69" i="3"/>
  <c r="B12" i="4"/>
  <c r="I12" i="4"/>
  <c r="K12" i="4"/>
  <c r="B7" i="4"/>
  <c r="D7" i="4"/>
  <c r="F7" i="4"/>
  <c r="I7" i="4"/>
  <c r="K7" i="4"/>
  <c r="C7" i="4"/>
  <c r="E7" i="4"/>
  <c r="G7" i="4"/>
  <c r="J7" i="4"/>
  <c r="L7" i="4"/>
  <c r="M7" i="4"/>
  <c r="B8" i="4"/>
  <c r="D8" i="4"/>
  <c r="F8" i="4"/>
  <c r="I8" i="4"/>
  <c r="K8" i="4"/>
  <c r="C8" i="4"/>
  <c r="E8" i="4"/>
  <c r="G8" i="4"/>
  <c r="J8" i="4"/>
  <c r="L8" i="4"/>
  <c r="M8" i="4"/>
  <c r="B9" i="4"/>
  <c r="D9" i="4"/>
  <c r="F9" i="4"/>
  <c r="I9" i="4"/>
  <c r="K9" i="4"/>
  <c r="C9" i="4"/>
  <c r="E9" i="4"/>
  <c r="G9" i="4"/>
  <c r="J9" i="4"/>
  <c r="L9" i="4"/>
  <c r="M9" i="4"/>
  <c r="B10" i="4"/>
  <c r="D10" i="4"/>
  <c r="F10" i="4"/>
  <c r="K10" i="4"/>
  <c r="C10" i="4"/>
  <c r="E10" i="4"/>
  <c r="G10" i="4"/>
  <c r="L10" i="4"/>
  <c r="M10" i="4"/>
  <c r="B11" i="4"/>
  <c r="D11" i="4"/>
  <c r="F11" i="4"/>
  <c r="I11" i="4"/>
  <c r="K11" i="4"/>
  <c r="C11" i="4"/>
  <c r="E11" i="4"/>
  <c r="G11" i="4"/>
  <c r="J11" i="4"/>
  <c r="L11" i="4"/>
  <c r="M11" i="4"/>
  <c r="C12" i="4"/>
  <c r="J12" i="4"/>
  <c r="L12" i="4"/>
  <c r="M12" i="4"/>
  <c r="B13" i="4"/>
  <c r="D13" i="4"/>
  <c r="F13" i="4"/>
  <c r="I13" i="4"/>
  <c r="K13" i="4"/>
  <c r="C13" i="4"/>
  <c r="E13" i="4"/>
  <c r="G13" i="4"/>
  <c r="J13" i="4"/>
  <c r="L13" i="4"/>
  <c r="M13" i="4"/>
  <c r="M14" i="4"/>
  <c r="B14" i="4"/>
  <c r="B15" i="4"/>
  <c r="C14" i="4"/>
  <c r="C15" i="4"/>
  <c r="D14" i="4"/>
  <c r="D15" i="4"/>
  <c r="E14" i="4"/>
  <c r="E15" i="4"/>
  <c r="H14" i="4"/>
  <c r="H15" i="4"/>
  <c r="I14" i="4"/>
  <c r="I15" i="4"/>
  <c r="K15" i="4"/>
  <c r="L15" i="4"/>
  <c r="M15" i="4"/>
  <c r="M16" i="4"/>
  <c r="L14" i="4"/>
  <c r="L16" i="4"/>
  <c r="K14" i="4"/>
  <c r="K16" i="4"/>
  <c r="J14" i="4"/>
  <c r="J16" i="4"/>
  <c r="I16" i="4"/>
  <c r="H16" i="4"/>
  <c r="G14" i="4"/>
  <c r="G15" i="4"/>
  <c r="G16" i="4"/>
  <c r="F14" i="4"/>
  <c r="F15" i="4"/>
  <c r="F16" i="4"/>
  <c r="E16" i="4"/>
  <c r="D16" i="4"/>
  <c r="C16" i="4"/>
  <c r="B16" i="4"/>
  <c r="F19" i="3"/>
  <c r="X50" i="3"/>
  <c r="X46" i="3"/>
  <c r="L89" i="3"/>
  <c r="L80" i="3"/>
  <c r="L66" i="3"/>
  <c r="L45" i="3"/>
  <c r="L53" i="3"/>
  <c r="L9" i="3"/>
  <c r="L13" i="3"/>
  <c r="L18" i="3"/>
  <c r="L22" i="3"/>
  <c r="L26" i="3"/>
  <c r="F92" i="3"/>
  <c r="AA90" i="3"/>
  <c r="X49" i="3"/>
  <c r="X45" i="3"/>
  <c r="X53" i="3"/>
  <c r="X91" i="3"/>
  <c r="X93" i="3"/>
  <c r="R80" i="3"/>
  <c r="R66" i="3"/>
  <c r="R29" i="3"/>
  <c r="R42" i="3"/>
  <c r="R91" i="3"/>
  <c r="R93" i="3"/>
  <c r="F9" i="3"/>
  <c r="F13" i="3"/>
  <c r="F18" i="3"/>
  <c r="F22" i="3"/>
  <c r="F34" i="3"/>
  <c r="F49" i="3"/>
  <c r="F56" i="3"/>
  <c r="F66" i="3"/>
  <c r="F80" i="3"/>
  <c r="F42" i="3"/>
  <c r="AC42" i="3"/>
  <c r="F53" i="3"/>
  <c r="F64" i="3"/>
  <c r="F26" i="3"/>
  <c r="AC9" i="3"/>
  <c r="AC67" i="3"/>
  <c r="AC70" i="3"/>
  <c r="AC71" i="3"/>
  <c r="AC72" i="3"/>
  <c r="AC73" i="3"/>
  <c r="AC74" i="3"/>
  <c r="AC75" i="3"/>
  <c r="AC76" i="3"/>
  <c r="AC77" i="3"/>
  <c r="AC78" i="3"/>
  <c r="AC79" i="3"/>
  <c r="AC80" i="3"/>
  <c r="AC81" i="3"/>
  <c r="AC82" i="3"/>
  <c r="AC83" i="3"/>
  <c r="AC84" i="3"/>
  <c r="AC85" i="3"/>
  <c r="AC86" i="3"/>
  <c r="AC87" i="3"/>
  <c r="AC88" i="3"/>
  <c r="AC89" i="3"/>
  <c r="AC90" i="3"/>
  <c r="AC92" i="3"/>
  <c r="AC66" i="3"/>
  <c r="AC57" i="3"/>
  <c r="AC58" i="3"/>
  <c r="AC59" i="3"/>
  <c r="AC60" i="3"/>
  <c r="AC61" i="3"/>
  <c r="AC62" i="3"/>
  <c r="AC63" i="3"/>
  <c r="AC56" i="3"/>
  <c r="AC46" i="3"/>
  <c r="AC47" i="3"/>
  <c r="AC48" i="3"/>
  <c r="AC49" i="3"/>
  <c r="AC50" i="3"/>
  <c r="AC51" i="3"/>
  <c r="AC52" i="3"/>
  <c r="AC45" i="3"/>
  <c r="AC30" i="3"/>
  <c r="AC31" i="3"/>
  <c r="AC32" i="3"/>
  <c r="AC33" i="3"/>
  <c r="AC34" i="3"/>
  <c r="AC35" i="3"/>
  <c r="AC36" i="3"/>
  <c r="AC37" i="3"/>
  <c r="AC38" i="3"/>
  <c r="AC39" i="3"/>
  <c r="AC40" i="3"/>
  <c r="AC41" i="3"/>
  <c r="AC29" i="3"/>
  <c r="AC10" i="3"/>
  <c r="AC11" i="3"/>
  <c r="AC12" i="3"/>
  <c r="AC13" i="3"/>
  <c r="AC14" i="3"/>
  <c r="AC15" i="3"/>
  <c r="AC16" i="3"/>
  <c r="AC17" i="3"/>
  <c r="AC18" i="3"/>
  <c r="AC19" i="3"/>
  <c r="AC20" i="3"/>
  <c r="AC21" i="3"/>
  <c r="AC22" i="3"/>
  <c r="AC23" i="3"/>
  <c r="AC24" i="3"/>
  <c r="AC25" i="3"/>
  <c r="AA68" i="3"/>
  <c r="AA69" i="3"/>
  <c r="AA73" i="3"/>
  <c r="AA81" i="3"/>
  <c r="AA82" i="3"/>
  <c r="AA83" i="3"/>
  <c r="AA84" i="3"/>
  <c r="AA85" i="3"/>
  <c r="AA86" i="3"/>
  <c r="AA57" i="3"/>
  <c r="AA58" i="3"/>
  <c r="AA61" i="3"/>
  <c r="AA62" i="3"/>
  <c r="AA63" i="3"/>
  <c r="AC64" i="3"/>
  <c r="AC26" i="3"/>
  <c r="F91" i="3"/>
  <c r="AC53" i="3"/>
  <c r="AA30" i="3"/>
  <c r="AA31" i="3"/>
  <c r="AA32" i="3"/>
  <c r="AA35" i="3"/>
  <c r="AA36" i="3"/>
  <c r="AA37" i="3"/>
  <c r="AA38" i="3"/>
  <c r="AA40" i="3"/>
  <c r="AA41" i="3"/>
  <c r="AA10" i="3"/>
  <c r="AA11" i="3"/>
  <c r="AA12" i="3"/>
  <c r="AA16" i="3"/>
  <c r="AA19" i="3"/>
  <c r="AA20" i="3"/>
  <c r="AA21" i="3"/>
  <c r="AA23" i="3"/>
  <c r="AA25" i="3"/>
  <c r="AA46" i="3"/>
  <c r="AA51" i="3"/>
  <c r="AA52" i="3"/>
  <c r="W67" i="3"/>
  <c r="W70" i="3"/>
  <c r="W71" i="3"/>
  <c r="W72" i="3"/>
  <c r="W73" i="3"/>
  <c r="W74" i="3"/>
  <c r="W75" i="3"/>
  <c r="W76" i="3"/>
  <c r="W77" i="3"/>
  <c r="W78" i="3"/>
  <c r="W79" i="3"/>
  <c r="W81" i="3"/>
  <c r="W82" i="3"/>
  <c r="W83" i="3"/>
  <c r="W84" i="3"/>
  <c r="W85" i="3"/>
  <c r="W86" i="3"/>
  <c r="W87" i="3"/>
  <c r="W88" i="3"/>
  <c r="W89" i="3"/>
  <c r="W90" i="3"/>
  <c r="W57" i="3"/>
  <c r="W58" i="3"/>
  <c r="W59" i="3"/>
  <c r="W61" i="3"/>
  <c r="W62" i="3"/>
  <c r="W63" i="3"/>
  <c r="W46" i="3"/>
  <c r="W51" i="3"/>
  <c r="W30" i="3"/>
  <c r="W31" i="3"/>
  <c r="W32" i="3"/>
  <c r="W33" i="3"/>
  <c r="W35" i="3"/>
  <c r="W36" i="3"/>
  <c r="W37" i="3"/>
  <c r="W38" i="3"/>
  <c r="W39" i="3"/>
  <c r="W40" i="3"/>
  <c r="W41" i="3"/>
  <c r="W10" i="3"/>
  <c r="W11" i="3"/>
  <c r="W12" i="3"/>
  <c r="W14" i="3"/>
  <c r="W15" i="3"/>
  <c r="W16" i="3"/>
  <c r="W17" i="3"/>
  <c r="W19" i="3"/>
  <c r="W20" i="3"/>
  <c r="W21" i="3"/>
  <c r="W23" i="3"/>
  <c r="W24" i="3"/>
  <c r="W25" i="3"/>
  <c r="Q67" i="3"/>
  <c r="Q70" i="3"/>
  <c r="Q71" i="3"/>
  <c r="Q72" i="3"/>
  <c r="Q73" i="3"/>
  <c r="Q74" i="3"/>
  <c r="Q75" i="3"/>
  <c r="Q79" i="3"/>
  <c r="Q81" i="3"/>
  <c r="Q82" i="3"/>
  <c r="Q83" i="3"/>
  <c r="Q84" i="3"/>
  <c r="Q85" i="3"/>
  <c r="Q86" i="3"/>
  <c r="Q87" i="3"/>
  <c r="Q88" i="3"/>
  <c r="Q90" i="3"/>
  <c r="Q57" i="3"/>
  <c r="Q58" i="3"/>
  <c r="Q59" i="3"/>
  <c r="Q61" i="3"/>
  <c r="Q62" i="3"/>
  <c r="Q63" i="3"/>
  <c r="Q46" i="3"/>
  <c r="Q47" i="3"/>
  <c r="Q48" i="3"/>
  <c r="Q50" i="3"/>
  <c r="Q51" i="3"/>
  <c r="Q52" i="3"/>
  <c r="Q30" i="3"/>
  <c r="Q31" i="3"/>
  <c r="Q32" i="3"/>
  <c r="Q35" i="3"/>
  <c r="Q36" i="3"/>
  <c r="Q37" i="3"/>
  <c r="Q38" i="3"/>
  <c r="Q39" i="3"/>
  <c r="Q40" i="3"/>
  <c r="Q41" i="3"/>
  <c r="Q10" i="3"/>
  <c r="Q11" i="3"/>
  <c r="Q12" i="3"/>
  <c r="Q14" i="3"/>
  <c r="Q15" i="3"/>
  <c r="Q16" i="3"/>
  <c r="Q17" i="3"/>
  <c r="Q19" i="3"/>
  <c r="Q20" i="3"/>
  <c r="Q21" i="3"/>
  <c r="Q23" i="3"/>
  <c r="Q24" i="3"/>
  <c r="Q25" i="3"/>
  <c r="K67" i="3"/>
  <c r="K70" i="3"/>
  <c r="K71" i="3"/>
  <c r="K72" i="3"/>
  <c r="K73" i="3"/>
  <c r="K74" i="3"/>
  <c r="K76" i="3"/>
  <c r="K77" i="3"/>
  <c r="K78" i="3"/>
  <c r="K81" i="3"/>
  <c r="K82" i="3"/>
  <c r="K83" i="3"/>
  <c r="K84" i="3"/>
  <c r="K85" i="3"/>
  <c r="K86" i="3"/>
  <c r="K87" i="3"/>
  <c r="K88" i="3"/>
  <c r="K90" i="3"/>
  <c r="K57" i="3"/>
  <c r="K58" i="3"/>
  <c r="K59" i="3"/>
  <c r="K61" i="3"/>
  <c r="K62" i="3"/>
  <c r="K63" i="3"/>
  <c r="K46" i="3"/>
  <c r="K47" i="3"/>
  <c r="K50" i="3"/>
  <c r="K51" i="3"/>
  <c r="K52" i="3"/>
  <c r="K30" i="3"/>
  <c r="K31" i="3"/>
  <c r="K32" i="3"/>
  <c r="K33" i="3"/>
  <c r="K35" i="3"/>
  <c r="K36" i="3"/>
  <c r="K37" i="3"/>
  <c r="K38" i="3"/>
  <c r="K39" i="3"/>
  <c r="K40" i="3"/>
  <c r="K41" i="3"/>
  <c r="K10" i="3"/>
  <c r="K11" i="3"/>
  <c r="K12" i="3"/>
  <c r="K16" i="3"/>
  <c r="K17" i="3"/>
  <c r="K19" i="3"/>
  <c r="K20" i="3"/>
  <c r="K21" i="3"/>
  <c r="K23" i="3"/>
  <c r="K24" i="3"/>
  <c r="K25" i="3"/>
  <c r="C9" i="3"/>
  <c r="E73" i="3"/>
  <c r="E75" i="3"/>
  <c r="E76" i="3"/>
  <c r="E77" i="3"/>
  <c r="E78" i="3"/>
  <c r="E79" i="3"/>
  <c r="E81" i="3"/>
  <c r="E82" i="3"/>
  <c r="E83" i="3"/>
  <c r="E84" i="3"/>
  <c r="E85" i="3"/>
  <c r="E86" i="3"/>
  <c r="E90" i="3"/>
  <c r="E57" i="3"/>
  <c r="E58" i="3"/>
  <c r="E61" i="3"/>
  <c r="E62" i="3"/>
  <c r="E63" i="3"/>
  <c r="E46" i="3"/>
  <c r="E47" i="3"/>
  <c r="E48" i="3"/>
  <c r="E50" i="3"/>
  <c r="E51" i="3"/>
  <c r="E52" i="3"/>
  <c r="E30" i="3"/>
  <c r="E31" i="3"/>
  <c r="E32" i="3"/>
  <c r="E33" i="3"/>
  <c r="E35" i="3"/>
  <c r="E36" i="3"/>
  <c r="E37" i="3"/>
  <c r="E38" i="3"/>
  <c r="E40" i="3"/>
  <c r="E41" i="3"/>
  <c r="E11" i="3"/>
  <c r="E12" i="3"/>
  <c r="E16" i="3"/>
  <c r="E19" i="3"/>
  <c r="E20" i="3"/>
  <c r="E21" i="3"/>
  <c r="E23" i="3"/>
  <c r="E25" i="3"/>
  <c r="E10" i="3"/>
  <c r="H41" i="3"/>
  <c r="G41" i="3"/>
  <c r="G63" i="3"/>
  <c r="H63" i="3"/>
  <c r="M21" i="3"/>
  <c r="N21" i="3"/>
  <c r="G10" i="3"/>
  <c r="H10" i="3"/>
  <c r="G20" i="3"/>
  <c r="H20" i="3"/>
  <c r="H11" i="3"/>
  <c r="G11" i="3"/>
  <c r="H37" i="3"/>
  <c r="G37" i="3"/>
  <c r="H58" i="3"/>
  <c r="G58" i="3"/>
  <c r="H85" i="3"/>
  <c r="G85" i="3"/>
  <c r="H81" i="3"/>
  <c r="G81" i="3"/>
  <c r="M17" i="3"/>
  <c r="N17" i="3"/>
  <c r="T31" i="3"/>
  <c r="S31" i="3"/>
  <c r="H19" i="3"/>
  <c r="G19" i="3"/>
  <c r="H84" i="3"/>
  <c r="G84" i="3"/>
  <c r="S30" i="3"/>
  <c r="T30" i="3"/>
  <c r="H23" i="3"/>
  <c r="G23" i="3"/>
  <c r="H16" i="3"/>
  <c r="G16" i="3"/>
  <c r="H40" i="3"/>
  <c r="G40" i="3"/>
  <c r="H35" i="3"/>
  <c r="G35" i="3"/>
  <c r="H62" i="3"/>
  <c r="G62" i="3"/>
  <c r="H90" i="3"/>
  <c r="G90" i="3"/>
  <c r="G83" i="3"/>
  <c r="H83" i="3"/>
  <c r="G73" i="3"/>
  <c r="H73" i="3"/>
  <c r="M25" i="3"/>
  <c r="N25" i="3"/>
  <c r="N20" i="3"/>
  <c r="M20" i="3"/>
  <c r="M82" i="3"/>
  <c r="N82" i="3"/>
  <c r="H25" i="3"/>
  <c r="G25" i="3"/>
  <c r="H36" i="3"/>
  <c r="G36" i="3"/>
  <c r="H57" i="3"/>
  <c r="G57" i="3"/>
  <c r="T82" i="3"/>
  <c r="S82" i="3"/>
  <c r="G21" i="3"/>
  <c r="H21" i="3"/>
  <c r="H12" i="3"/>
  <c r="G12" i="3"/>
  <c r="H38" i="3"/>
  <c r="G38" i="3"/>
  <c r="H52" i="3"/>
  <c r="G52" i="3"/>
  <c r="G61" i="3"/>
  <c r="H61" i="3"/>
  <c r="G86" i="3"/>
  <c r="H86" i="3"/>
  <c r="H82" i="3"/>
  <c r="G82" i="3"/>
  <c r="N24" i="3"/>
  <c r="M24" i="3"/>
  <c r="N19" i="3"/>
  <c r="M19" i="3"/>
  <c r="M18" i="3"/>
  <c r="M11" i="3"/>
  <c r="M9" i="3"/>
  <c r="N11" i="3"/>
  <c r="S32" i="3"/>
  <c r="T32" i="3"/>
  <c r="Z51" i="3"/>
  <c r="Y51" i="3"/>
  <c r="Y46" i="3"/>
  <c r="Z46" i="3"/>
  <c r="AB83" i="3"/>
  <c r="AD83" i="3"/>
  <c r="AB90" i="3"/>
  <c r="AD90" i="3"/>
  <c r="AB73" i="3"/>
  <c r="AD73" i="3"/>
  <c r="AB40" i="3"/>
  <c r="AE40" i="3"/>
  <c r="AB38" i="3"/>
  <c r="AD38" i="3"/>
  <c r="AB35" i="3"/>
  <c r="AB30" i="3"/>
  <c r="AD30" i="3"/>
  <c r="AB10" i="3"/>
  <c r="AD10" i="3"/>
  <c r="AB21" i="3"/>
  <c r="AE21" i="3"/>
  <c r="AB62" i="3"/>
  <c r="AD62" i="3"/>
  <c r="AB58" i="3"/>
  <c r="AD58" i="3"/>
  <c r="AD40" i="3"/>
  <c r="AD35" i="3"/>
  <c r="AE35" i="3"/>
  <c r="AB20" i="3"/>
  <c r="AB12" i="3"/>
  <c r="AB52" i="3"/>
  <c r="AB61" i="3"/>
  <c r="AB86" i="3"/>
  <c r="AB82" i="3"/>
  <c r="AB25" i="3"/>
  <c r="AB19" i="3"/>
  <c r="AB11" i="3"/>
  <c r="AB37" i="3"/>
  <c r="AB32" i="3"/>
  <c r="AB51" i="3"/>
  <c r="AB46" i="3"/>
  <c r="AB85" i="3"/>
  <c r="AB81" i="3"/>
  <c r="AB23" i="3"/>
  <c r="AB16" i="3"/>
  <c r="AB41" i="3"/>
  <c r="AB36" i="3"/>
  <c r="AB31" i="3"/>
  <c r="AB63" i="3"/>
  <c r="AB57" i="3"/>
  <c r="AB84" i="3"/>
  <c r="E60" i="3"/>
  <c r="E9" i="3"/>
  <c r="E45" i="3"/>
  <c r="K29" i="3"/>
  <c r="K56" i="3"/>
  <c r="Q56" i="3"/>
  <c r="W29" i="3"/>
  <c r="W56" i="3"/>
  <c r="K34" i="3"/>
  <c r="Q34" i="3"/>
  <c r="W34" i="3"/>
  <c r="W66" i="3"/>
  <c r="E18" i="3"/>
  <c r="E49" i="3"/>
  <c r="K9" i="3"/>
  <c r="N9" i="3"/>
  <c r="K60" i="3"/>
  <c r="Q9" i="3"/>
  <c r="Q60" i="3"/>
  <c r="W9" i="3"/>
  <c r="W60" i="3"/>
  <c r="E29" i="3"/>
  <c r="N18" i="3"/>
  <c r="Q18" i="3"/>
  <c r="Q13" i="3"/>
  <c r="Q45" i="3"/>
  <c r="W18" i="3"/>
  <c r="W13" i="3"/>
  <c r="N22" i="3"/>
  <c r="K49" i="3"/>
  <c r="Q22" i="3"/>
  <c r="Q49" i="3"/>
  <c r="W22" i="3"/>
  <c r="W80" i="3"/>
  <c r="O89" i="3"/>
  <c r="I89" i="3"/>
  <c r="K89" i="3"/>
  <c r="N89" i="3"/>
  <c r="C89" i="3"/>
  <c r="C88" i="3"/>
  <c r="AA88" i="3"/>
  <c r="C87" i="3"/>
  <c r="I79" i="3"/>
  <c r="AA79" i="3"/>
  <c r="O78" i="3"/>
  <c r="AA78" i="3"/>
  <c r="O77" i="3"/>
  <c r="AA77" i="3"/>
  <c r="O76" i="3"/>
  <c r="AA76" i="3"/>
  <c r="I75" i="3"/>
  <c r="C74" i="3"/>
  <c r="C72" i="3"/>
  <c r="C71" i="3"/>
  <c r="AA71" i="3"/>
  <c r="C70" i="3"/>
  <c r="AA70" i="3"/>
  <c r="C67" i="3"/>
  <c r="AA67" i="3"/>
  <c r="U66" i="3"/>
  <c r="U60" i="3"/>
  <c r="O60" i="3"/>
  <c r="I60" i="3"/>
  <c r="C60" i="3"/>
  <c r="C59" i="3"/>
  <c r="U56" i="3"/>
  <c r="O56" i="3"/>
  <c r="I56" i="3"/>
  <c r="C56" i="3"/>
  <c r="U50" i="3"/>
  <c r="O49" i="3"/>
  <c r="I49" i="3"/>
  <c r="C49" i="3"/>
  <c r="I48" i="3"/>
  <c r="U47" i="3"/>
  <c r="O45" i="3"/>
  <c r="C45" i="3"/>
  <c r="C39" i="3"/>
  <c r="AA39" i="3"/>
  <c r="U34" i="3"/>
  <c r="O34" i="3"/>
  <c r="I34" i="3"/>
  <c r="O33" i="3"/>
  <c r="AA33" i="3"/>
  <c r="U29" i="3"/>
  <c r="I29" i="3"/>
  <c r="C29" i="3"/>
  <c r="C24" i="3"/>
  <c r="AA24" i="3"/>
  <c r="U22" i="3"/>
  <c r="O22" i="3"/>
  <c r="U18" i="3"/>
  <c r="O18" i="3"/>
  <c r="C18" i="3"/>
  <c r="C17" i="3"/>
  <c r="AA17" i="3"/>
  <c r="I15" i="3"/>
  <c r="AA15" i="3"/>
  <c r="I14" i="3"/>
  <c r="K14" i="3"/>
  <c r="C14" i="3"/>
  <c r="U13" i="3"/>
  <c r="O13" i="3"/>
  <c r="U9" i="3"/>
  <c r="O9" i="3"/>
  <c r="I9" i="3"/>
  <c r="M22" i="3"/>
  <c r="N14" i="3"/>
  <c r="M14" i="3"/>
  <c r="G18" i="3"/>
  <c r="H18" i="3"/>
  <c r="H60" i="3"/>
  <c r="G60" i="3"/>
  <c r="AE38" i="3"/>
  <c r="AE83" i="3"/>
  <c r="G49" i="3"/>
  <c r="G53" i="3"/>
  <c r="H53" i="3"/>
  <c r="H49" i="3"/>
  <c r="H9" i="3"/>
  <c r="G9" i="3"/>
  <c r="AE90" i="3"/>
  <c r="W64" i="3"/>
  <c r="AE30" i="3"/>
  <c r="AE73" i="3"/>
  <c r="AE62" i="3"/>
  <c r="AE10" i="3"/>
  <c r="AD21" i="3"/>
  <c r="N80" i="3"/>
  <c r="M89" i="3"/>
  <c r="AE58" i="3"/>
  <c r="K75" i="3"/>
  <c r="AA75" i="3"/>
  <c r="AD16" i="3"/>
  <c r="AE16" i="3"/>
  <c r="AD81" i="3"/>
  <c r="AE81" i="3"/>
  <c r="AD46" i="3"/>
  <c r="AE46" i="3"/>
  <c r="AD11" i="3"/>
  <c r="AE11" i="3"/>
  <c r="AA56" i="3"/>
  <c r="E59" i="3"/>
  <c r="AA59" i="3"/>
  <c r="E87" i="3"/>
  <c r="AA87" i="3"/>
  <c r="AB9" i="3"/>
  <c r="AD84" i="3"/>
  <c r="AE84" i="3"/>
  <c r="AD31" i="3"/>
  <c r="AE31" i="3"/>
  <c r="AD23" i="3"/>
  <c r="AE23" i="3"/>
  <c r="AD85" i="3"/>
  <c r="AE85" i="3"/>
  <c r="AE51" i="3"/>
  <c r="AD51" i="3"/>
  <c r="AD19" i="3"/>
  <c r="AE19" i="3"/>
  <c r="AD82" i="3"/>
  <c r="AE82" i="3"/>
  <c r="AE52" i="3"/>
  <c r="AD52" i="3"/>
  <c r="AD12" i="3"/>
  <c r="AE12" i="3"/>
  <c r="O29" i="3"/>
  <c r="AA29" i="3"/>
  <c r="AA60" i="3"/>
  <c r="E72" i="3"/>
  <c r="AA72" i="3"/>
  <c r="AB18" i="3"/>
  <c r="AB60" i="3"/>
  <c r="AD57" i="3"/>
  <c r="AE57" i="3"/>
  <c r="AD36" i="3"/>
  <c r="AE36" i="3"/>
  <c r="AD32" i="3"/>
  <c r="AE32" i="3"/>
  <c r="AE25" i="3"/>
  <c r="AD25" i="3"/>
  <c r="AD86" i="3"/>
  <c r="AE86" i="3"/>
  <c r="AD20" i="3"/>
  <c r="AE20" i="3"/>
  <c r="E74" i="3"/>
  <c r="AA74" i="3"/>
  <c r="E89" i="3"/>
  <c r="AA89" i="3"/>
  <c r="K64" i="3"/>
  <c r="AE63" i="3"/>
  <c r="AD63" i="3"/>
  <c r="AD41" i="3"/>
  <c r="AE41" i="3"/>
  <c r="AD37" i="3"/>
  <c r="AE37" i="3"/>
  <c r="AD61" i="3"/>
  <c r="AE61" i="3"/>
  <c r="AA9" i="3"/>
  <c r="AA14" i="3"/>
  <c r="AA18" i="3"/>
  <c r="AA48" i="3"/>
  <c r="K48" i="3"/>
  <c r="AA50" i="3"/>
  <c r="W50" i="3"/>
  <c r="C66" i="3"/>
  <c r="E67" i="3"/>
  <c r="E71" i="3"/>
  <c r="AB71" i="3"/>
  <c r="Q77" i="3"/>
  <c r="E88" i="3"/>
  <c r="K15" i="3"/>
  <c r="I45" i="3"/>
  <c r="C53" i="3"/>
  <c r="Q78" i="3"/>
  <c r="E17" i="3"/>
  <c r="E24" i="3"/>
  <c r="I64" i="3"/>
  <c r="K79" i="3"/>
  <c r="C13" i="3"/>
  <c r="E14" i="3"/>
  <c r="Q33" i="3"/>
  <c r="E39" i="3"/>
  <c r="AA47" i="3"/>
  <c r="W47" i="3"/>
  <c r="E70" i="3"/>
  <c r="Q76" i="3"/>
  <c r="C80" i="3"/>
  <c r="O80" i="3"/>
  <c r="Q89" i="3"/>
  <c r="W42" i="3"/>
  <c r="K42" i="3"/>
  <c r="E53" i="3"/>
  <c r="Q64" i="3"/>
  <c r="W26" i="3"/>
  <c r="Q53" i="3"/>
  <c r="Q26" i="3"/>
  <c r="O64" i="3"/>
  <c r="U26" i="3"/>
  <c r="I42" i="3"/>
  <c r="U64" i="3"/>
  <c r="U42" i="3"/>
  <c r="C22" i="3"/>
  <c r="AA22" i="3"/>
  <c r="I66" i="3"/>
  <c r="O53" i="3"/>
  <c r="U49" i="3"/>
  <c r="C64" i="3"/>
  <c r="O66" i="3"/>
  <c r="I80" i="3"/>
  <c r="O26" i="3"/>
  <c r="U45" i="3"/>
  <c r="C34" i="3"/>
  <c r="AA34" i="3"/>
  <c r="C14" i="1"/>
  <c r="Q80" i="3"/>
  <c r="T80" i="3"/>
  <c r="T89" i="3"/>
  <c r="S89" i="3"/>
  <c r="S80" i="3"/>
  <c r="AB70" i="3"/>
  <c r="AE70" i="3"/>
  <c r="H70" i="3"/>
  <c r="G70" i="3"/>
  <c r="T33" i="3"/>
  <c r="S33" i="3"/>
  <c r="S29" i="3"/>
  <c r="S42" i="3"/>
  <c r="AB77" i="3"/>
  <c r="S77" i="3"/>
  <c r="T77" i="3"/>
  <c r="G89" i="3"/>
  <c r="H89" i="3"/>
  <c r="G59" i="3"/>
  <c r="H59" i="3"/>
  <c r="M80" i="3"/>
  <c r="AB14" i="3"/>
  <c r="G14" i="3"/>
  <c r="H14" i="3"/>
  <c r="AB17" i="3"/>
  <c r="G17" i="3"/>
  <c r="H17" i="3"/>
  <c r="M15" i="3"/>
  <c r="N15" i="3"/>
  <c r="AB67" i="3"/>
  <c r="G67" i="3"/>
  <c r="H67" i="3"/>
  <c r="M48" i="3"/>
  <c r="M45" i="3"/>
  <c r="M53" i="3"/>
  <c r="N48" i="3"/>
  <c r="AB74" i="3"/>
  <c r="AE74" i="3"/>
  <c r="H74" i="3"/>
  <c r="G74" i="3"/>
  <c r="AB87" i="3"/>
  <c r="G87" i="3"/>
  <c r="G88" i="3"/>
  <c r="G80" i="3"/>
  <c r="H87" i="3"/>
  <c r="AB24" i="3"/>
  <c r="H24" i="3"/>
  <c r="G24" i="3"/>
  <c r="AB76" i="3"/>
  <c r="S76" i="3"/>
  <c r="T76" i="3"/>
  <c r="H39" i="3"/>
  <c r="G39" i="3"/>
  <c r="N79" i="3"/>
  <c r="M79" i="3"/>
  <c r="AB78" i="3"/>
  <c r="S78" i="3"/>
  <c r="T78" i="3"/>
  <c r="H88" i="3"/>
  <c r="AB72" i="3"/>
  <c r="H72" i="3"/>
  <c r="G72" i="3"/>
  <c r="AB75" i="3"/>
  <c r="N75" i="3"/>
  <c r="M75" i="3"/>
  <c r="Z50" i="3"/>
  <c r="Y50" i="3"/>
  <c r="Y49" i="3"/>
  <c r="Y47" i="3"/>
  <c r="Y45" i="3"/>
  <c r="Z47" i="3"/>
  <c r="O42" i="3"/>
  <c r="O91" i="3"/>
  <c r="O92" i="3"/>
  <c r="AA45" i="3"/>
  <c r="AB89" i="3"/>
  <c r="AE89" i="3"/>
  <c r="W45" i="3"/>
  <c r="Z45" i="3"/>
  <c r="AB47" i="3"/>
  <c r="AD14" i="3"/>
  <c r="AE14" i="3"/>
  <c r="AD24" i="3"/>
  <c r="AE24" i="3"/>
  <c r="AD71" i="3"/>
  <c r="AE71" i="3"/>
  <c r="AA64" i="3"/>
  <c r="AA80" i="3"/>
  <c r="AD17" i="3"/>
  <c r="AE17" i="3"/>
  <c r="AB15" i="3"/>
  <c r="AD67" i="3"/>
  <c r="AE67" i="3"/>
  <c r="K45" i="3"/>
  <c r="N45" i="3"/>
  <c r="AB48" i="3"/>
  <c r="AD60" i="3"/>
  <c r="AE60" i="3"/>
  <c r="AD72" i="3"/>
  <c r="AE72" i="3"/>
  <c r="AD87" i="3"/>
  <c r="AE87" i="3"/>
  <c r="AD76" i="3"/>
  <c r="AE76" i="3"/>
  <c r="E34" i="3"/>
  <c r="AB39" i="3"/>
  <c r="N66" i="3"/>
  <c r="AB79" i="3"/>
  <c r="AE78" i="3"/>
  <c r="AD78" i="3"/>
  <c r="E80" i="3"/>
  <c r="AB88" i="3"/>
  <c r="AA66" i="3"/>
  <c r="AD18" i="3"/>
  <c r="AE18" i="3"/>
  <c r="AD9" i="3"/>
  <c r="AE9" i="3"/>
  <c r="AD70" i="3"/>
  <c r="Q29" i="3"/>
  <c r="T29" i="3"/>
  <c r="AB33" i="3"/>
  <c r="AD77" i="3"/>
  <c r="AE77" i="3"/>
  <c r="W49" i="3"/>
  <c r="AB50" i="3"/>
  <c r="E56" i="3"/>
  <c r="AB59" i="3"/>
  <c r="AD75" i="3"/>
  <c r="AE75" i="3"/>
  <c r="AA13" i="3"/>
  <c r="E13" i="3"/>
  <c r="E22" i="3"/>
  <c r="U53" i="3"/>
  <c r="E66" i="3"/>
  <c r="H66" i="3"/>
  <c r="Q66" i="3"/>
  <c r="T66" i="3"/>
  <c r="I53" i="3"/>
  <c r="AA49" i="3"/>
  <c r="C42" i="3"/>
  <c r="AA42" i="3"/>
  <c r="C26" i="3"/>
  <c r="AA26" i="3"/>
  <c r="F47" i="1"/>
  <c r="AB22" i="3"/>
  <c r="G22" i="3"/>
  <c r="H22" i="3"/>
  <c r="G34" i="3"/>
  <c r="H34" i="3"/>
  <c r="G56" i="3"/>
  <c r="G64" i="3"/>
  <c r="H56" i="3"/>
  <c r="AD74" i="3"/>
  <c r="AB80" i="3"/>
  <c r="H80" i="3"/>
  <c r="N26" i="3"/>
  <c r="N13" i="3"/>
  <c r="M66" i="3"/>
  <c r="S66" i="3"/>
  <c r="S91" i="3"/>
  <c r="G66" i="3"/>
  <c r="Y53" i="3"/>
  <c r="Y91" i="3"/>
  <c r="AB49" i="3"/>
  <c r="AE49" i="3"/>
  <c r="Z49" i="3"/>
  <c r="W53" i="3"/>
  <c r="G13" i="3"/>
  <c r="H13" i="3"/>
  <c r="AD89" i="3"/>
  <c r="AD50" i="3"/>
  <c r="AE50" i="3"/>
  <c r="AD33" i="3"/>
  <c r="AE33" i="3"/>
  <c r="AD80" i="3"/>
  <c r="AE80" i="3"/>
  <c r="N53" i="3"/>
  <c r="AB45" i="3"/>
  <c r="AD22" i="3"/>
  <c r="AE22" i="3"/>
  <c r="AD49" i="3"/>
  <c r="Q42" i="3"/>
  <c r="AB29" i="3"/>
  <c r="AD39" i="3"/>
  <c r="AE39" i="3"/>
  <c r="AE47" i="3"/>
  <c r="AD47" i="3"/>
  <c r="AB66" i="3"/>
  <c r="AB13" i="3"/>
  <c r="AD59" i="3"/>
  <c r="AE59" i="3"/>
  <c r="E42" i="3"/>
  <c r="AB34" i="3"/>
  <c r="E64" i="3"/>
  <c r="AB56" i="3"/>
  <c r="AD88" i="3"/>
  <c r="AE88" i="3"/>
  <c r="AD79" i="3"/>
  <c r="AE79" i="3"/>
  <c r="AE48" i="3"/>
  <c r="AD48" i="3"/>
  <c r="AD15" i="3"/>
  <c r="AE15" i="3"/>
  <c r="E26" i="3"/>
  <c r="AA53" i="3"/>
  <c r="U91" i="3"/>
  <c r="U92" i="3"/>
  <c r="W92" i="3"/>
  <c r="E91" i="3"/>
  <c r="H91" i="3"/>
  <c r="O93" i="3"/>
  <c r="Q92" i="3"/>
  <c r="C91" i="3"/>
  <c r="D34" i="1"/>
  <c r="E34" i="1"/>
  <c r="F34" i="1"/>
  <c r="D29" i="1"/>
  <c r="F29" i="1"/>
  <c r="C29" i="1"/>
  <c r="G26" i="3"/>
  <c r="G42" i="3"/>
  <c r="H42" i="3"/>
  <c r="AB64" i="3"/>
  <c r="H64" i="3"/>
  <c r="Q91" i="3"/>
  <c r="T91" i="3"/>
  <c r="T42" i="3"/>
  <c r="G91" i="3"/>
  <c r="T92" i="3"/>
  <c r="S92" i="3"/>
  <c r="S93" i="3"/>
  <c r="Y92" i="3"/>
  <c r="Y93" i="3"/>
  <c r="Z92" i="3"/>
  <c r="W91" i="3"/>
  <c r="Z53" i="3"/>
  <c r="AB53" i="3"/>
  <c r="AE53" i="3"/>
  <c r="AB26" i="3"/>
  <c r="AE26" i="3"/>
  <c r="H26" i="3"/>
  <c r="AA91" i="3"/>
  <c r="AD56" i="3"/>
  <c r="AE56" i="3"/>
  <c r="AE29" i="3"/>
  <c r="AD29" i="3"/>
  <c r="AD53" i="3"/>
  <c r="AD64" i="3"/>
  <c r="AE64" i="3"/>
  <c r="Q93" i="3"/>
  <c r="T93" i="3"/>
  <c r="AD34" i="3"/>
  <c r="AE34" i="3"/>
  <c r="AD13" i="3"/>
  <c r="AE13" i="3"/>
  <c r="AB42" i="3"/>
  <c r="AE66" i="3"/>
  <c r="AD66" i="3"/>
  <c r="AD45" i="3"/>
  <c r="AE45" i="3"/>
  <c r="N91" i="3"/>
  <c r="U93" i="3"/>
  <c r="I93" i="3"/>
  <c r="C92" i="3"/>
  <c r="C89" i="1"/>
  <c r="C74" i="1"/>
  <c r="C88" i="1"/>
  <c r="C72" i="1"/>
  <c r="H41" i="1"/>
  <c r="G41" i="1"/>
  <c r="E33" i="1"/>
  <c r="C39" i="1"/>
  <c r="H39" i="1"/>
  <c r="H32" i="1"/>
  <c r="G32" i="1"/>
  <c r="N92" i="3"/>
  <c r="AD26" i="3"/>
  <c r="AB91" i="3"/>
  <c r="W93" i="3"/>
  <c r="Z93" i="3"/>
  <c r="Z91" i="3"/>
  <c r="H33" i="1"/>
  <c r="E29" i="1"/>
  <c r="E92" i="3"/>
  <c r="AA92" i="3"/>
  <c r="K93" i="3"/>
  <c r="N93" i="3"/>
  <c r="AD42" i="3"/>
  <c r="AE42" i="3"/>
  <c r="C93" i="3"/>
  <c r="AA93" i="3"/>
  <c r="E42" i="1"/>
  <c r="C34" i="1"/>
  <c r="I32" i="1"/>
  <c r="I41" i="1"/>
  <c r="G39" i="1"/>
  <c r="I39" i="1"/>
  <c r="G33" i="1"/>
  <c r="I33" i="1"/>
  <c r="G92" i="3"/>
  <c r="H92" i="3"/>
  <c r="E93" i="3"/>
  <c r="AB92" i="3"/>
  <c r="AB93" i="3"/>
  <c r="AD92" i="3"/>
  <c r="AE92" i="3"/>
  <c r="H37" i="1"/>
  <c r="H21" i="1"/>
  <c r="H61" i="1"/>
  <c r="H58" i="1"/>
  <c r="H57" i="1"/>
  <c r="H52" i="1"/>
  <c r="H46" i="1"/>
  <c r="H38" i="1"/>
  <c r="H36" i="1"/>
  <c r="H35" i="1"/>
  <c r="H40" i="1"/>
  <c r="H31" i="1"/>
  <c r="H30" i="1"/>
  <c r="H25" i="1"/>
  <c r="H23" i="1"/>
  <c r="H20" i="1"/>
  <c r="H19" i="1"/>
  <c r="H16" i="1"/>
  <c r="H12" i="1"/>
  <c r="H11" i="1"/>
  <c r="H10" i="1"/>
  <c r="E89" i="1"/>
  <c r="C87" i="1"/>
  <c r="D89" i="1"/>
  <c r="G88" i="1"/>
  <c r="D48" i="1"/>
  <c r="C67" i="1"/>
  <c r="G67" i="1"/>
  <c r="C45" i="1"/>
  <c r="F66" i="1"/>
  <c r="D75" i="1"/>
  <c r="G75" i="1"/>
  <c r="E76" i="1"/>
  <c r="G76" i="1"/>
  <c r="D60" i="1"/>
  <c r="D79" i="1"/>
  <c r="H79" i="1"/>
  <c r="D14" i="1"/>
  <c r="G47" i="1"/>
  <c r="G68" i="1"/>
  <c r="G69" i="1"/>
  <c r="G81" i="1"/>
  <c r="G82" i="1"/>
  <c r="G83" i="1"/>
  <c r="G84" i="1"/>
  <c r="G85" i="1"/>
  <c r="G86" i="1"/>
  <c r="G57" i="1"/>
  <c r="G58" i="1"/>
  <c r="G61" i="1"/>
  <c r="G63" i="1"/>
  <c r="I63" i="1"/>
  <c r="G46" i="1"/>
  <c r="G51" i="1"/>
  <c r="I51" i="1"/>
  <c r="G30" i="1"/>
  <c r="G31" i="1"/>
  <c r="G40" i="1"/>
  <c r="G38" i="1"/>
  <c r="G10" i="1"/>
  <c r="G11" i="1"/>
  <c r="G12" i="1"/>
  <c r="G16" i="1"/>
  <c r="I16" i="1"/>
  <c r="G19" i="1"/>
  <c r="G20" i="1"/>
  <c r="G21" i="1"/>
  <c r="G23" i="1"/>
  <c r="C59" i="1"/>
  <c r="G59" i="1"/>
  <c r="G74" i="1"/>
  <c r="G73" i="1"/>
  <c r="G72" i="1"/>
  <c r="C70" i="1"/>
  <c r="G70" i="1"/>
  <c r="E78" i="1"/>
  <c r="G78" i="1"/>
  <c r="E77" i="1"/>
  <c r="G77" i="1"/>
  <c r="C71" i="1"/>
  <c r="G71" i="1"/>
  <c r="I12" i="1"/>
  <c r="I46" i="1"/>
  <c r="I20" i="1"/>
  <c r="I11" i="1"/>
  <c r="I31" i="1"/>
  <c r="H34" i="1"/>
  <c r="H29" i="1"/>
  <c r="H9" i="1"/>
  <c r="H47" i="1"/>
  <c r="I47" i="1"/>
  <c r="I61" i="1"/>
  <c r="I30" i="1"/>
  <c r="H75" i="1"/>
  <c r="H66" i="1"/>
  <c r="E66" i="1"/>
  <c r="I57" i="1"/>
  <c r="I58" i="1"/>
  <c r="G79" i="1"/>
  <c r="D80" i="1"/>
  <c r="H18" i="1"/>
  <c r="D66" i="1"/>
  <c r="G87" i="1"/>
  <c r="H59" i="1"/>
  <c r="I59" i="1"/>
  <c r="E80" i="1"/>
  <c r="H14" i="1"/>
  <c r="H48" i="1"/>
  <c r="H60" i="1"/>
  <c r="I23" i="1"/>
  <c r="I38" i="1"/>
  <c r="I10" i="1"/>
  <c r="I40" i="1"/>
  <c r="I19" i="1"/>
  <c r="I21" i="1"/>
  <c r="C66" i="1"/>
  <c r="G14" i="1"/>
  <c r="F50" i="1"/>
  <c r="C18" i="1"/>
  <c r="F45" i="1"/>
  <c r="C56" i="1"/>
  <c r="D15" i="1"/>
  <c r="G25" i="1"/>
  <c r="I25" i="1"/>
  <c r="C24" i="1"/>
  <c r="C17" i="1"/>
  <c r="E60" i="1"/>
  <c r="F60" i="1"/>
  <c r="D56" i="1"/>
  <c r="D64" i="1"/>
  <c r="E56" i="1"/>
  <c r="F56" i="1"/>
  <c r="D49" i="1"/>
  <c r="E49" i="1"/>
  <c r="E45" i="1"/>
  <c r="D42" i="1"/>
  <c r="F42" i="1"/>
  <c r="E22" i="1"/>
  <c r="F22" i="1"/>
  <c r="E18" i="1"/>
  <c r="F18" i="1"/>
  <c r="E13" i="1"/>
  <c r="F13" i="1"/>
  <c r="E9" i="1"/>
  <c r="F9" i="1"/>
  <c r="C9" i="1"/>
  <c r="C42" i="1"/>
  <c r="C60" i="1"/>
  <c r="E53" i="1"/>
  <c r="H45" i="1"/>
  <c r="E26" i="1"/>
  <c r="H56" i="1"/>
  <c r="H64" i="1"/>
  <c r="H42" i="1"/>
  <c r="F26" i="1"/>
  <c r="G15" i="1"/>
  <c r="H15" i="1"/>
  <c r="F64" i="1"/>
  <c r="E64" i="1"/>
  <c r="E91" i="1"/>
  <c r="G17" i="1"/>
  <c r="H17" i="1"/>
  <c r="I14" i="1"/>
  <c r="H50" i="1"/>
  <c r="G24" i="1"/>
  <c r="H24" i="1"/>
  <c r="H22" i="1"/>
  <c r="C64" i="1"/>
  <c r="G29" i="1"/>
  <c r="I29" i="1"/>
  <c r="G66" i="1"/>
  <c r="D22" i="1"/>
  <c r="C49" i="1"/>
  <c r="C53" i="1"/>
  <c r="G52" i="1"/>
  <c r="I52" i="1"/>
  <c r="G60" i="1"/>
  <c r="I60" i="1"/>
  <c r="G62" i="1"/>
  <c r="I62" i="1"/>
  <c r="F49" i="1"/>
  <c r="F53" i="1"/>
  <c r="G50" i="1"/>
  <c r="D45" i="1"/>
  <c r="G48" i="1"/>
  <c r="I48" i="1"/>
  <c r="G56" i="1"/>
  <c r="C80" i="1"/>
  <c r="G89" i="1"/>
  <c r="D18" i="1"/>
  <c r="D9" i="1"/>
  <c r="D13" i="1"/>
  <c r="C13" i="1"/>
  <c r="I56" i="1"/>
  <c r="H13" i="1"/>
  <c r="H26" i="1"/>
  <c r="I17" i="1"/>
  <c r="I50" i="1"/>
  <c r="H49" i="1"/>
  <c r="I15" i="1"/>
  <c r="I24" i="1"/>
  <c r="F91" i="1"/>
  <c r="G18" i="1"/>
  <c r="I18" i="1"/>
  <c r="D26" i="1"/>
  <c r="G45" i="1"/>
  <c r="I45" i="1"/>
  <c r="D53" i="1"/>
  <c r="G64" i="1"/>
  <c r="I64" i="1"/>
  <c r="G49" i="1"/>
  <c r="G9" i="1"/>
  <c r="I9" i="1"/>
  <c r="G13" i="1"/>
  <c r="I13" i="1"/>
  <c r="E92" i="1"/>
  <c r="E93" i="1"/>
  <c r="F92" i="1"/>
  <c r="F93" i="1"/>
  <c r="D91" i="1"/>
  <c r="D92" i="1"/>
  <c r="D93" i="1"/>
  <c r="I49" i="1"/>
  <c r="H53" i="1"/>
  <c r="G53" i="1"/>
  <c r="G80" i="1"/>
  <c r="G35" i="1"/>
  <c r="I35" i="1"/>
  <c r="G37" i="1"/>
  <c r="I37" i="1"/>
  <c r="G36" i="1"/>
  <c r="I36" i="1"/>
  <c r="I53" i="1"/>
  <c r="H91" i="1"/>
  <c r="G34" i="1"/>
  <c r="G42" i="1"/>
  <c r="C22" i="1"/>
  <c r="I42" i="1"/>
  <c r="I34" i="1"/>
  <c r="G22" i="1"/>
  <c r="C26" i="1"/>
  <c r="C91" i="1"/>
  <c r="G91" i="1"/>
  <c r="I91" i="1"/>
  <c r="G26" i="1"/>
  <c r="I26" i="1"/>
  <c r="I22" i="1"/>
  <c r="C92" i="1"/>
  <c r="G92" i="1"/>
  <c r="C93" i="1"/>
  <c r="G93" i="1"/>
  <c r="AC91" i="3"/>
  <c r="AD91" i="3"/>
  <c r="F93" i="3"/>
  <c r="H93" i="3"/>
  <c r="AE91" i="3"/>
  <c r="AC93" i="3"/>
  <c r="G93" i="3"/>
  <c r="AE93" i="3"/>
  <c r="AD93" i="3"/>
</calcChain>
</file>

<file path=xl/sharedStrings.xml><?xml version="1.0" encoding="utf-8"?>
<sst xmlns="http://schemas.openxmlformats.org/spreadsheetml/2006/main" count="376" uniqueCount="221">
  <si>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</si>
  <si>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</si>
  <si>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</si>
  <si>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</si>
  <si>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</si>
  <si>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</si>
  <si>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</si>
  <si>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</si>
  <si>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</si>
  <si>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</si>
  <si>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</si>
  <si>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</si>
  <si>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</si>
  <si>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</si>
  <si>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</si>
  <si>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</si>
  <si>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</si>
  <si>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</si>
  <si>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</si>
  <si>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Output 2.2:</t>
  </si>
  <si>
    <t>Activity 2.2.1:</t>
  </si>
  <si>
    <t>Activity 2.2.2:</t>
  </si>
  <si>
    <t>Activity 2.2.3:</t>
  </si>
  <si>
    <t>TOTAL $ FOR OUTCOME 2:</t>
  </si>
  <si>
    <t>Output 3.1:</t>
  </si>
  <si>
    <t>Activity 3.1.1:</t>
  </si>
  <si>
    <t>Activity 3.1.2:</t>
  </si>
  <si>
    <t>Activity 3.1.3:</t>
  </si>
  <si>
    <t>Output 3.2:</t>
  </si>
  <si>
    <t>Activity 3.2.1:</t>
  </si>
  <si>
    <t>Activity 3.2.2:</t>
  </si>
  <si>
    <t>Activity 3.2.3:</t>
  </si>
  <si>
    <t>TOTAL $ FOR OUTCOME 3:</t>
  </si>
  <si>
    <t>Output 4.1:</t>
  </si>
  <si>
    <t>Activity 4.1.1:</t>
  </si>
  <si>
    <t>Activity 4.1.2:</t>
  </si>
  <si>
    <t>Activity 4.1.3:</t>
  </si>
  <si>
    <t>Output 4.2:</t>
  </si>
  <si>
    <t>Activity 4.2.1:</t>
  </si>
  <si>
    <t>Activity 4.2.2:</t>
  </si>
  <si>
    <t>Activity 4.2.3:</t>
  </si>
  <si>
    <t>Project personnel:</t>
  </si>
  <si>
    <t>Project general operating costs:</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</si>
  <si>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</si>
  <si>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</si>
  <si>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</si>
  <si>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</si>
  <si>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</si>
  <si>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Table 2 - Project budget by UN cost category</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</si>
  <si>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</si>
  <si>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</si>
  <si>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</si>
  <si>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</si>
  <si>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</si>
  <si>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</si>
  <si>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</si>
  <si>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</si>
  <si>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</si>
  <si>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</si>
  <si>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</si>
  <si>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</si>
  <si>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</si>
  <si>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</si>
  <si>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</si>
  <si>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</si>
  <si>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</si>
  <si>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Table 1 - Project budget by Outcome, output and activity</t>
  </si>
  <si>
    <t>Budget for UNDP (not including staff, general operating costs and indirect fee)</t>
  </si>
  <si>
    <t>Budget for UN Women (not including staff, general operating costs and indirect fee)</t>
  </si>
  <si>
    <t>Budget for FAO (not including staff, general operating costs and indirect fee)</t>
  </si>
  <si>
    <t>Part time position (50%)</t>
  </si>
  <si>
    <t>Amount UNDP</t>
  </si>
  <si>
    <t>Amount UN Women</t>
  </si>
  <si>
    <t>Amount FAO</t>
  </si>
  <si>
    <t xml:space="preserve">TOTAL $ FOR OUTCOME 4: </t>
  </si>
  <si>
    <t>OUTCOME 1: Effective and gender-sensitive infrastructure for peace in place at the state level to support conflict prevention</t>
  </si>
  <si>
    <t>Establishment of state-level agency/commission/structure to drive gender-sensitive peacebuilding agenda</t>
  </si>
  <si>
    <t>Activity 1.2.4</t>
  </si>
  <si>
    <t>Output 1.4:</t>
  </si>
  <si>
    <t>Activity 1.4.1:</t>
  </si>
  <si>
    <t>Activity 1.4.2:</t>
  </si>
  <si>
    <t>Activity 1.4.3:</t>
  </si>
  <si>
    <t>Sensitization and awareness raising activities amongst pastoralists, crop farmers, and members of the public on the cost of conflict and economic benefits of peaceful coexistence</t>
  </si>
  <si>
    <t>Providing startup kits for graduates of vocational training programmes</t>
  </si>
  <si>
    <t>Strengthen existing cooperative platforms &amp; CBOs through provision of knowledge products, advisory services and sensitization</t>
  </si>
  <si>
    <t>OUTCOME 3: Enhanced accountability and transparency promotes increased effectiveness of security response to the farmers-herders crisis</t>
  </si>
  <si>
    <t xml:space="preserve">Supporting vocational training for farmers, herders, women, youth and victims of conflict </t>
  </si>
  <si>
    <t>Activity 2.2.4:</t>
  </si>
  <si>
    <t>Capacity of monitoring, investigation and follow up on human rights offences enhanced</t>
  </si>
  <si>
    <t>Subscription costs</t>
  </si>
  <si>
    <t>Budget for OHCHR (not including staff, general operating costs and indirect fee)</t>
  </si>
  <si>
    <t>Vehicle</t>
  </si>
  <si>
    <t>Covered for 3 months</t>
  </si>
  <si>
    <t>Publishing reports, updates on human rights, advocacy missions to military operations commands</t>
  </si>
  <si>
    <t xml:space="preserve">Project equipment - Computers </t>
  </si>
  <si>
    <t>Project equipment - Projector</t>
  </si>
  <si>
    <t>Project equipment - Photocopier/Printer</t>
  </si>
  <si>
    <t>Office Consumables</t>
  </si>
  <si>
    <t>Internet for Taraba office</t>
  </si>
  <si>
    <t>Generator Taraba office</t>
  </si>
  <si>
    <t>Electricity (including diesel costs for generator) Taraba office</t>
  </si>
  <si>
    <t>Programme Finance/Admin (33%) (G3)</t>
  </si>
  <si>
    <t>Communications Officer (NO-A)</t>
  </si>
  <si>
    <t>Pasture Development Expert (NO-B)</t>
  </si>
  <si>
    <t>Animal Husbandry Expert (NO-B)</t>
  </si>
  <si>
    <t>Irrigation Engineer (NO-B)</t>
  </si>
  <si>
    <t>Women's Protection and Empowerment Officer (NO-B)</t>
  </si>
  <si>
    <t>Project Manager (P-3)</t>
  </si>
  <si>
    <t>UN Women to provide targeted support towards ensuring inclusion of women and girls in dialogue and mediation efforts</t>
  </si>
  <si>
    <t>In-kind contribution to this project</t>
  </si>
  <si>
    <t>40% in-kind contribution to this project</t>
  </si>
  <si>
    <t>67% in-kind contribution to this project</t>
  </si>
  <si>
    <t>Travel expenses for senior officials to States, production of advocacy briefs and materials</t>
  </si>
  <si>
    <t>Driver Benue/Nasarawa</t>
  </si>
  <si>
    <t>Project Officer Benue/Nasarawa</t>
  </si>
  <si>
    <t>OUTCOME 2: Strengthening Economic Interdependence between Farmers and Herders</t>
  </si>
  <si>
    <t>Activity 2.1.3:</t>
  </si>
  <si>
    <t>Livelihood opportunities at agricultural/pastoral interface improved</t>
  </si>
  <si>
    <t>Profile farmers, pastoralists, CBOs, vocational training centers, women and youths and conduct an assessment on livelihood opportunities</t>
  </si>
  <si>
    <t>Pilot human rights monitoring and reporting mechanism through National Human Rights Commission (NHRC)/NGO/CSO partnership in one state</t>
  </si>
  <si>
    <t>Increased civil-military/security agencies cooperation and dialogue</t>
  </si>
  <si>
    <t>OUTCOME 4: An improved understanding of the crisis encourages evidence-based advocacy, targeted investments and innovative solutions to reduce the impact of farmer-herder conflict</t>
  </si>
  <si>
    <t>Information Management and Analysis Unit provides reliable and credible information on farmers-herders crisis</t>
  </si>
  <si>
    <t>Total</t>
  </si>
  <si>
    <t>Covered for 9 months</t>
  </si>
  <si>
    <t>Furniture (desks, chairs, conference table, UPS) Taraba office</t>
  </si>
  <si>
    <t>Allocation of budget reserved for direct action on gender equality</t>
  </si>
  <si>
    <t>Mapping review gender analysis, reccommendations for gender sensitive structures and EWERS</t>
  </si>
  <si>
    <t>Gender balanced structures, EWERS target woemn and youth, gender considereations inlucive in PB approach employed</t>
  </si>
  <si>
    <t>Gender equality ensured on exchanges, UNW promotes gender issues through targeted briefings</t>
  </si>
  <si>
    <t>Implementation on gender</t>
  </si>
  <si>
    <t>Contracting of impartial CSO to undertake community monitoring; disaggregated monitoring of gender and youth</t>
  </si>
  <si>
    <t>Approaches target men, women and youth equitably and fairly</t>
  </si>
  <si>
    <t>UNDP will put out call for proposals to CSOs to support on this activity in the states. Ouputs gender and youth apporpriate.</t>
  </si>
  <si>
    <t>UNDP and UN Women to hold consultative stakeholder meetings in the states on legislation around open grazing. Consultations will ensure that the impact of legislation on women's political, economic and social spheres is brought to the fore.</t>
  </si>
  <si>
    <t xml:space="preserve">Targeted sensitization of women and girls, as well as sensitization of men to women's concerns/needs highlight economic benefits and opportunities for both men and women. </t>
  </si>
  <si>
    <t>Surveying will include consultations with women and youth groups to ensure input is received from these stakeholders in the surveying process.</t>
  </si>
  <si>
    <t>One 150 Ha pilot in one of the affected states that includes the preparation of pasture as well as water harvesting structure and irrigation system. UN Women technical support will oversee the pasture pilot to monitor its gender sensitivity, ensuring that both men and women benefit from the pilot.</t>
  </si>
  <si>
    <t>Awareness raising and sensitization around transitioning the livestock industry and leveraging the economic benefits of strengthened value chain development. Targeted engagement of women and youth to ensure their inclusion in value chain development.</t>
  </si>
  <si>
    <t>Gender disaggregated assessment makes specific recommendations to the impacts of alternative fodder and feedstocks on women and youth.</t>
  </si>
  <si>
    <t>Meetings facilitated with Governors' of affected states and the private sector to support awareness raising around investment opportunities for alternative fodder and feedstock production. Private sector partners with a track record of supporting women and youth will be especially targeted.</t>
  </si>
  <si>
    <t>60 Agric officers trained across 3 states, 2 days per state. Training will strive to include an equal gender balance, and extension packages targeting female farmers will be actively promoted</t>
  </si>
  <si>
    <t>30% will be dedicated specifically to female farmers to promote inclusion in the alternative feedstock/fodder production value chain.</t>
  </si>
  <si>
    <t>Data disaggregated with specific recommendations for women and youth on livelihood opportunities.</t>
  </si>
  <si>
    <t>The project will strive for targeting 75% women and young girls to promote their access to sustainable livelihoods and employment.</t>
  </si>
  <si>
    <t>Knowledge products, sensitization and advisory services will have a focus on gender sensitivity and empowerment of women and girls.</t>
  </si>
  <si>
    <t>Support to convening 20 members (gender balanced) per state per month for coordination on human rights</t>
  </si>
  <si>
    <t>6 workshops specifically targeted to address major challenges faced by women and girls.</t>
  </si>
  <si>
    <t>3 workshops conducted with strategic-level officers, which incorporates elements of preventing violence against women and protection of women and girls.</t>
  </si>
  <si>
    <t>Targeted focus on ensuring women and youth are able to engage in platforms promoted</t>
  </si>
  <si>
    <t>Gender disaggregated analysis is produced.</t>
  </si>
  <si>
    <t>Purchase of 2 licenses for GIS mapping alongside subscriptions for data presentation ensures gender disaggregated breakdown, analysis and presentation of findings.</t>
  </si>
  <si>
    <t>GIS Assistant Salary cost. Special preference will be given to female candidates who meet the qualifications.</t>
  </si>
  <si>
    <t xml:space="preserve">Subscription costs, printing costs. UN Women Communications Officer will ensure that informational outputs are disseminated in a way that enables women and youth to easily access information and analysis. </t>
  </si>
  <si>
    <t>Percentage of gender equality is based on the total programmed costs under this budget.</t>
  </si>
  <si>
    <t xml:space="preserve">UNDP to lead on the development and implementation of an ICT-based EWERS. UN Women to support through ensuring system is gender sensitive, leveraging gender sensitive indicators and supporting a gender-sensitive response. </t>
  </si>
  <si>
    <t xml:space="preserve">Mapping and review of State Agencies / Commission / structures, CSOs engaged in peace and security, and existing EWERS available in the states and make practical recommendations </t>
  </si>
  <si>
    <t xml:space="preserve">Advocacy and provision of technical support to establish an Agency / Commission / structure </t>
  </si>
  <si>
    <t xml:space="preserve">Inter-state exchange for learning and sharing of good practices </t>
  </si>
  <si>
    <t xml:space="preserve">State peacebuilding Agency / Commission / structure supported to drive gender-sensitive response to farmers-herders crisis </t>
  </si>
  <si>
    <t xml:space="preserve">Support through facilitating coordination meetings with ministries, departments, CSOs/CBOs, traditional and religious institutions, and women and youth networks to promote coordination around peace </t>
  </si>
  <si>
    <t xml:space="preserve">UN Women's contribution requested to specifically support state-level women's networks on peacebuilding, linking up to state peace architecture; mainstreamed through UNDPs approaches </t>
  </si>
  <si>
    <t xml:space="preserve">Targeted support to peacebuilding Agency / Commission / structure in operationalizing relevant elements of UNSCR 1325 </t>
  </si>
  <si>
    <t xml:space="preserve">Support to CSOs to engage in community monitoring activities on farmers-herders crisis and reporting to peacebuilding Agency / Commission / structure </t>
  </si>
  <si>
    <t xml:space="preserve">Targeted support to enable early response from Agency / Commission / structure based on early warning signs to promote gender-sensitive dialogue and mediation as a first step to resolving a crisis </t>
  </si>
  <si>
    <t xml:space="preserve">Early warning and early response capacity developed, supported and improved </t>
  </si>
  <si>
    <t xml:space="preserve">Develop and implement ICT-based EWERS  </t>
  </si>
  <si>
    <t xml:space="preserve">Capacity building and system strengthening to the EWER institutions in target states </t>
  </si>
  <si>
    <t xml:space="preserve">Advocacy at national and state levels with top government officials and security agencies to enhance effective response to conflict early warnings </t>
  </si>
  <si>
    <t xml:space="preserve">Foster a constructive dialogue through promotion of inter-ethnic and inter-religious exchanges </t>
  </si>
  <si>
    <t xml:space="preserve">Support to one CSO to build capacity and raise awareness with traditional rulers and religious leaders on peaceful coexistence, strengthening local level conflict prevention mechanisms, convening town hall meetings, and providing safe spaces for dialogue to take place.  </t>
  </si>
  <si>
    <t xml:space="preserve">Consultative meetings with stakeholders on legislation around open grazing </t>
  </si>
  <si>
    <t xml:space="preserve">Surveying of 5,000 Ha for one state in support of the National Livestock Development Plan </t>
  </si>
  <si>
    <t>Pilot pasture development through land preparation,  provision of water harvesting structures, pasture production, processing and conservation</t>
  </si>
  <si>
    <t xml:space="preserve">Assessment of alternative fodder/feedstock opportunities and information disseminated to both farmers and herders </t>
  </si>
  <si>
    <t xml:space="preserve">Convene three high-level meetings between private sector and state to raise awareness of fodder and feedstocks value chain and investment opportunities </t>
  </si>
  <si>
    <t>Pilot includes gender disaggregated information and focused on abuses particularly affecting women and youth, with recommendations on enhanced reporting / monitoring / responses.</t>
  </si>
  <si>
    <t xml:space="preserve">Capacity building and awareness raising on sexual exploitation and abuse (SEA) and sexual and gender-based violence (SGBV) </t>
  </si>
  <si>
    <t xml:space="preserve">Support to NHRC in convening CSOs, CBOs involved in human rights monitoring in each state </t>
  </si>
  <si>
    <t xml:space="preserve">Capacity building and sensitization of security agencies on codes of conduct and rules of engagement </t>
  </si>
  <si>
    <t xml:space="preserve">Advocacy to deploy human rights desk of Nigerian Army alongside any military deployment in the three states </t>
  </si>
  <si>
    <t xml:space="preserve">Support local level platforms for dialogue and exchange with security agencies and informal security actors (i.e. vigilante groups) </t>
  </si>
  <si>
    <t xml:space="preserve">Information gathered under the project and through partners are collated and analyzed </t>
  </si>
  <si>
    <t xml:space="preserve">GIS-mapping capabilities enable spatial plotting of attacks to inform trends in the crisis </t>
  </si>
  <si>
    <t xml:space="preserve">Production of analytical briefs and updates on the crisis in the three states help provide partners with a nuanced and well-informed understanding of the crisis </t>
  </si>
  <si>
    <t xml:space="preserve">Objective and verified information on the crisis is made publicly available </t>
  </si>
  <si>
    <t xml:space="preserve">Publishing outputs on online repositories and websites for wide distribution and sharing with the public </t>
  </si>
  <si>
    <t xml:space="preserve">Engagement with State Ministries of Information help ensure that state-level media houses are made aware of the information and analysis generated </t>
  </si>
  <si>
    <t xml:space="preserve">Social media platforms disseminate reports, briefs and infographics widely </t>
  </si>
  <si>
    <t>Amount OHCHR</t>
  </si>
  <si>
    <t>Project Officer Taraba (NO-B)</t>
  </si>
  <si>
    <t>Driver Taraba (G2)</t>
  </si>
  <si>
    <t>Activity 2.1.4:</t>
  </si>
  <si>
    <t>Activity 2.2.5:</t>
  </si>
  <si>
    <t>Activity 2.2.7:</t>
  </si>
  <si>
    <t>Monitoring and Evaluation Analyst (40%)</t>
  </si>
  <si>
    <t>Procurement &amp; Logistics Assistant (50%)(G6)</t>
  </si>
  <si>
    <t>Improved land, fodder/feedstock and water management to reduce competition over natural resources</t>
  </si>
  <si>
    <t>Training of 60 Agricultural extensions officers  on alternative feedstocks and value chains</t>
  </si>
  <si>
    <t>Conduct capacity building for 300 conflict-affected people on value chain development around livestock production and markets</t>
  </si>
  <si>
    <t>Provide catalytic support to alternative fodder production</t>
  </si>
  <si>
    <t>Tranche 1 (100%)</t>
  </si>
  <si>
    <t>Tranche 2 (0%)</t>
  </si>
  <si>
    <t>Project Evaluation/Audit</t>
  </si>
  <si>
    <t xml:space="preserve">Actual expenditure </t>
  </si>
  <si>
    <t xml:space="preserve">Difference </t>
  </si>
  <si>
    <t xml:space="preserve">Percentage utilized </t>
  </si>
  <si>
    <t xml:space="preserve">Total Actual expenditure </t>
  </si>
  <si>
    <t xml:space="preserve">1st tranch of 70% </t>
  </si>
  <si>
    <t xml:space="preserve">First tranch to UNDP </t>
  </si>
  <si>
    <t xml:space="preserve">Total fund for 18 months </t>
  </si>
  <si>
    <t>First tranch to UNWOMEN</t>
  </si>
  <si>
    <t>First tranch to FAO</t>
  </si>
  <si>
    <t>First tranch to OHCHR</t>
  </si>
  <si>
    <t xml:space="preserve">Total Percentage utilized </t>
  </si>
  <si>
    <t xml:space="preserve">CUMMLATIVE REPORT </t>
  </si>
  <si>
    <t>INTEGRATED APPROACH TO BUILDING PEACE IN THE NIGERIA FARMER-HERDSMEN CONFILCT</t>
  </si>
  <si>
    <t xml:space="preserve">1st tranch of 100% </t>
  </si>
  <si>
    <t>Total first tranch</t>
  </si>
  <si>
    <t>FINANCIAL REPORT 1 JANUARY 2019 - 31 MAY 2020</t>
  </si>
  <si>
    <t>FAO Revised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</si>
</sst>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409]#,##0.00"/>
    <numFmt numFmtId="166" formatCode="[$$-409]#,##0"/>
  </numFmts>
  <fonts count="16"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1"/>
      <color theme="1"/>
      <name val="Calibri"/>
      <family val="2"/>
      <scheme val="minor"/>
    </font>
    <font>
      <sz val="11"/>
      <name val="Times New Roman"/>
      <family val="1"/>
    </font>
    <font>
      <sz val="12"/>
      <color theme="0"/>
      <name val="Times New Roman"/>
      <family val="1"/>
    </font>
    <font>
      <b/>
      <sz val="16"/>
      <color theme="1"/>
      <name val="Calibri"/>
      <family val="2"/>
      <scheme val="minor"/>
    </font>
    <font>
      <sz val="12"/>
      <name val="Times New Roman"/>
      <family val="1"/>
    </font>
    <font>
      <sz val="11"/>
      <name val="Calibri"/>
      <family val="2"/>
      <scheme val="minor"/>
    </font>
    <font>
      <b/>
      <sz val="10"/>
      <color rgb="FFFF0000"/>
      <name val="Calibri"/>
      <family val="2"/>
    </font>
    <font>
      <sz val="10"/>
      <color rgb="FFFF0000"/>
      <name val="Calibri"/>
      <family val="2"/>
    </font>
  </fonts>
  <fills count="1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
    <xf numFmtId="0" fontId="0"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178">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8" xfId="0" applyFont="1" applyBorder="1" applyAlignment="1">
      <alignment vertical="center" wrapText="1"/>
    </xf>
    <xf numFmtId="0" fontId="4" fillId="4" borderId="8" xfId="0" applyFont="1" applyFill="1" applyBorder="1" applyAlignment="1">
      <alignment vertical="center" wrapText="1"/>
    </xf>
    <xf numFmtId="0" fontId="4" fillId="2" borderId="12" xfId="0" applyFont="1" applyFill="1" applyBorder="1" applyAlignment="1">
      <alignment horizontal="center" vertical="center" wrapText="1"/>
    </xf>
    <xf numFmtId="0" fontId="6" fillId="0" borderId="0" xfId="0" applyFont="1"/>
    <xf numFmtId="0" fontId="1" fillId="0" borderId="2" xfId="0" applyFont="1" applyBorder="1" applyAlignment="1">
      <alignment vertical="center" wrapText="1"/>
    </xf>
    <xf numFmtId="0" fontId="7" fillId="0" borderId="0" xfId="0" applyFont="1"/>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0" fillId="0" borderId="0" xfId="0"/>
    <xf numFmtId="0" fontId="1" fillId="0" borderId="2" xfId="0" applyFont="1" applyBorder="1" applyAlignment="1">
      <alignment vertical="center" wrapText="1"/>
    </xf>
    <xf numFmtId="10" fontId="1" fillId="0" borderId="4" xfId="0" applyNumberFormat="1" applyFont="1" applyBorder="1" applyAlignment="1">
      <alignment vertical="center" wrapText="1"/>
    </xf>
    <xf numFmtId="0" fontId="9" fillId="0" borderId="16" xfId="0" applyFont="1" applyFill="1" applyBorder="1" applyAlignment="1" applyProtection="1">
      <alignment horizontal="left" vertical="top" wrapText="1"/>
    </xf>
    <xf numFmtId="4" fontId="1" fillId="0" borderId="4" xfId="0" applyNumberFormat="1" applyFont="1" applyBorder="1" applyAlignment="1">
      <alignment vertical="center" wrapText="1"/>
    </xf>
    <xf numFmtId="4" fontId="1" fillId="0" borderId="1" xfId="0" applyNumberFormat="1" applyFont="1" applyFill="1" applyBorder="1" applyAlignment="1">
      <alignment vertical="center" wrapText="1"/>
    </xf>
    <xf numFmtId="4" fontId="1" fillId="0" borderId="4" xfId="0" applyNumberFormat="1" applyFont="1" applyFill="1" applyBorder="1" applyAlignment="1">
      <alignment vertical="center" wrapText="1"/>
    </xf>
    <xf numFmtId="0" fontId="1" fillId="0" borderId="3" xfId="0" applyFont="1" applyFill="1" applyBorder="1" applyAlignment="1">
      <alignment vertical="center" wrapText="1"/>
    </xf>
    <xf numFmtId="165" fontId="5" fillId="0" borderId="10" xfId="0" applyNumberFormat="1" applyFont="1" applyBorder="1" applyAlignment="1">
      <alignment horizontal="right" vertical="center" wrapText="1"/>
    </xf>
    <xf numFmtId="165" fontId="5" fillId="0" borderId="10" xfId="0" applyNumberFormat="1" applyFont="1" applyBorder="1" applyAlignment="1">
      <alignment horizontal="center" vertical="center" wrapText="1"/>
    </xf>
    <xf numFmtId="165" fontId="5" fillId="4" borderId="10" xfId="0" applyNumberFormat="1" applyFont="1" applyFill="1" applyBorder="1" applyAlignment="1">
      <alignment horizontal="right" vertical="center" wrapText="1"/>
    </xf>
    <xf numFmtId="10" fontId="1"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4" fontId="2" fillId="0" borderId="6"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4" fontId="2" fillId="0" borderId="14" xfId="0" applyNumberFormat="1" applyFont="1" applyFill="1" applyBorder="1" applyAlignment="1">
      <alignment vertical="center" wrapText="1"/>
    </xf>
    <xf numFmtId="3" fontId="1" fillId="0" borderId="17"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0" fontId="1" fillId="0" borderId="17" xfId="0" applyFont="1" applyFill="1" applyBorder="1" applyAlignment="1">
      <alignment vertical="center" wrapText="1"/>
    </xf>
    <xf numFmtId="0" fontId="1" fillId="0" borderId="13" xfId="0" applyFont="1" applyFill="1" applyBorder="1" applyAlignment="1">
      <alignment vertical="center" wrapText="1"/>
    </xf>
    <xf numFmtId="3" fontId="1"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10" fontId="2"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3" fontId="1" fillId="0" borderId="6" xfId="0" applyNumberFormat="1" applyFont="1" applyFill="1" applyBorder="1" applyAlignment="1">
      <alignment vertical="center" wrapText="1"/>
    </xf>
    <xf numFmtId="4" fontId="1" fillId="5" borderId="4" xfId="0" applyNumberFormat="1" applyFont="1" applyFill="1" applyBorder="1" applyAlignment="1">
      <alignment vertical="center" wrapText="1"/>
    </xf>
    <xf numFmtId="4" fontId="1" fillId="5" borderId="15" xfId="0" applyNumberFormat="1" applyFont="1" applyFill="1" applyBorder="1" applyAlignment="1">
      <alignment horizontal="right" vertical="center" wrapText="1"/>
    </xf>
    <xf numFmtId="4" fontId="1" fillId="5" borderId="1" xfId="0" applyNumberFormat="1" applyFont="1" applyFill="1" applyBorder="1" applyAlignment="1">
      <alignment vertical="center" wrapText="1"/>
    </xf>
    <xf numFmtId="4" fontId="2" fillId="5" borderId="1" xfId="0" applyNumberFormat="1" applyFont="1" applyFill="1" applyBorder="1" applyAlignment="1">
      <alignment vertical="center" wrapText="1"/>
    </xf>
    <xf numFmtId="4" fontId="2" fillId="5" borderId="14" xfId="0" applyNumberFormat="1" applyFont="1" applyFill="1" applyBorder="1" applyAlignment="1">
      <alignment vertical="center" wrapText="1"/>
    </xf>
    <xf numFmtId="4" fontId="1" fillId="5" borderId="17" xfId="0" applyNumberFormat="1" applyFont="1" applyFill="1" applyBorder="1" applyAlignment="1">
      <alignment vertical="center" wrapText="1"/>
    </xf>
    <xf numFmtId="164" fontId="2" fillId="5" borderId="1" xfId="0" applyNumberFormat="1" applyFont="1" applyFill="1" applyBorder="1" applyAlignment="1">
      <alignment vertical="center" wrapText="1"/>
    </xf>
    <xf numFmtId="164" fontId="1" fillId="5" borderId="1" xfId="0" applyNumberFormat="1" applyFont="1" applyFill="1" applyBorder="1" applyAlignment="1">
      <alignment vertical="center" wrapText="1"/>
    </xf>
    <xf numFmtId="0" fontId="1" fillId="6" borderId="4" xfId="0" applyFont="1" applyFill="1" applyBorder="1" applyAlignment="1">
      <alignment vertical="center" wrapText="1"/>
    </xf>
    <xf numFmtId="0" fontId="1" fillId="6" borderId="3" xfId="0" applyFont="1" applyFill="1" applyBorder="1" applyAlignment="1">
      <alignment vertical="center" wrapText="1"/>
    </xf>
    <xf numFmtId="4" fontId="1" fillId="6" borderId="4" xfId="0" applyNumberFormat="1" applyFont="1" applyFill="1" applyBorder="1" applyAlignment="1">
      <alignment vertical="center" wrapText="1"/>
    </xf>
    <xf numFmtId="10" fontId="1" fillId="6" borderId="4" xfId="0" applyNumberFormat="1" applyFont="1" applyFill="1" applyBorder="1" applyAlignment="1">
      <alignment vertical="center" wrapText="1"/>
    </xf>
    <xf numFmtId="0" fontId="0" fillId="0" borderId="0" xfId="0" applyFill="1"/>
    <xf numFmtId="4" fontId="1" fillId="7" borderId="1" xfId="0" applyNumberFormat="1" applyFont="1" applyFill="1" applyBorder="1" applyAlignment="1">
      <alignment vertical="center" wrapText="1"/>
    </xf>
    <xf numFmtId="4" fontId="2" fillId="7" borderId="1" xfId="0" applyNumberFormat="1" applyFont="1" applyFill="1" applyBorder="1" applyAlignment="1">
      <alignment vertical="center" wrapText="1"/>
    </xf>
    <xf numFmtId="164" fontId="2" fillId="7" borderId="1" xfId="0" applyNumberFormat="1" applyFont="1" applyFill="1" applyBorder="1" applyAlignment="1">
      <alignment vertical="center" wrapText="1"/>
    </xf>
    <xf numFmtId="4" fontId="1" fillId="8" borderId="1" xfId="0" applyNumberFormat="1" applyFont="1" applyFill="1" applyBorder="1" applyAlignment="1">
      <alignment vertical="center" wrapText="1"/>
    </xf>
    <xf numFmtId="4" fontId="2" fillId="8" borderId="1" xfId="0" applyNumberFormat="1" applyFont="1" applyFill="1" applyBorder="1" applyAlignment="1">
      <alignment vertical="center" wrapText="1"/>
    </xf>
    <xf numFmtId="164" fontId="2" fillId="8" borderId="1" xfId="0" applyNumberFormat="1" applyFont="1" applyFill="1" applyBorder="1" applyAlignment="1">
      <alignment vertical="center" wrapText="1"/>
    </xf>
    <xf numFmtId="9" fontId="0" fillId="0" borderId="0" xfId="2" applyFont="1"/>
    <xf numFmtId="164" fontId="0" fillId="0" borderId="0" xfId="0" applyNumberFormat="1"/>
    <xf numFmtId="164" fontId="0" fillId="0" borderId="0" xfId="3" applyFont="1" applyFill="1"/>
    <xf numFmtId="0" fontId="6" fillId="0" borderId="1" xfId="0" applyFont="1" applyFill="1" applyBorder="1" applyAlignment="1">
      <alignment vertical="center" wrapText="1"/>
    </xf>
    <xf numFmtId="0" fontId="11" fillId="0" borderId="0" xfId="0" applyFont="1"/>
    <xf numFmtId="3" fontId="12" fillId="11" borderId="1" xfId="0" applyNumberFormat="1" applyFont="1" applyFill="1" applyBorder="1" applyAlignment="1">
      <alignment vertical="center" wrapText="1"/>
    </xf>
    <xf numFmtId="4" fontId="12" fillId="11" borderId="1" xfId="0" applyNumberFormat="1" applyFont="1" applyFill="1" applyBorder="1" applyAlignment="1">
      <alignment vertical="center" wrapText="1"/>
    </xf>
    <xf numFmtId="0" fontId="13" fillId="11" borderId="0" xfId="0" applyFont="1" applyFill="1"/>
    <xf numFmtId="164" fontId="1" fillId="11" borderId="1" xfId="0" applyNumberFormat="1" applyFont="1" applyFill="1" applyBorder="1" applyAlignment="1">
      <alignment vertical="center" wrapText="1"/>
    </xf>
    <xf numFmtId="0" fontId="1" fillId="11" borderId="1" xfId="0" applyFont="1" applyFill="1" applyBorder="1" applyAlignment="1">
      <alignment vertical="center" wrapText="1"/>
    </xf>
    <xf numFmtId="0" fontId="0" fillId="11" borderId="0" xfId="0" applyFill="1"/>
    <xf numFmtId="3" fontId="1" fillId="11" borderId="1" xfId="0" applyNumberFormat="1" applyFont="1" applyFill="1" applyBorder="1" applyAlignment="1">
      <alignment vertical="center" wrapText="1"/>
    </xf>
    <xf numFmtId="4" fontId="1" fillId="11" borderId="1" xfId="0" applyNumberFormat="1" applyFont="1" applyFill="1" applyBorder="1" applyAlignment="1">
      <alignment vertical="center" wrapText="1"/>
    </xf>
    <xf numFmtId="9" fontId="2" fillId="0" borderId="1" xfId="0" applyNumberFormat="1" applyFont="1" applyFill="1" applyBorder="1" applyAlignment="1">
      <alignment vertical="center" wrapText="1"/>
    </xf>
    <xf numFmtId="9" fontId="2" fillId="0" borderId="1" xfId="2" applyNumberFormat="1" applyFont="1" applyFill="1" applyBorder="1" applyAlignment="1">
      <alignment vertical="center" wrapText="1"/>
    </xf>
    <xf numFmtId="9" fontId="1" fillId="11" borderId="1" xfId="0" applyNumberFormat="1" applyFont="1" applyFill="1" applyBorder="1" applyAlignment="1">
      <alignment vertical="center" wrapText="1"/>
    </xf>
    <xf numFmtId="9" fontId="1" fillId="0" borderId="1" xfId="0" applyNumberFormat="1" applyFont="1" applyFill="1" applyBorder="1" applyAlignment="1">
      <alignment vertical="center" wrapText="1"/>
    </xf>
    <xf numFmtId="4" fontId="12" fillId="7" borderId="1" xfId="0" applyNumberFormat="1" applyFont="1" applyFill="1" applyBorder="1" applyAlignment="1">
      <alignment vertical="center" wrapText="1"/>
    </xf>
    <xf numFmtId="4" fontId="12" fillId="5" borderId="1" xfId="0" applyNumberFormat="1" applyFont="1" applyFill="1" applyBorder="1" applyAlignment="1">
      <alignment vertical="center" wrapText="1"/>
    </xf>
    <xf numFmtId="164" fontId="1" fillId="7" borderId="1" xfId="0" applyNumberFormat="1" applyFont="1" applyFill="1" applyBorder="1" applyAlignment="1">
      <alignment vertical="center" wrapText="1"/>
    </xf>
    <xf numFmtId="9" fontId="12" fillId="11" borderId="1" xfId="0" applyNumberFormat="1" applyFont="1" applyFill="1" applyBorder="1" applyAlignment="1">
      <alignment vertical="center" wrapText="1"/>
    </xf>
    <xf numFmtId="0" fontId="0" fillId="0" borderId="0" xfId="0" applyFont="1"/>
    <xf numFmtId="4" fontId="12" fillId="8" borderId="1" xfId="0" applyNumberFormat="1" applyFont="1" applyFill="1" applyBorder="1" applyAlignment="1">
      <alignment vertical="center" wrapText="1"/>
    </xf>
    <xf numFmtId="164" fontId="1" fillId="8" borderId="1" xfId="0" applyNumberFormat="1" applyFont="1" applyFill="1" applyBorder="1" applyAlignment="1">
      <alignment vertical="center" wrapText="1"/>
    </xf>
    <xf numFmtId="4" fontId="2" fillId="12" borderId="1" xfId="0" applyNumberFormat="1" applyFont="1" applyFill="1" applyBorder="1" applyAlignment="1">
      <alignment vertical="center" wrapText="1"/>
    </xf>
    <xf numFmtId="0" fontId="1" fillId="5" borderId="1" xfId="0" applyFont="1" applyFill="1" applyBorder="1" applyAlignment="1">
      <alignment vertical="center" wrapText="1"/>
    </xf>
    <xf numFmtId="0" fontId="1" fillId="7" borderId="1" xfId="0" applyFont="1" applyFill="1" applyBorder="1" applyAlignment="1">
      <alignment vertical="center" wrapText="1"/>
    </xf>
    <xf numFmtId="0" fontId="1" fillId="8" borderId="1" xfId="0" applyFont="1" applyFill="1" applyBorder="1" applyAlignment="1">
      <alignment vertical="center" wrapText="1"/>
    </xf>
    <xf numFmtId="0" fontId="1" fillId="12" borderId="1" xfId="0" applyFont="1" applyFill="1" applyBorder="1" applyAlignment="1">
      <alignment vertical="center" wrapText="1"/>
    </xf>
    <xf numFmtId="9" fontId="1" fillId="0" borderId="1" xfId="2" applyFont="1" applyFill="1" applyBorder="1" applyAlignment="1">
      <alignment vertical="center" wrapText="1"/>
    </xf>
    <xf numFmtId="0" fontId="2" fillId="0" borderId="1" xfId="0" applyFont="1" applyBorder="1" applyAlignment="1">
      <alignment vertical="center" wrapText="1"/>
    </xf>
    <xf numFmtId="9" fontId="2" fillId="5" borderId="1" xfId="2" applyFont="1" applyFill="1" applyBorder="1" applyAlignment="1">
      <alignment vertical="center" wrapText="1"/>
    </xf>
    <xf numFmtId="4" fontId="2" fillId="0" borderId="1" xfId="0" applyNumberFormat="1" applyFont="1" applyBorder="1" applyAlignment="1">
      <alignment vertical="center" wrapText="1"/>
    </xf>
    <xf numFmtId="9" fontId="2" fillId="0" borderId="1" xfId="0" applyNumberFormat="1" applyFont="1" applyBorder="1" applyAlignment="1">
      <alignment vertical="center" wrapText="1"/>
    </xf>
    <xf numFmtId="9" fontId="2" fillId="0" borderId="1" xfId="2" applyFont="1" applyBorder="1" applyAlignment="1">
      <alignment vertical="center" wrapText="1"/>
    </xf>
    <xf numFmtId="9" fontId="1" fillId="5" borderId="1" xfId="2" applyFont="1" applyFill="1" applyBorder="1" applyAlignment="1">
      <alignment vertical="center" wrapText="1"/>
    </xf>
    <xf numFmtId="4" fontId="1" fillId="0" borderId="1" xfId="0" applyNumberFormat="1" applyFont="1" applyBorder="1" applyAlignment="1">
      <alignment vertical="center" wrapText="1"/>
    </xf>
    <xf numFmtId="4" fontId="1" fillId="12" borderId="1" xfId="0" applyNumberFormat="1" applyFont="1" applyFill="1" applyBorder="1" applyAlignment="1">
      <alignment vertical="center" wrapText="1"/>
    </xf>
    <xf numFmtId="9" fontId="1" fillId="0" borderId="1" xfId="2" applyFont="1" applyBorder="1" applyAlignment="1">
      <alignment vertical="center" wrapText="1"/>
    </xf>
    <xf numFmtId="4" fontId="1" fillId="5" borderId="1" xfId="0" applyNumberFormat="1" applyFont="1" applyFill="1" applyBorder="1" applyAlignment="1">
      <alignment horizontal="right" vertical="center" wrapText="1"/>
    </xf>
    <xf numFmtId="9" fontId="2" fillId="0" borderId="1" xfId="2" applyFont="1" applyFill="1" applyBorder="1" applyAlignment="1">
      <alignment vertical="center" wrapText="1"/>
    </xf>
    <xf numFmtId="4" fontId="10" fillId="0" borderId="1" xfId="0" applyNumberFormat="1" applyFont="1" applyFill="1" applyBorder="1" applyAlignment="1">
      <alignment vertical="center" wrapText="1"/>
    </xf>
    <xf numFmtId="2" fontId="2" fillId="0" borderId="1" xfId="3" applyNumberFormat="1" applyFont="1" applyFill="1" applyBorder="1" applyAlignment="1">
      <alignment vertical="center" wrapText="1"/>
    </xf>
    <xf numFmtId="2" fontId="1" fillId="0" borderId="1" xfId="3" applyNumberFormat="1" applyFont="1" applyFill="1" applyBorder="1" applyAlignment="1">
      <alignment vertical="center" wrapText="1"/>
    </xf>
    <xf numFmtId="2" fontId="2" fillId="0" borderId="1" xfId="2" applyNumberFormat="1" applyFont="1" applyFill="1" applyBorder="1" applyAlignment="1">
      <alignment vertical="center" wrapText="1"/>
    </xf>
    <xf numFmtId="2" fontId="1" fillId="0" borderId="1" xfId="2" applyNumberFormat="1" applyFont="1" applyFill="1" applyBorder="1" applyAlignment="1">
      <alignment vertical="center" wrapText="1"/>
    </xf>
    <xf numFmtId="4" fontId="2" fillId="0" borderId="1" xfId="2" applyNumberFormat="1" applyFont="1" applyFill="1" applyBorder="1" applyAlignment="1">
      <alignment vertical="center" wrapText="1"/>
    </xf>
    <xf numFmtId="4" fontId="1" fillId="0" borderId="1" xfId="2" applyNumberFormat="1" applyFont="1" applyFill="1" applyBorder="1" applyAlignment="1">
      <alignment vertical="center" wrapText="1"/>
    </xf>
    <xf numFmtId="4" fontId="1" fillId="11" borderId="1" xfId="2" applyNumberFormat="1" applyFont="1" applyFill="1" applyBorder="1" applyAlignment="1">
      <alignment vertical="center" wrapText="1"/>
    </xf>
    <xf numFmtId="9" fontId="1" fillId="11" borderId="1" xfId="2" applyFont="1" applyFill="1" applyBorder="1" applyAlignment="1">
      <alignment vertical="center" wrapText="1"/>
    </xf>
    <xf numFmtId="3" fontId="2" fillId="0" borderId="1" xfId="0" applyNumberFormat="1" applyFont="1" applyFill="1" applyBorder="1" applyAlignment="1">
      <alignment vertical="center" wrapText="1"/>
    </xf>
    <xf numFmtId="0" fontId="9" fillId="11"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12" fillId="11" borderId="1" xfId="0" applyFont="1" applyFill="1" applyBorder="1" applyAlignment="1">
      <alignment vertical="center" wrapText="1"/>
    </xf>
    <xf numFmtId="9" fontId="12" fillId="5" borderId="1" xfId="2" applyFont="1" applyFill="1" applyBorder="1" applyAlignment="1">
      <alignment vertical="center" wrapText="1"/>
    </xf>
    <xf numFmtId="4" fontId="12" fillId="12" borderId="1" xfId="0" applyNumberFormat="1" applyFont="1" applyFill="1" applyBorder="1" applyAlignment="1">
      <alignment vertical="center" wrapText="1"/>
    </xf>
    <xf numFmtId="4" fontId="12" fillId="11" borderId="1" xfId="2" applyNumberFormat="1" applyFont="1" applyFill="1" applyBorder="1" applyAlignment="1">
      <alignment vertical="center" wrapText="1"/>
    </xf>
    <xf numFmtId="9" fontId="12" fillId="11" borderId="1" xfId="2" applyFont="1" applyFill="1" applyBorder="1" applyAlignment="1">
      <alignment vertical="center" wrapText="1"/>
    </xf>
    <xf numFmtId="4" fontId="2" fillId="13" borderId="1" xfId="0" applyNumberFormat="1" applyFont="1" applyFill="1" applyBorder="1" applyAlignment="1">
      <alignment vertical="center" wrapText="1"/>
    </xf>
    <xf numFmtId="9" fontId="2" fillId="13" borderId="1" xfId="0" applyNumberFormat="1" applyFont="1" applyFill="1" applyBorder="1" applyAlignment="1">
      <alignment vertical="center" wrapText="1"/>
    </xf>
    <xf numFmtId="0" fontId="6" fillId="13" borderId="0" xfId="0" applyFont="1" applyFill="1"/>
    <xf numFmtId="4" fontId="1" fillId="13" borderId="1" xfId="0" applyNumberFormat="1" applyFont="1" applyFill="1" applyBorder="1" applyAlignment="1">
      <alignment vertical="center" wrapText="1"/>
    </xf>
    <xf numFmtId="9" fontId="1" fillId="13" borderId="1" xfId="0" applyNumberFormat="1" applyFont="1" applyFill="1" applyBorder="1" applyAlignment="1">
      <alignment vertical="center" wrapText="1"/>
    </xf>
    <xf numFmtId="0" fontId="0" fillId="13" borderId="0" xfId="0" applyFill="1"/>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14" fillId="2" borderId="18" xfId="0" applyFont="1" applyFill="1" applyBorder="1" applyAlignment="1">
      <alignment horizontal="center" vertical="center" wrapText="1"/>
    </xf>
    <xf numFmtId="0" fontId="14" fillId="3" borderId="10" xfId="0" applyFont="1" applyFill="1" applyBorder="1" applyAlignment="1">
      <alignment horizontal="center" vertical="center" wrapText="1"/>
    </xf>
    <xf numFmtId="165" fontId="15" fillId="14" borderId="10" xfId="0" applyNumberFormat="1" applyFont="1" applyFill="1" applyBorder="1" applyAlignment="1">
      <alignment horizontal="right" vertical="center" wrapText="1"/>
    </xf>
    <xf numFmtId="165" fontId="15" fillId="4" borderId="10" xfId="0" applyNumberFormat="1" applyFont="1" applyFill="1" applyBorder="1" applyAlignment="1">
      <alignment horizontal="right" vertical="center" wrapText="1"/>
    </xf>
    <xf numFmtId="165" fontId="15" fillId="0" borderId="10" xfId="0" applyNumberFormat="1" applyFont="1" applyBorder="1" applyAlignment="1">
      <alignment horizontal="right" vertical="center" wrapText="1"/>
    </xf>
    <xf numFmtId="166" fontId="5" fillId="4" borderId="10" xfId="0" applyNumberFormat="1" applyFont="1" applyFill="1" applyBorder="1" applyAlignment="1">
      <alignment horizontal="right" vertical="center" wrapText="1"/>
    </xf>
    <xf numFmtId="0" fontId="1" fillId="5" borderId="5" xfId="0" applyFont="1" applyFill="1" applyBorder="1" applyAlignment="1">
      <alignment vertical="center" wrapText="1"/>
    </xf>
    <xf numFmtId="9" fontId="2" fillId="5" borderId="5" xfId="2" applyFont="1" applyFill="1" applyBorder="1" applyAlignment="1">
      <alignment vertical="center" wrapText="1"/>
    </xf>
    <xf numFmtId="9" fontId="1" fillId="5" borderId="5" xfId="2" applyFont="1" applyFill="1" applyBorder="1" applyAlignment="1">
      <alignment vertical="center" wrapText="1"/>
    </xf>
    <xf numFmtId="4" fontId="2" fillId="0" borderId="5" xfId="0" applyNumberFormat="1" applyFont="1" applyFill="1" applyBorder="1" applyAlignment="1">
      <alignment vertical="center" wrapText="1"/>
    </xf>
    <xf numFmtId="0" fontId="1" fillId="9" borderId="2" xfId="0" applyFont="1" applyFill="1" applyBorder="1" applyAlignment="1">
      <alignment vertical="center" wrapText="1"/>
    </xf>
    <xf numFmtId="4" fontId="2" fillId="9" borderId="2" xfId="0" applyNumberFormat="1" applyFont="1" applyFill="1" applyBorder="1" applyAlignment="1">
      <alignment vertical="center" wrapText="1"/>
    </xf>
    <xf numFmtId="4" fontId="1" fillId="9" borderId="2" xfId="0" applyNumberFormat="1" applyFont="1" applyFill="1" applyBorder="1" applyAlignment="1">
      <alignment vertical="center" wrapText="1"/>
    </xf>
    <xf numFmtId="4" fontId="2" fillId="0" borderId="2" xfId="0" applyNumberFormat="1" applyFont="1" applyFill="1" applyBorder="1" applyAlignment="1">
      <alignment vertical="center" wrapText="1"/>
    </xf>
    <xf numFmtId="4" fontId="12" fillId="9" borderId="2" xfId="0" applyNumberFormat="1" applyFont="1" applyFill="1" applyBorder="1" applyAlignment="1">
      <alignment vertical="center" wrapText="1"/>
    </xf>
    <xf numFmtId="164" fontId="2" fillId="9" borderId="2" xfId="0" applyNumberFormat="1" applyFont="1" applyFill="1" applyBorder="1" applyAlignment="1">
      <alignment vertical="center" wrapText="1"/>
    </xf>
    <xf numFmtId="164" fontId="1" fillId="9" borderId="2" xfId="0" applyNumberFormat="1" applyFont="1" applyFill="1" applyBorder="1" applyAlignment="1">
      <alignment vertical="center"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applyBorder="1"/>
    <xf numFmtId="0" fontId="0" fillId="0" borderId="17" xfId="0" applyBorder="1"/>
    <xf numFmtId="4" fontId="0" fillId="0" borderId="0" xfId="0" applyNumberFormat="1" applyBorder="1"/>
    <xf numFmtId="0" fontId="6" fillId="10" borderId="5" xfId="0" applyFont="1" applyFill="1" applyBorder="1" applyAlignment="1">
      <alignment horizontal="center"/>
    </xf>
    <xf numFmtId="0" fontId="6" fillId="10" borderId="6" xfId="0" applyFont="1" applyFill="1" applyBorder="1" applyAlignment="1">
      <alignment horizontal="center"/>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 fillId="11"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4">
    <cellStyle name="Comma" xfId="3" builtinId="3"/>
    <cellStyle name="Comma 2" xfId="1" xr:uid="{00000000-0005-0000-0000-000001000000}"/>
    <cellStyle name="Normal" xfId="0" builtinId="0"/>
    <cellStyle name="Percent" xfId="2"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uwasegun.adetunde/Documents/NCE%20PBF/PBF_Nigeria_NCE_Budget_Revision(1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 - PBF Format"/>
      <sheetName val="original PBF budget"/>
      <sheetName val="Sheet1"/>
    </sheetNames>
    <sheetDataSet>
      <sheetData sheetId="0" refreshError="1"/>
      <sheetData sheetId="1" refreshError="1"/>
      <sheetData sheetId="2">
        <row r="10">
          <cell r="C10">
            <v>30000</v>
          </cell>
        </row>
        <row r="11">
          <cell r="C11">
            <v>15000</v>
          </cell>
          <cell r="D11">
            <v>10000</v>
          </cell>
        </row>
        <row r="12">
          <cell r="C12">
            <v>10000</v>
          </cell>
        </row>
        <row r="14">
          <cell r="C14">
            <v>12960</v>
          </cell>
          <cell r="D14">
            <v>12960</v>
          </cell>
        </row>
        <row r="15">
          <cell r="D15">
            <v>30000</v>
          </cell>
        </row>
        <row r="16">
          <cell r="C16">
            <v>120000</v>
          </cell>
        </row>
        <row r="17">
          <cell r="C17">
            <v>30000</v>
          </cell>
          <cell r="D17">
            <v>10000</v>
          </cell>
        </row>
        <row r="19">
          <cell r="C19">
            <v>75000</v>
          </cell>
          <cell r="D19">
            <v>10000</v>
          </cell>
        </row>
        <row r="20">
          <cell r="C20">
            <v>75000</v>
          </cell>
          <cell r="D20">
            <v>12000</v>
          </cell>
        </row>
        <row r="21">
          <cell r="C21">
            <v>15000</v>
          </cell>
          <cell r="D21">
            <v>5000</v>
          </cell>
        </row>
        <row r="23">
          <cell r="C23">
            <v>120000</v>
          </cell>
        </row>
        <row r="24">
          <cell r="C24">
            <v>30000</v>
          </cell>
          <cell r="D24">
            <v>10000</v>
          </cell>
        </row>
        <row r="25">
          <cell r="C25">
            <v>15000</v>
          </cell>
          <cell r="D25">
            <v>5000</v>
          </cell>
        </row>
        <row r="30">
          <cell r="E30">
            <v>145000</v>
          </cell>
        </row>
        <row r="31">
          <cell r="E31">
            <v>372355</v>
          </cell>
        </row>
        <row r="32">
          <cell r="E32">
            <v>13000</v>
          </cell>
        </row>
        <row r="33">
          <cell r="E33">
            <v>15000</v>
          </cell>
        </row>
        <row r="35">
          <cell r="C35">
            <v>50000</v>
          </cell>
        </row>
        <row r="36">
          <cell r="C36">
            <v>60000</v>
          </cell>
        </row>
        <row r="37">
          <cell r="C37">
            <v>35000</v>
          </cell>
        </row>
        <row r="38">
          <cell r="C38">
            <v>36000</v>
          </cell>
        </row>
        <row r="39">
          <cell r="C39">
            <v>30000</v>
          </cell>
        </row>
        <row r="40">
          <cell r="C40">
            <v>40000</v>
          </cell>
        </row>
        <row r="41">
          <cell r="C41">
            <v>60000</v>
          </cell>
        </row>
        <row r="46">
          <cell r="F46">
            <v>250000</v>
          </cell>
        </row>
        <row r="47">
          <cell r="F47">
            <v>12960</v>
          </cell>
        </row>
        <row r="48">
          <cell r="D48">
            <v>30000</v>
          </cell>
        </row>
        <row r="50">
          <cell r="F50">
            <v>15000</v>
          </cell>
        </row>
        <row r="51">
          <cell r="F51">
            <v>5000</v>
          </cell>
        </row>
        <row r="52">
          <cell r="C52">
            <v>14514.02</v>
          </cell>
        </row>
        <row r="57">
          <cell r="C57">
            <v>10000</v>
          </cell>
        </row>
        <row r="58">
          <cell r="C58">
            <v>15000</v>
          </cell>
        </row>
        <row r="59">
          <cell r="C59">
            <v>60000</v>
          </cell>
        </row>
        <row r="61">
          <cell r="C61">
            <v>5000</v>
          </cell>
        </row>
        <row r="62">
          <cell r="C62">
            <v>3000</v>
          </cell>
        </row>
        <row r="63">
          <cell r="C63">
            <v>1000</v>
          </cell>
        </row>
        <row r="66">
          <cell r="C66">
            <v>426388.05</v>
          </cell>
          <cell r="D66">
            <v>160395</v>
          </cell>
          <cell r="E66">
            <v>96506.25</v>
          </cell>
          <cell r="F66">
            <v>0</v>
          </cell>
        </row>
        <row r="81">
          <cell r="C81">
            <v>80000</v>
          </cell>
        </row>
        <row r="82">
          <cell r="C82">
            <v>8000</v>
          </cell>
          <cell r="D82">
            <v>2000</v>
          </cell>
          <cell r="E82">
            <v>3000</v>
          </cell>
        </row>
        <row r="83">
          <cell r="C83">
            <v>600</v>
          </cell>
        </row>
        <row r="84">
          <cell r="C84">
            <v>1000</v>
          </cell>
        </row>
        <row r="85">
          <cell r="C85">
            <v>4500</v>
          </cell>
        </row>
        <row r="86">
          <cell r="C86">
            <v>10000</v>
          </cell>
        </row>
        <row r="87">
          <cell r="C87">
            <v>7200</v>
          </cell>
        </row>
        <row r="88">
          <cell r="C88">
            <v>9000</v>
          </cell>
        </row>
        <row r="89">
          <cell r="C89">
            <v>9000</v>
          </cell>
          <cell r="D89">
            <v>2700</v>
          </cell>
          <cell r="E89">
            <v>2700</v>
          </cell>
        </row>
        <row r="90">
          <cell r="C90">
            <v>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96"/>
  <sheetViews>
    <sheetView tabSelected="1" view="pageBreakPreview" topLeftCell="G1" zoomScaleNormal="100" zoomScaleSheetLayoutView="100" workbookViewId="0">
      <pane ySplit="1" topLeftCell="A85" activePane="bottomLeft" state="frozen"/>
      <selection pane="bottomLeft" activeCell="M91" sqref="M91"/>
    </sheetView>
  </sheetViews>
  <sheetFormatPr defaultColWidth="9.140625" defaultRowHeight="15" x14ac:dyDescent="0.25"/>
  <cols>
    <col min="1" max="1" width="21" style="15" customWidth="1"/>
    <col min="2" max="2" width="42.5703125" style="15" customWidth="1"/>
    <col min="3" max="4" width="15.5703125" style="15" customWidth="1"/>
    <col min="5" max="8" width="15.5703125" style="59" customWidth="1"/>
    <col min="9" max="10" width="16.85546875" style="15" customWidth="1"/>
    <col min="11" max="11" width="16.85546875" style="154" customWidth="1"/>
    <col min="12" max="13" width="16.85546875" style="155" customWidth="1"/>
    <col min="14" max="14" width="16.85546875" style="156" customWidth="1"/>
    <col min="15" max="20" width="16.85546875" style="15" customWidth="1"/>
    <col min="21" max="24" width="17.42578125" style="15" customWidth="1"/>
    <col min="25" max="25" width="12.42578125" style="15" customWidth="1"/>
    <col min="26" max="26" width="10.85546875" style="15" customWidth="1"/>
    <col min="27" max="30" width="17.140625" style="15" customWidth="1"/>
    <col min="31" max="31" width="17.140625" style="66" customWidth="1"/>
    <col min="32" max="32" width="15.42578125" style="15" customWidth="1"/>
    <col min="33" max="33" width="22.5703125" style="15" customWidth="1"/>
    <col min="34" max="36" width="28.5703125" style="15" customWidth="1"/>
    <col min="37" max="37" width="34.140625" style="15" customWidth="1"/>
    <col min="38" max="16384" width="9.140625" style="15"/>
  </cols>
  <sheetData>
    <row r="1" spans="1:32" ht="18.75" x14ac:dyDescent="0.3">
      <c r="A1" s="12"/>
      <c r="B1" s="12"/>
      <c r="K1" s="151"/>
      <c r="L1" s="152"/>
      <c r="M1" s="152"/>
      <c r="N1" s="153"/>
    </row>
    <row r="2" spans="1:32" ht="15.75" x14ac:dyDescent="0.25">
      <c r="A2" s="5"/>
      <c r="B2" s="5"/>
    </row>
    <row r="3" spans="1:32" ht="15.75" x14ac:dyDescent="0.25">
      <c r="A3" s="5"/>
      <c r="B3" s="5"/>
    </row>
    <row r="4" spans="1:32" ht="21" x14ac:dyDescent="0.35">
      <c r="A4" s="70" t="s">
        <v>219</v>
      </c>
      <c r="B4" s="70"/>
    </row>
    <row r="5" spans="1:32" ht="16.5" thickBot="1" x14ac:dyDescent="0.3">
      <c r="A5" s="5" t="s">
        <v>216</v>
      </c>
    </row>
    <row r="6" spans="1:32" ht="15.75" thickBot="1" x14ac:dyDescent="0.3">
      <c r="AA6" s="158" t="s">
        <v>215</v>
      </c>
      <c r="AB6" s="159"/>
      <c r="AC6" s="159"/>
      <c r="AD6" s="159"/>
      <c r="AE6" s="159"/>
    </row>
    <row r="7" spans="1:32" ht="117" customHeight="1" thickBot="1" x14ac:dyDescent="0.3">
      <c r="A7" s="1" t="s">
        <v>1</v>
      </c>
      <c r="B7" s="1" t="s">
        <v>2</v>
      </c>
      <c r="C7" s="91" t="s">
        <v>67</v>
      </c>
      <c r="D7" s="91" t="s">
        <v>208</v>
      </c>
      <c r="E7" s="69" t="s">
        <v>209</v>
      </c>
      <c r="F7" s="14" t="s">
        <v>204</v>
      </c>
      <c r="G7" s="14" t="s">
        <v>205</v>
      </c>
      <c r="H7" s="14" t="s">
        <v>206</v>
      </c>
      <c r="I7" s="92" t="s">
        <v>68</v>
      </c>
      <c r="J7" s="140" t="s">
        <v>217</v>
      </c>
      <c r="K7" s="69" t="s">
        <v>211</v>
      </c>
      <c r="L7" s="14" t="s">
        <v>204</v>
      </c>
      <c r="M7" s="14" t="s">
        <v>205</v>
      </c>
      <c r="N7" s="14" t="s">
        <v>206</v>
      </c>
      <c r="O7" s="144" t="s">
        <v>69</v>
      </c>
      <c r="P7" s="91" t="s">
        <v>208</v>
      </c>
      <c r="Q7" s="69" t="s">
        <v>212</v>
      </c>
      <c r="R7" s="14" t="s">
        <v>204</v>
      </c>
      <c r="S7" s="14" t="s">
        <v>205</v>
      </c>
      <c r="T7" s="14" t="s">
        <v>206</v>
      </c>
      <c r="U7" s="93" t="s">
        <v>90</v>
      </c>
      <c r="V7" s="91" t="s">
        <v>217</v>
      </c>
      <c r="W7" s="69" t="s">
        <v>213</v>
      </c>
      <c r="X7" s="14" t="s">
        <v>204</v>
      </c>
      <c r="Y7" s="14" t="s">
        <v>205</v>
      </c>
      <c r="Z7" s="14" t="s">
        <v>206</v>
      </c>
      <c r="AA7" s="94" t="s">
        <v>210</v>
      </c>
      <c r="AB7" s="1" t="s">
        <v>218</v>
      </c>
      <c r="AC7" s="14" t="s">
        <v>207</v>
      </c>
      <c r="AD7" s="14" t="s">
        <v>205</v>
      </c>
      <c r="AE7" s="95" t="s">
        <v>214</v>
      </c>
      <c r="AF7" s="1"/>
    </row>
    <row r="8" spans="1:32" ht="16.5" thickBot="1" x14ac:dyDescent="0.3">
      <c r="A8" s="161" t="s">
        <v>75</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s="10" customFormat="1" ht="48" thickBot="1" x14ac:dyDescent="0.3">
      <c r="A9" s="96" t="s">
        <v>3</v>
      </c>
      <c r="B9" s="96" t="s">
        <v>76</v>
      </c>
      <c r="C9" s="50">
        <f>SUM(C10:C12)</f>
        <v>55000</v>
      </c>
      <c r="D9" s="97">
        <v>0.7</v>
      </c>
      <c r="E9" s="29">
        <f>SUM(E10:E12)</f>
        <v>38500</v>
      </c>
      <c r="F9" s="29">
        <f>SUM(F10:F12)</f>
        <v>15603.69</v>
      </c>
      <c r="G9" s="29">
        <f>E9-F9</f>
        <v>22896.309999999998</v>
      </c>
      <c r="H9" s="79">
        <f>F9/E9</f>
        <v>0.40529064935064935</v>
      </c>
      <c r="I9" s="61">
        <f t="shared" ref="I9:U9" si="0">SUM(I10:I12)</f>
        <v>10000</v>
      </c>
      <c r="J9" s="141">
        <v>1</v>
      </c>
      <c r="K9" s="98">
        <f>SUM(K10:K12)</f>
        <v>10000</v>
      </c>
      <c r="L9" s="98">
        <f t="shared" ref="L9:M9" si="1">SUM(L10:L12)</f>
        <v>86.76</v>
      </c>
      <c r="M9" s="98">
        <f t="shared" si="1"/>
        <v>9913.24</v>
      </c>
      <c r="N9" s="99">
        <f>L9/K9</f>
        <v>8.6759999999999997E-3</v>
      </c>
      <c r="O9" s="145">
        <f t="shared" si="0"/>
        <v>0</v>
      </c>
      <c r="P9" s="97">
        <v>0.7</v>
      </c>
      <c r="Q9" s="98">
        <f>SUM(Q10:Q12)</f>
        <v>0</v>
      </c>
      <c r="R9" s="98"/>
      <c r="S9" s="98"/>
      <c r="T9" s="98"/>
      <c r="U9" s="64">
        <f t="shared" si="0"/>
        <v>0</v>
      </c>
      <c r="V9" s="97">
        <v>1</v>
      </c>
      <c r="W9" s="98">
        <f>SUM(W10:W12)</f>
        <v>0</v>
      </c>
      <c r="X9" s="98"/>
      <c r="Y9" s="98"/>
      <c r="Z9" s="98"/>
      <c r="AA9" s="90">
        <f t="shared" ref="AA9:AA26" si="2">C9+I9+O9+U9</f>
        <v>65000</v>
      </c>
      <c r="AB9" s="98">
        <f>E9+K9+Q9+W9</f>
        <v>48500</v>
      </c>
      <c r="AC9" s="98">
        <f>F9+L9+R9+X9</f>
        <v>15690.45</v>
      </c>
      <c r="AD9" s="98">
        <f>AB9-AC9</f>
        <v>32809.550000000003</v>
      </c>
      <c r="AE9" s="100">
        <f>AC9/AB9</f>
        <v>0.32351443298969074</v>
      </c>
      <c r="AF9" s="96"/>
    </row>
    <row r="10" spans="1:32" ht="79.5" thickBot="1" x14ac:dyDescent="0.3">
      <c r="A10" s="14" t="s">
        <v>4</v>
      </c>
      <c r="B10" s="14" t="s">
        <v>156</v>
      </c>
      <c r="C10" s="49">
        <v>30000</v>
      </c>
      <c r="D10" s="101">
        <v>0.7</v>
      </c>
      <c r="E10" s="20">
        <f>C10*D10</f>
        <v>21000</v>
      </c>
      <c r="F10" s="102">
        <v>2311.34</v>
      </c>
      <c r="G10" s="20">
        <f t="shared" ref="G10:G11" si="3">E10-F10</f>
        <v>18688.66</v>
      </c>
      <c r="H10" s="82">
        <f t="shared" ref="H10:H11" si="4">F10/E10</f>
        <v>0.11006380952380954</v>
      </c>
      <c r="I10" s="60"/>
      <c r="J10" s="142">
        <v>1</v>
      </c>
      <c r="K10" s="102">
        <f>I10*J10</f>
        <v>0</v>
      </c>
      <c r="L10" s="102"/>
      <c r="M10" s="102"/>
      <c r="N10" s="20"/>
      <c r="O10" s="146"/>
      <c r="P10" s="101">
        <v>0.7</v>
      </c>
      <c r="Q10" s="102">
        <f>O10*P10</f>
        <v>0</v>
      </c>
      <c r="R10" s="102"/>
      <c r="S10" s="102"/>
      <c r="T10" s="20"/>
      <c r="U10" s="63"/>
      <c r="V10" s="101">
        <v>1</v>
      </c>
      <c r="W10" s="102">
        <f>U10*V10</f>
        <v>0</v>
      </c>
      <c r="X10" s="102"/>
      <c r="Y10" s="102"/>
      <c r="Z10" s="20"/>
      <c r="AA10" s="103">
        <f t="shared" si="2"/>
        <v>30000</v>
      </c>
      <c r="AB10" s="102">
        <f t="shared" ref="AB10:AB26" si="5">E10+K10+Q10+W10</f>
        <v>21000</v>
      </c>
      <c r="AC10" s="102">
        <f t="shared" ref="AC10:AC26" si="6">F10+L10+R10+X10</f>
        <v>2311.34</v>
      </c>
      <c r="AD10" s="102">
        <f t="shared" ref="AD10:AD26" si="7">AB10-AC10</f>
        <v>18688.66</v>
      </c>
      <c r="AE10" s="104">
        <f t="shared" ref="AE10:AE26" si="8">AC10/AB10</f>
        <v>0.11006380952380954</v>
      </c>
      <c r="AF10" s="14"/>
    </row>
    <row r="11" spans="1:32" ht="48" thickBot="1" x14ac:dyDescent="0.3">
      <c r="A11" s="14" t="s">
        <v>5</v>
      </c>
      <c r="B11" s="14" t="s">
        <v>157</v>
      </c>
      <c r="C11" s="49">
        <v>15000</v>
      </c>
      <c r="D11" s="101">
        <v>0.7</v>
      </c>
      <c r="E11" s="20">
        <f t="shared" ref="E11:E25" si="9">C11*D11</f>
        <v>10500</v>
      </c>
      <c r="F11" s="102">
        <v>13292.35</v>
      </c>
      <c r="G11" s="20">
        <f t="shared" si="3"/>
        <v>-2792.3500000000004</v>
      </c>
      <c r="H11" s="82">
        <f t="shared" si="4"/>
        <v>1.2659380952380952</v>
      </c>
      <c r="I11" s="60">
        <v>10000</v>
      </c>
      <c r="J11" s="142">
        <v>1</v>
      </c>
      <c r="K11" s="102">
        <f>I11*J11</f>
        <v>10000</v>
      </c>
      <c r="L11" s="102">
        <v>86.76</v>
      </c>
      <c r="M11" s="102">
        <f>K11-L11</f>
        <v>9913.24</v>
      </c>
      <c r="N11" s="82">
        <f>L11/K11</f>
        <v>8.6759999999999997E-3</v>
      </c>
      <c r="O11" s="146"/>
      <c r="P11" s="101">
        <v>0.7</v>
      </c>
      <c r="Q11" s="102">
        <f>O11*P11</f>
        <v>0</v>
      </c>
      <c r="R11" s="102"/>
      <c r="S11" s="102"/>
      <c r="T11" s="20"/>
      <c r="U11" s="63"/>
      <c r="V11" s="101">
        <v>1</v>
      </c>
      <c r="W11" s="102">
        <f>U11*V11</f>
        <v>0</v>
      </c>
      <c r="X11" s="102"/>
      <c r="Y11" s="102"/>
      <c r="Z11" s="20"/>
      <c r="AA11" s="103">
        <f t="shared" si="2"/>
        <v>25000</v>
      </c>
      <c r="AB11" s="102">
        <f t="shared" si="5"/>
        <v>20500</v>
      </c>
      <c r="AC11" s="102">
        <f t="shared" si="6"/>
        <v>13379.11</v>
      </c>
      <c r="AD11" s="102">
        <f t="shared" si="7"/>
        <v>7120.8899999999994</v>
      </c>
      <c r="AE11" s="104">
        <f t="shared" si="8"/>
        <v>0.65263951219512195</v>
      </c>
      <c r="AF11" s="14"/>
    </row>
    <row r="12" spans="1:32" ht="32.25" thickBot="1" x14ac:dyDescent="0.3">
      <c r="A12" s="14" t="s">
        <v>6</v>
      </c>
      <c r="B12" s="14" t="s">
        <v>158</v>
      </c>
      <c r="C12" s="49">
        <v>10000</v>
      </c>
      <c r="D12" s="101">
        <v>0.7</v>
      </c>
      <c r="E12" s="20">
        <f t="shared" si="9"/>
        <v>7000</v>
      </c>
      <c r="F12" s="102">
        <v>0</v>
      </c>
      <c r="G12" s="20">
        <f>E12-F12</f>
        <v>7000</v>
      </c>
      <c r="H12" s="82">
        <f>F12/E12</f>
        <v>0</v>
      </c>
      <c r="I12" s="60"/>
      <c r="J12" s="142">
        <v>1</v>
      </c>
      <c r="K12" s="102">
        <f>I12*J12</f>
        <v>0</v>
      </c>
      <c r="L12" s="102"/>
      <c r="M12" s="102"/>
      <c r="N12" s="20"/>
      <c r="O12" s="146"/>
      <c r="P12" s="101">
        <v>0.7</v>
      </c>
      <c r="Q12" s="102">
        <f>O12*P12</f>
        <v>0</v>
      </c>
      <c r="R12" s="102"/>
      <c r="S12" s="102"/>
      <c r="T12" s="20"/>
      <c r="U12" s="63"/>
      <c r="V12" s="101">
        <v>1</v>
      </c>
      <c r="W12" s="102">
        <f>U12*V12</f>
        <v>0</v>
      </c>
      <c r="X12" s="102"/>
      <c r="Y12" s="102"/>
      <c r="Z12" s="20"/>
      <c r="AA12" s="103">
        <f t="shared" si="2"/>
        <v>10000</v>
      </c>
      <c r="AB12" s="102">
        <f t="shared" si="5"/>
        <v>7000</v>
      </c>
      <c r="AC12" s="102">
        <f t="shared" si="6"/>
        <v>0</v>
      </c>
      <c r="AD12" s="102">
        <f t="shared" si="7"/>
        <v>7000</v>
      </c>
      <c r="AE12" s="104">
        <f t="shared" si="8"/>
        <v>0</v>
      </c>
      <c r="AF12" s="14"/>
    </row>
    <row r="13" spans="1:32" s="10" customFormat="1" ht="63.75" thickBot="1" x14ac:dyDescent="0.3">
      <c r="A13" s="28" t="s">
        <v>7</v>
      </c>
      <c r="B13" s="28" t="s">
        <v>159</v>
      </c>
      <c r="C13" s="50">
        <f>SUM(C14:C17)</f>
        <v>162960</v>
      </c>
      <c r="D13" s="97">
        <v>0.7</v>
      </c>
      <c r="E13" s="29">
        <f>SUM(E14:E17)</f>
        <v>114072</v>
      </c>
      <c r="F13" s="29">
        <f>SUM(F14:F17)</f>
        <v>0</v>
      </c>
      <c r="G13" s="29">
        <f>E13-F13</f>
        <v>114072</v>
      </c>
      <c r="H13" s="79">
        <f>F13/E13</f>
        <v>0</v>
      </c>
      <c r="I13" s="61">
        <f>SUM(I14:I17)</f>
        <v>52960</v>
      </c>
      <c r="J13" s="141">
        <v>1</v>
      </c>
      <c r="K13" s="98">
        <f>SUM(K14:K17)</f>
        <v>52960</v>
      </c>
      <c r="L13" s="98">
        <f t="shared" ref="L13" si="10">SUM(L14:L17)</f>
        <v>47793.36</v>
      </c>
      <c r="M13" s="98">
        <f>SUM(M14:M17)</f>
        <v>5166.6399999999958</v>
      </c>
      <c r="N13" s="79">
        <f>L13/K13</f>
        <v>0.90244259818731121</v>
      </c>
      <c r="O13" s="145">
        <f t="shared" ref="O13:U13" si="11">SUM(O14:O17)</f>
        <v>0</v>
      </c>
      <c r="P13" s="97">
        <v>0.7</v>
      </c>
      <c r="Q13" s="98">
        <f>SUM(Q14:Q17)</f>
        <v>0</v>
      </c>
      <c r="R13" s="98"/>
      <c r="S13" s="98"/>
      <c r="T13" s="29"/>
      <c r="U13" s="64">
        <f t="shared" si="11"/>
        <v>0</v>
      </c>
      <c r="V13" s="97">
        <v>1</v>
      </c>
      <c r="W13" s="98">
        <f>SUM(W14:W17)</f>
        <v>0</v>
      </c>
      <c r="X13" s="98"/>
      <c r="Y13" s="98"/>
      <c r="Z13" s="29"/>
      <c r="AA13" s="90">
        <f t="shared" si="2"/>
        <v>215920</v>
      </c>
      <c r="AB13" s="98">
        <f t="shared" si="5"/>
        <v>167032</v>
      </c>
      <c r="AC13" s="98">
        <f t="shared" si="6"/>
        <v>47793.36</v>
      </c>
      <c r="AD13" s="98">
        <f t="shared" si="7"/>
        <v>119238.64</v>
      </c>
      <c r="AE13" s="100">
        <f t="shared" si="8"/>
        <v>0.28613295655922216</v>
      </c>
      <c r="AF13" s="28"/>
    </row>
    <row r="14" spans="1:32" ht="103.5" customHeight="1" thickBot="1" x14ac:dyDescent="0.3">
      <c r="A14" s="14" t="s">
        <v>8</v>
      </c>
      <c r="B14" s="14" t="s">
        <v>160</v>
      </c>
      <c r="C14" s="49">
        <f>SUM(12*20*18*3)</f>
        <v>12960</v>
      </c>
      <c r="D14" s="101">
        <v>0.7</v>
      </c>
      <c r="E14" s="20">
        <f t="shared" si="9"/>
        <v>9072</v>
      </c>
      <c r="F14" s="20">
        <v>0</v>
      </c>
      <c r="G14" s="20">
        <f>E14-F14</f>
        <v>9072</v>
      </c>
      <c r="H14" s="82">
        <f>F14/E14</f>
        <v>0</v>
      </c>
      <c r="I14" s="60">
        <f>SUM(12*20*18*3)</f>
        <v>12960</v>
      </c>
      <c r="J14" s="142">
        <v>1</v>
      </c>
      <c r="K14" s="102">
        <f>I14*J14</f>
        <v>12960</v>
      </c>
      <c r="L14" s="102">
        <v>45229.3</v>
      </c>
      <c r="M14" s="102">
        <f t="shared" ref="M14:M15" si="12">K14-L14</f>
        <v>-32269.300000000003</v>
      </c>
      <c r="N14" s="82">
        <f t="shared" ref="N14:N15" si="13">L14/K14</f>
        <v>3.4899151234567904</v>
      </c>
      <c r="O14" s="146"/>
      <c r="P14" s="101">
        <v>0.7</v>
      </c>
      <c r="Q14" s="102">
        <f>O14*P14</f>
        <v>0</v>
      </c>
      <c r="R14" s="102"/>
      <c r="S14" s="102"/>
      <c r="T14" s="20"/>
      <c r="U14" s="63"/>
      <c r="V14" s="101">
        <v>1</v>
      </c>
      <c r="W14" s="102">
        <f>U14*V14</f>
        <v>0</v>
      </c>
      <c r="X14" s="102"/>
      <c r="Y14" s="102"/>
      <c r="Z14" s="20"/>
      <c r="AA14" s="103">
        <f t="shared" si="2"/>
        <v>25920</v>
      </c>
      <c r="AB14" s="102">
        <f t="shared" si="5"/>
        <v>22032</v>
      </c>
      <c r="AC14" s="102">
        <f t="shared" si="6"/>
        <v>45229.3</v>
      </c>
      <c r="AD14" s="102">
        <f t="shared" si="7"/>
        <v>-23197.300000000003</v>
      </c>
      <c r="AE14" s="104">
        <f t="shared" si="8"/>
        <v>2.0528912490922298</v>
      </c>
      <c r="AF14" s="14"/>
    </row>
    <row r="15" spans="1:32" ht="48" thickBot="1" x14ac:dyDescent="0.3">
      <c r="A15" s="14" t="s">
        <v>9</v>
      </c>
      <c r="B15" s="14" t="s">
        <v>162</v>
      </c>
      <c r="C15" s="49"/>
      <c r="D15" s="101">
        <v>0.7</v>
      </c>
      <c r="E15" s="20"/>
      <c r="F15" s="20"/>
      <c r="G15" s="20"/>
      <c r="H15" s="82"/>
      <c r="I15" s="60">
        <f>0.6*50000</f>
        <v>30000</v>
      </c>
      <c r="J15" s="142">
        <v>1</v>
      </c>
      <c r="K15" s="102">
        <f>I15*J15</f>
        <v>30000</v>
      </c>
      <c r="L15" s="102">
        <v>2564.06</v>
      </c>
      <c r="M15" s="102">
        <f t="shared" si="12"/>
        <v>27435.94</v>
      </c>
      <c r="N15" s="82">
        <f t="shared" si="13"/>
        <v>8.5468666666666665E-2</v>
      </c>
      <c r="O15" s="146"/>
      <c r="P15" s="101">
        <v>0.7</v>
      </c>
      <c r="Q15" s="102">
        <f>O15*P15</f>
        <v>0</v>
      </c>
      <c r="R15" s="102"/>
      <c r="S15" s="102"/>
      <c r="T15" s="20"/>
      <c r="U15" s="63"/>
      <c r="V15" s="101">
        <v>1</v>
      </c>
      <c r="W15" s="102">
        <f>U15*V15</f>
        <v>0</v>
      </c>
      <c r="X15" s="102"/>
      <c r="Y15" s="102"/>
      <c r="Z15" s="20"/>
      <c r="AA15" s="103">
        <f t="shared" si="2"/>
        <v>30000</v>
      </c>
      <c r="AB15" s="102">
        <f t="shared" si="5"/>
        <v>30000</v>
      </c>
      <c r="AC15" s="102">
        <f t="shared" si="6"/>
        <v>2564.06</v>
      </c>
      <c r="AD15" s="102">
        <f t="shared" si="7"/>
        <v>27435.94</v>
      </c>
      <c r="AE15" s="104">
        <f t="shared" si="8"/>
        <v>8.5468666666666665E-2</v>
      </c>
      <c r="AF15" s="14"/>
    </row>
    <row r="16" spans="1:32" ht="63.75" thickBot="1" x14ac:dyDescent="0.3">
      <c r="A16" s="14" t="s">
        <v>10</v>
      </c>
      <c r="B16" s="14" t="s">
        <v>163</v>
      </c>
      <c r="C16" s="49">
        <v>120000</v>
      </c>
      <c r="D16" s="101">
        <v>0.7</v>
      </c>
      <c r="E16" s="20">
        <f t="shared" si="9"/>
        <v>84000</v>
      </c>
      <c r="F16" s="20">
        <v>0</v>
      </c>
      <c r="G16" s="20">
        <f t="shared" ref="G16:G17" si="14">E16-F16</f>
        <v>84000</v>
      </c>
      <c r="H16" s="82">
        <f t="shared" ref="H16:H17" si="15">F16/E16</f>
        <v>0</v>
      </c>
      <c r="I16" s="60"/>
      <c r="J16" s="142">
        <v>1</v>
      </c>
      <c r="K16" s="102">
        <f>I16*J16</f>
        <v>0</v>
      </c>
      <c r="L16" s="102"/>
      <c r="M16" s="102"/>
      <c r="N16" s="82"/>
      <c r="O16" s="146"/>
      <c r="P16" s="101">
        <v>0.7</v>
      </c>
      <c r="Q16" s="102">
        <f>O16*P16</f>
        <v>0</v>
      </c>
      <c r="R16" s="102"/>
      <c r="S16" s="102"/>
      <c r="T16" s="20"/>
      <c r="U16" s="63"/>
      <c r="V16" s="101">
        <v>1</v>
      </c>
      <c r="W16" s="102">
        <f>U16*V16</f>
        <v>0</v>
      </c>
      <c r="X16" s="102"/>
      <c r="Y16" s="102"/>
      <c r="Z16" s="20"/>
      <c r="AA16" s="103">
        <f t="shared" si="2"/>
        <v>120000</v>
      </c>
      <c r="AB16" s="102">
        <f t="shared" si="5"/>
        <v>84000</v>
      </c>
      <c r="AC16" s="102">
        <f t="shared" si="6"/>
        <v>0</v>
      </c>
      <c r="AD16" s="102">
        <f t="shared" si="7"/>
        <v>84000</v>
      </c>
      <c r="AE16" s="104">
        <f t="shared" si="8"/>
        <v>0</v>
      </c>
      <c r="AF16" s="14"/>
    </row>
    <row r="17" spans="1:32" ht="79.5" thickBot="1" x14ac:dyDescent="0.3">
      <c r="A17" s="14" t="s">
        <v>77</v>
      </c>
      <c r="B17" s="14" t="s">
        <v>164</v>
      </c>
      <c r="C17" s="49">
        <f>10000*3</f>
        <v>30000</v>
      </c>
      <c r="D17" s="101">
        <v>0.7</v>
      </c>
      <c r="E17" s="20">
        <f t="shared" si="9"/>
        <v>21000</v>
      </c>
      <c r="F17" s="20">
        <v>0</v>
      </c>
      <c r="G17" s="20">
        <f t="shared" si="14"/>
        <v>21000</v>
      </c>
      <c r="H17" s="82">
        <f t="shared" si="15"/>
        <v>0</v>
      </c>
      <c r="I17" s="60">
        <v>10000</v>
      </c>
      <c r="J17" s="142">
        <v>1</v>
      </c>
      <c r="K17" s="102">
        <f>I17*J17</f>
        <v>10000</v>
      </c>
      <c r="L17" s="102">
        <v>0</v>
      </c>
      <c r="M17" s="102">
        <f>K17-L17</f>
        <v>10000</v>
      </c>
      <c r="N17" s="82">
        <f>L17/K17</f>
        <v>0</v>
      </c>
      <c r="O17" s="146"/>
      <c r="P17" s="101">
        <v>0.7</v>
      </c>
      <c r="Q17" s="102">
        <f>O17*P17</f>
        <v>0</v>
      </c>
      <c r="R17" s="102"/>
      <c r="S17" s="102"/>
      <c r="T17" s="20"/>
      <c r="U17" s="63"/>
      <c r="V17" s="101">
        <v>1</v>
      </c>
      <c r="W17" s="102">
        <f>U17*V17</f>
        <v>0</v>
      </c>
      <c r="X17" s="102"/>
      <c r="Y17" s="102"/>
      <c r="Z17" s="20"/>
      <c r="AA17" s="103">
        <f t="shared" si="2"/>
        <v>40000</v>
      </c>
      <c r="AB17" s="102">
        <f t="shared" si="5"/>
        <v>31000</v>
      </c>
      <c r="AC17" s="102">
        <f t="shared" si="6"/>
        <v>0</v>
      </c>
      <c r="AD17" s="102">
        <f t="shared" si="7"/>
        <v>31000</v>
      </c>
      <c r="AE17" s="104">
        <f t="shared" si="8"/>
        <v>0</v>
      </c>
      <c r="AF17" s="14"/>
    </row>
    <row r="18" spans="1:32" s="10" customFormat="1" ht="32.25" thickBot="1" x14ac:dyDescent="0.3">
      <c r="A18" s="28" t="s">
        <v>11</v>
      </c>
      <c r="B18" s="28" t="s">
        <v>165</v>
      </c>
      <c r="C18" s="50">
        <f>SUM(C19:C21)</f>
        <v>165000</v>
      </c>
      <c r="D18" s="97">
        <v>0.7</v>
      </c>
      <c r="E18" s="29">
        <f>SUM(E19:E21)</f>
        <v>115500</v>
      </c>
      <c r="F18" s="29">
        <f>SUM(F19:F21)</f>
        <v>16816.78</v>
      </c>
      <c r="G18" s="29">
        <f>E18-F18</f>
        <v>98683.22</v>
      </c>
      <c r="H18" s="79">
        <f>F18/E18</f>
        <v>0.14559982683982683</v>
      </c>
      <c r="I18" s="61">
        <f>SUM(I19:I21)</f>
        <v>27000</v>
      </c>
      <c r="J18" s="141">
        <v>1</v>
      </c>
      <c r="K18" s="98">
        <f>SUM(K19:K21)</f>
        <v>27000</v>
      </c>
      <c r="L18" s="98">
        <f t="shared" ref="L18:M18" si="16">SUM(L19:L21)</f>
        <v>18205.650000000001</v>
      </c>
      <c r="M18" s="98">
        <f t="shared" si="16"/>
        <v>8794.3499999999985</v>
      </c>
      <c r="N18" s="79">
        <f>L18/K18</f>
        <v>0.67428333333333335</v>
      </c>
      <c r="O18" s="145">
        <f>SUM(O19:O21)</f>
        <v>0</v>
      </c>
      <c r="P18" s="97">
        <v>0.7</v>
      </c>
      <c r="Q18" s="98">
        <f>SUM(Q19:Q21)</f>
        <v>0</v>
      </c>
      <c r="R18" s="98"/>
      <c r="S18" s="98"/>
      <c r="T18" s="29"/>
      <c r="U18" s="64">
        <f>SUM(U19:U21)</f>
        <v>0</v>
      </c>
      <c r="V18" s="97">
        <v>1</v>
      </c>
      <c r="W18" s="98">
        <f>SUM(W19:W21)</f>
        <v>0</v>
      </c>
      <c r="X18" s="98"/>
      <c r="Y18" s="98"/>
      <c r="Z18" s="29"/>
      <c r="AA18" s="90">
        <f t="shared" si="2"/>
        <v>192000</v>
      </c>
      <c r="AB18" s="98">
        <f t="shared" si="5"/>
        <v>142500</v>
      </c>
      <c r="AC18" s="98">
        <f t="shared" si="6"/>
        <v>35022.43</v>
      </c>
      <c r="AD18" s="98">
        <f t="shared" si="7"/>
        <v>107477.57</v>
      </c>
      <c r="AE18" s="100">
        <f t="shared" si="8"/>
        <v>0.24577143859649123</v>
      </c>
      <c r="AF18" s="28"/>
    </row>
    <row r="19" spans="1:32" ht="123.75" customHeight="1" thickBot="1" x14ac:dyDescent="0.3">
      <c r="A19" s="14" t="s">
        <v>12</v>
      </c>
      <c r="B19" s="14" t="s">
        <v>166</v>
      </c>
      <c r="C19" s="49">
        <v>75000</v>
      </c>
      <c r="D19" s="101">
        <v>0.7</v>
      </c>
      <c r="E19" s="20">
        <f t="shared" si="9"/>
        <v>52500</v>
      </c>
      <c r="F19" s="102">
        <f>1168.17</f>
        <v>1168.17</v>
      </c>
      <c r="G19" s="20">
        <f>E19-F19</f>
        <v>51331.83</v>
      </c>
      <c r="H19" s="82">
        <f>F19/E19</f>
        <v>2.2250857142857145E-2</v>
      </c>
      <c r="I19" s="60">
        <v>10000</v>
      </c>
      <c r="J19" s="142">
        <v>1</v>
      </c>
      <c r="K19" s="102">
        <f>I19*J19</f>
        <v>10000</v>
      </c>
      <c r="L19" s="102">
        <v>0</v>
      </c>
      <c r="M19" s="102">
        <f>K19-L19</f>
        <v>10000</v>
      </c>
      <c r="N19" s="82">
        <f t="shared" ref="N19:N26" si="17">L19/K19</f>
        <v>0</v>
      </c>
      <c r="O19" s="146"/>
      <c r="P19" s="101">
        <v>0.7</v>
      </c>
      <c r="Q19" s="102">
        <f>O19*P19</f>
        <v>0</v>
      </c>
      <c r="R19" s="102"/>
      <c r="S19" s="102"/>
      <c r="T19" s="20"/>
      <c r="U19" s="63"/>
      <c r="V19" s="101">
        <v>1</v>
      </c>
      <c r="W19" s="102">
        <f>U19*V19</f>
        <v>0</v>
      </c>
      <c r="X19" s="102"/>
      <c r="Y19" s="102"/>
      <c r="Z19" s="20"/>
      <c r="AA19" s="103">
        <f t="shared" si="2"/>
        <v>85000</v>
      </c>
      <c r="AB19" s="102">
        <f t="shared" si="5"/>
        <v>62500</v>
      </c>
      <c r="AC19" s="102">
        <f t="shared" si="6"/>
        <v>1168.17</v>
      </c>
      <c r="AD19" s="102">
        <f t="shared" si="7"/>
        <v>61331.83</v>
      </c>
      <c r="AE19" s="104">
        <f t="shared" si="8"/>
        <v>1.8690720000000001E-2</v>
      </c>
      <c r="AF19" s="14"/>
    </row>
    <row r="20" spans="1:32" ht="32.25" thickBot="1" x14ac:dyDescent="0.3">
      <c r="A20" s="14" t="s">
        <v>13</v>
      </c>
      <c r="B20" s="14" t="s">
        <v>167</v>
      </c>
      <c r="C20" s="105">
        <v>75000</v>
      </c>
      <c r="D20" s="101">
        <v>0.7</v>
      </c>
      <c r="E20" s="20">
        <f t="shared" si="9"/>
        <v>52500</v>
      </c>
      <c r="F20" s="102">
        <v>12445.87</v>
      </c>
      <c r="G20" s="20">
        <f t="shared" ref="G20:G21" si="18">E20-F20</f>
        <v>40054.129999999997</v>
      </c>
      <c r="H20" s="82">
        <f t="shared" ref="H20:H21" si="19">F20/E20</f>
        <v>0.23706419047619048</v>
      </c>
      <c r="I20" s="60">
        <v>12000</v>
      </c>
      <c r="J20" s="142">
        <v>1</v>
      </c>
      <c r="K20" s="102">
        <f>I20*J20</f>
        <v>12000</v>
      </c>
      <c r="L20" s="102">
        <v>18205.650000000001</v>
      </c>
      <c r="M20" s="102">
        <f>K20-L20</f>
        <v>-6205.6500000000015</v>
      </c>
      <c r="N20" s="82">
        <f t="shared" si="17"/>
        <v>1.5171375</v>
      </c>
      <c r="O20" s="146"/>
      <c r="P20" s="101">
        <v>0.7</v>
      </c>
      <c r="Q20" s="102">
        <f>O20*P20</f>
        <v>0</v>
      </c>
      <c r="R20" s="102"/>
      <c r="S20" s="102"/>
      <c r="T20" s="20"/>
      <c r="U20" s="63"/>
      <c r="V20" s="101">
        <v>1</v>
      </c>
      <c r="W20" s="102">
        <f>U20*V20</f>
        <v>0</v>
      </c>
      <c r="X20" s="102"/>
      <c r="Y20" s="102"/>
      <c r="Z20" s="20"/>
      <c r="AA20" s="103">
        <f t="shared" si="2"/>
        <v>87000</v>
      </c>
      <c r="AB20" s="102">
        <f t="shared" si="5"/>
        <v>64500</v>
      </c>
      <c r="AC20" s="102">
        <f t="shared" si="6"/>
        <v>30651.520000000004</v>
      </c>
      <c r="AD20" s="102">
        <f t="shared" si="7"/>
        <v>33848.479999999996</v>
      </c>
      <c r="AE20" s="104">
        <f t="shared" si="8"/>
        <v>0.47521736434108536</v>
      </c>
      <c r="AF20" s="14"/>
    </row>
    <row r="21" spans="1:32" ht="63.75" thickBot="1" x14ac:dyDescent="0.3">
      <c r="A21" s="14" t="s">
        <v>14</v>
      </c>
      <c r="B21" s="14" t="s">
        <v>168</v>
      </c>
      <c r="C21" s="49">
        <v>15000</v>
      </c>
      <c r="D21" s="101">
        <v>0.7</v>
      </c>
      <c r="E21" s="20">
        <f t="shared" si="9"/>
        <v>10500</v>
      </c>
      <c r="F21" s="102">
        <v>3202.74</v>
      </c>
      <c r="G21" s="20">
        <f t="shared" si="18"/>
        <v>7297.26</v>
      </c>
      <c r="H21" s="82">
        <f t="shared" si="19"/>
        <v>0.3050228571428571</v>
      </c>
      <c r="I21" s="60">
        <v>5000</v>
      </c>
      <c r="J21" s="142">
        <v>1</v>
      </c>
      <c r="K21" s="102">
        <f>I21*J21</f>
        <v>5000</v>
      </c>
      <c r="L21" s="102">
        <v>0</v>
      </c>
      <c r="M21" s="102">
        <f>K21-L21</f>
        <v>5000</v>
      </c>
      <c r="N21" s="82">
        <f t="shared" si="17"/>
        <v>0</v>
      </c>
      <c r="O21" s="146"/>
      <c r="P21" s="101">
        <v>0.7</v>
      </c>
      <c r="Q21" s="102">
        <f>O21*P21</f>
        <v>0</v>
      </c>
      <c r="R21" s="102"/>
      <c r="S21" s="102"/>
      <c r="T21" s="20"/>
      <c r="U21" s="63"/>
      <c r="V21" s="101">
        <v>1</v>
      </c>
      <c r="W21" s="102">
        <f>U21*V21</f>
        <v>0</v>
      </c>
      <c r="X21" s="102"/>
      <c r="Y21" s="102"/>
      <c r="Z21" s="20"/>
      <c r="AA21" s="103">
        <f t="shared" si="2"/>
        <v>20000</v>
      </c>
      <c r="AB21" s="102">
        <f t="shared" si="5"/>
        <v>15500</v>
      </c>
      <c r="AC21" s="102">
        <f t="shared" si="6"/>
        <v>3202.74</v>
      </c>
      <c r="AD21" s="102">
        <f t="shared" si="7"/>
        <v>12297.26</v>
      </c>
      <c r="AE21" s="104">
        <f t="shared" si="8"/>
        <v>0.20662838709677417</v>
      </c>
      <c r="AF21" s="14"/>
    </row>
    <row r="22" spans="1:32" s="10" customFormat="1" ht="48" thickBot="1" x14ac:dyDescent="0.3">
      <c r="A22" s="28" t="s">
        <v>78</v>
      </c>
      <c r="B22" s="28" t="s">
        <v>169</v>
      </c>
      <c r="C22" s="50">
        <f>SUM(C23:C25)</f>
        <v>165000</v>
      </c>
      <c r="D22" s="97">
        <v>0.7</v>
      </c>
      <c r="E22" s="29">
        <f>SUM(E23:E25)</f>
        <v>115500</v>
      </c>
      <c r="F22" s="29">
        <f>SUM(F23:F25)</f>
        <v>77754.69</v>
      </c>
      <c r="G22" s="29">
        <f>E22-F22</f>
        <v>37745.31</v>
      </c>
      <c r="H22" s="79">
        <f>F22/E22</f>
        <v>0.67320077922077926</v>
      </c>
      <c r="I22" s="61">
        <f>SUM(I23:I25)</f>
        <v>15000</v>
      </c>
      <c r="J22" s="141">
        <v>1</v>
      </c>
      <c r="K22" s="98">
        <f>SUM(K23:K25)</f>
        <v>15000</v>
      </c>
      <c r="L22" s="98">
        <f t="shared" ref="L22:M22" si="20">SUM(L23:L25)</f>
        <v>0</v>
      </c>
      <c r="M22" s="98">
        <f t="shared" si="20"/>
        <v>15000</v>
      </c>
      <c r="N22" s="79">
        <f t="shared" si="17"/>
        <v>0</v>
      </c>
      <c r="O22" s="145">
        <f>SUM(O23:O25)</f>
        <v>0</v>
      </c>
      <c r="P22" s="97">
        <v>0.7</v>
      </c>
      <c r="Q22" s="98">
        <f>SUM(Q23:Q25)</f>
        <v>0</v>
      </c>
      <c r="R22" s="98"/>
      <c r="S22" s="98"/>
      <c r="T22" s="29"/>
      <c r="U22" s="64">
        <f>SUM(U23:U25)</f>
        <v>0</v>
      </c>
      <c r="V22" s="97">
        <v>1</v>
      </c>
      <c r="W22" s="98">
        <f>SUM(W23:W25)</f>
        <v>0</v>
      </c>
      <c r="X22" s="98"/>
      <c r="Y22" s="98"/>
      <c r="Z22" s="29"/>
      <c r="AA22" s="90">
        <f t="shared" si="2"/>
        <v>180000</v>
      </c>
      <c r="AB22" s="98">
        <f t="shared" si="5"/>
        <v>130500</v>
      </c>
      <c r="AC22" s="98">
        <f t="shared" si="6"/>
        <v>77754.69</v>
      </c>
      <c r="AD22" s="98">
        <f t="shared" si="7"/>
        <v>52745.31</v>
      </c>
      <c r="AE22" s="100">
        <f t="shared" si="8"/>
        <v>0.59582137931034485</v>
      </c>
      <c r="AF22" s="28"/>
    </row>
    <row r="23" spans="1:32" ht="111" thickBot="1" x14ac:dyDescent="0.3">
      <c r="A23" s="14" t="s">
        <v>79</v>
      </c>
      <c r="B23" s="14" t="s">
        <v>170</v>
      </c>
      <c r="C23" s="49">
        <v>120000</v>
      </c>
      <c r="D23" s="101">
        <v>0.7</v>
      </c>
      <c r="E23" s="20">
        <f t="shared" si="9"/>
        <v>84000</v>
      </c>
      <c r="F23" s="102">
        <v>77754.69</v>
      </c>
      <c r="G23" s="20">
        <f t="shared" ref="G23:G24" si="21">E23-F23</f>
        <v>6245.3099999999977</v>
      </c>
      <c r="H23" s="82">
        <f>F23/E23</f>
        <v>0.9256510714285715</v>
      </c>
      <c r="I23" s="60"/>
      <c r="J23" s="142">
        <v>1</v>
      </c>
      <c r="K23" s="102">
        <f>I23*J23</f>
        <v>0</v>
      </c>
      <c r="L23" s="102"/>
      <c r="M23" s="102"/>
      <c r="N23" s="79"/>
      <c r="O23" s="146"/>
      <c r="P23" s="101">
        <v>0.7</v>
      </c>
      <c r="Q23" s="102">
        <f>O23*P23</f>
        <v>0</v>
      </c>
      <c r="R23" s="102"/>
      <c r="S23" s="102"/>
      <c r="T23" s="20"/>
      <c r="U23" s="63"/>
      <c r="V23" s="101">
        <v>1</v>
      </c>
      <c r="W23" s="102">
        <f>U23*V23</f>
        <v>0</v>
      </c>
      <c r="X23" s="102"/>
      <c r="Y23" s="102"/>
      <c r="Z23" s="20"/>
      <c r="AA23" s="103">
        <f t="shared" si="2"/>
        <v>120000</v>
      </c>
      <c r="AB23" s="102">
        <f t="shared" si="5"/>
        <v>84000</v>
      </c>
      <c r="AC23" s="102">
        <f t="shared" si="6"/>
        <v>77754.69</v>
      </c>
      <c r="AD23" s="102">
        <f t="shared" si="7"/>
        <v>6245.3099999999977</v>
      </c>
      <c r="AE23" s="104">
        <f t="shared" si="8"/>
        <v>0.9256510714285715</v>
      </c>
      <c r="AF23" s="14"/>
    </row>
    <row r="24" spans="1:32" ht="135" customHeight="1" thickBot="1" x14ac:dyDescent="0.3">
      <c r="A24" s="14" t="s">
        <v>80</v>
      </c>
      <c r="B24" s="14" t="s">
        <v>171</v>
      </c>
      <c r="C24" s="49">
        <f>5000*3*2</f>
        <v>30000</v>
      </c>
      <c r="D24" s="101">
        <v>0.7</v>
      </c>
      <c r="E24" s="20">
        <f t="shared" si="9"/>
        <v>21000</v>
      </c>
      <c r="F24" s="102">
        <v>0</v>
      </c>
      <c r="G24" s="20">
        <f t="shared" si="21"/>
        <v>21000</v>
      </c>
      <c r="H24" s="82">
        <f t="shared" ref="H24:H25" si="22">F24/E24</f>
        <v>0</v>
      </c>
      <c r="I24" s="60">
        <v>10000</v>
      </c>
      <c r="J24" s="142">
        <v>1</v>
      </c>
      <c r="K24" s="102">
        <f>I24*J24</f>
        <v>10000</v>
      </c>
      <c r="L24" s="102">
        <v>0</v>
      </c>
      <c r="M24" s="102">
        <f>K24-L24</f>
        <v>10000</v>
      </c>
      <c r="N24" s="82">
        <f t="shared" si="17"/>
        <v>0</v>
      </c>
      <c r="O24" s="146"/>
      <c r="P24" s="101">
        <v>0.7</v>
      </c>
      <c r="Q24" s="102">
        <f>O24*P24</f>
        <v>0</v>
      </c>
      <c r="R24" s="102"/>
      <c r="S24" s="102"/>
      <c r="T24" s="20"/>
      <c r="U24" s="63"/>
      <c r="V24" s="101">
        <v>1</v>
      </c>
      <c r="W24" s="102">
        <f>U24*V24</f>
        <v>0</v>
      </c>
      <c r="X24" s="102"/>
      <c r="Y24" s="102"/>
      <c r="Z24" s="20"/>
      <c r="AA24" s="103">
        <f t="shared" si="2"/>
        <v>40000</v>
      </c>
      <c r="AB24" s="102">
        <f t="shared" si="5"/>
        <v>31000</v>
      </c>
      <c r="AC24" s="102">
        <f t="shared" si="6"/>
        <v>0</v>
      </c>
      <c r="AD24" s="102">
        <f t="shared" si="7"/>
        <v>31000</v>
      </c>
      <c r="AE24" s="104">
        <f t="shared" si="8"/>
        <v>0</v>
      </c>
      <c r="AF24" s="14"/>
    </row>
    <row r="25" spans="1:32" ht="96.75" customHeight="1" thickBot="1" x14ac:dyDescent="0.3">
      <c r="A25" s="14" t="s">
        <v>81</v>
      </c>
      <c r="B25" s="14" t="s">
        <v>82</v>
      </c>
      <c r="C25" s="49">
        <v>15000</v>
      </c>
      <c r="D25" s="101">
        <v>0.7</v>
      </c>
      <c r="E25" s="20">
        <f t="shared" si="9"/>
        <v>10500</v>
      </c>
      <c r="F25" s="102">
        <v>0</v>
      </c>
      <c r="G25" s="20">
        <f>E25-F25</f>
        <v>10500</v>
      </c>
      <c r="H25" s="82">
        <f t="shared" si="22"/>
        <v>0</v>
      </c>
      <c r="I25" s="60">
        <v>5000</v>
      </c>
      <c r="J25" s="142">
        <v>1</v>
      </c>
      <c r="K25" s="102">
        <f>I25*J25</f>
        <v>5000</v>
      </c>
      <c r="L25" s="102">
        <v>0</v>
      </c>
      <c r="M25" s="102">
        <f>K25-L25</f>
        <v>5000</v>
      </c>
      <c r="N25" s="82">
        <f t="shared" si="17"/>
        <v>0</v>
      </c>
      <c r="O25" s="146"/>
      <c r="P25" s="101">
        <v>0.7</v>
      </c>
      <c r="Q25" s="102">
        <f>O25*P25</f>
        <v>0</v>
      </c>
      <c r="R25" s="102"/>
      <c r="S25" s="102"/>
      <c r="T25" s="20"/>
      <c r="U25" s="63"/>
      <c r="V25" s="101">
        <v>1</v>
      </c>
      <c r="W25" s="102">
        <f>U25*V25</f>
        <v>0</v>
      </c>
      <c r="X25" s="102"/>
      <c r="Y25" s="102"/>
      <c r="Z25" s="20"/>
      <c r="AA25" s="103">
        <f t="shared" si="2"/>
        <v>20000</v>
      </c>
      <c r="AB25" s="102">
        <f t="shared" si="5"/>
        <v>15500</v>
      </c>
      <c r="AC25" s="102">
        <f t="shared" si="6"/>
        <v>0</v>
      </c>
      <c r="AD25" s="102">
        <f t="shared" si="7"/>
        <v>15500</v>
      </c>
      <c r="AE25" s="104">
        <f t="shared" si="8"/>
        <v>0</v>
      </c>
      <c r="AF25" s="14"/>
    </row>
    <row r="26" spans="1:32" s="10" customFormat="1" ht="16.5" thickBot="1" x14ac:dyDescent="0.3">
      <c r="A26" s="160" t="s">
        <v>15</v>
      </c>
      <c r="B26" s="160"/>
      <c r="C26" s="50">
        <f>SUM(C9+C13+C18+C22)</f>
        <v>547960</v>
      </c>
      <c r="D26" s="97">
        <v>0.7</v>
      </c>
      <c r="E26" s="29">
        <f>E9+E13+E18+E22</f>
        <v>383572</v>
      </c>
      <c r="F26" s="29">
        <f>F9+F13+F18+F22</f>
        <v>110175.16</v>
      </c>
      <c r="G26" s="29">
        <f>G9+G13+G18+G22</f>
        <v>273396.83999999997</v>
      </c>
      <c r="H26" s="79">
        <f>F26/E26</f>
        <v>0.2872346260936669</v>
      </c>
      <c r="I26" s="61">
        <f>SUM(I9+I13+I18+I22)</f>
        <v>104960</v>
      </c>
      <c r="J26" s="141">
        <v>1</v>
      </c>
      <c r="K26" s="29">
        <f>K9+K13+K18+K22</f>
        <v>104960</v>
      </c>
      <c r="L26" s="29">
        <f t="shared" ref="L26:M26" si="23">L9+L13+L18+L22</f>
        <v>66085.77</v>
      </c>
      <c r="M26" s="29">
        <f t="shared" si="23"/>
        <v>38874.229999999996</v>
      </c>
      <c r="N26" s="79">
        <f t="shared" si="17"/>
        <v>0.6296281440548781</v>
      </c>
      <c r="O26" s="145">
        <f t="shared" ref="O26:U26" si="24">SUM(O9+O13+O18+O22)</f>
        <v>0</v>
      </c>
      <c r="P26" s="97">
        <v>0.7</v>
      </c>
      <c r="Q26" s="29">
        <f>Q9+Q13+Q18+Q22</f>
        <v>0</v>
      </c>
      <c r="R26" s="29"/>
      <c r="S26" s="29"/>
      <c r="T26" s="29"/>
      <c r="U26" s="64">
        <f t="shared" si="24"/>
        <v>0</v>
      </c>
      <c r="V26" s="97">
        <v>1</v>
      </c>
      <c r="W26" s="29">
        <f>W9+W13+W18+W22</f>
        <v>0</v>
      </c>
      <c r="X26" s="29"/>
      <c r="Y26" s="29"/>
      <c r="Z26" s="29"/>
      <c r="AA26" s="90">
        <f t="shared" si="2"/>
        <v>652920</v>
      </c>
      <c r="AB26" s="98">
        <f t="shared" si="5"/>
        <v>488532</v>
      </c>
      <c r="AC26" s="98">
        <f t="shared" si="6"/>
        <v>176260.93</v>
      </c>
      <c r="AD26" s="98">
        <f t="shared" si="7"/>
        <v>312271.07</v>
      </c>
      <c r="AE26" s="100">
        <f t="shared" si="8"/>
        <v>0.36079710233925311</v>
      </c>
      <c r="AF26" s="28"/>
    </row>
    <row r="27" spans="1:32" ht="16.5" thickBot="1" x14ac:dyDescent="0.3">
      <c r="A27" s="28"/>
      <c r="B27" s="28"/>
      <c r="C27" s="28"/>
      <c r="D27" s="28"/>
      <c r="E27" s="28"/>
      <c r="F27" s="28"/>
      <c r="G27" s="28"/>
      <c r="H27" s="28"/>
      <c r="I27" s="28"/>
      <c r="J27" s="132"/>
      <c r="K27" s="131"/>
      <c r="L27" s="131"/>
      <c r="M27" s="131"/>
      <c r="N27" s="131"/>
      <c r="O27" s="133"/>
      <c r="P27" s="28"/>
      <c r="Q27" s="28"/>
      <c r="R27" s="28"/>
      <c r="S27" s="28"/>
      <c r="T27" s="28"/>
      <c r="U27" s="28"/>
      <c r="V27" s="28"/>
      <c r="W27" s="28"/>
      <c r="X27" s="28"/>
      <c r="Y27" s="28"/>
      <c r="Z27" s="28"/>
      <c r="AA27" s="28"/>
      <c r="AB27" s="28"/>
      <c r="AC27" s="28"/>
      <c r="AD27" s="28"/>
      <c r="AE27" s="106"/>
      <c r="AF27" s="28"/>
    </row>
    <row r="28" spans="1:32" ht="16.5" thickBot="1" x14ac:dyDescent="0.3">
      <c r="A28" s="162" t="s">
        <v>115</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row>
    <row r="29" spans="1:32" s="126" customFormat="1" ht="48" thickBot="1" x14ac:dyDescent="0.3">
      <c r="A29" s="130" t="s">
        <v>16</v>
      </c>
      <c r="B29" s="130" t="s">
        <v>197</v>
      </c>
      <c r="C29" s="50">
        <f>SUM(C30:C33)</f>
        <v>0</v>
      </c>
      <c r="D29" s="97">
        <v>0.7</v>
      </c>
      <c r="E29" s="29">
        <f>SUM(E30:E33)</f>
        <v>0</v>
      </c>
      <c r="F29" s="29"/>
      <c r="G29" s="29"/>
      <c r="H29" s="29"/>
      <c r="I29" s="61">
        <f t="shared" ref="I29:U29" si="25">SUM(I30:I33)</f>
        <v>0</v>
      </c>
      <c r="J29" s="142">
        <v>1</v>
      </c>
      <c r="K29" s="29">
        <f>SUM(K30:K33)</f>
        <v>0</v>
      </c>
      <c r="L29" s="29"/>
      <c r="M29" s="29"/>
      <c r="N29" s="29"/>
      <c r="O29" s="145">
        <f t="shared" si="25"/>
        <v>545355</v>
      </c>
      <c r="P29" s="97">
        <v>0.7</v>
      </c>
      <c r="Q29" s="124">
        <f>SUM(Q30:Q33)</f>
        <v>381748.5</v>
      </c>
      <c r="R29" s="124">
        <f t="shared" ref="R29:S29" si="26">SUM(R30:R33)</f>
        <v>112695</v>
      </c>
      <c r="S29" s="124">
        <f t="shared" si="26"/>
        <v>269053.5</v>
      </c>
      <c r="T29" s="125">
        <f>R29/Q29</f>
        <v>0.29520744678761018</v>
      </c>
      <c r="U29" s="64">
        <f t="shared" si="25"/>
        <v>0</v>
      </c>
      <c r="V29" s="97">
        <v>1</v>
      </c>
      <c r="W29" s="29">
        <f>SUM(W30:W33)</f>
        <v>0</v>
      </c>
      <c r="X29" s="29"/>
      <c r="Y29" s="29"/>
      <c r="Z29" s="29"/>
      <c r="AA29" s="90">
        <f t="shared" ref="AA29:AA42" si="27">C29+I29+O29+U29</f>
        <v>545355</v>
      </c>
      <c r="AB29" s="29">
        <f t="shared" ref="AB29:AC42" si="28">E29+K29+Q29+W29</f>
        <v>381748.5</v>
      </c>
      <c r="AC29" s="29">
        <f t="shared" si="28"/>
        <v>112695</v>
      </c>
      <c r="AD29" s="29">
        <f t="shared" ref="AD29:AD42" si="29">AB29-AC29</f>
        <v>269053.5</v>
      </c>
      <c r="AE29" s="106">
        <f>AC29/AB29</f>
        <v>0.29520744678761018</v>
      </c>
      <c r="AF29" s="130"/>
    </row>
    <row r="30" spans="1:32" s="129" customFormat="1" ht="96" customHeight="1" thickBot="1" x14ac:dyDescent="0.3">
      <c r="A30" s="14" t="s">
        <v>17</v>
      </c>
      <c r="B30" s="14" t="s">
        <v>172</v>
      </c>
      <c r="C30" s="49"/>
      <c r="D30" s="101">
        <v>0.7</v>
      </c>
      <c r="E30" s="20">
        <f t="shared" ref="E30:E41" si="30">C30*D30</f>
        <v>0</v>
      </c>
      <c r="F30" s="20"/>
      <c r="G30" s="20"/>
      <c r="H30" s="20"/>
      <c r="I30" s="60"/>
      <c r="J30" s="142">
        <v>1</v>
      </c>
      <c r="K30" s="20">
        <f>I30*J30</f>
        <v>0</v>
      </c>
      <c r="L30" s="20"/>
      <c r="M30" s="20"/>
      <c r="N30" s="20"/>
      <c r="O30" s="146">
        <v>145000</v>
      </c>
      <c r="P30" s="101">
        <v>0.7</v>
      </c>
      <c r="Q30" s="127">
        <f>O30*P30</f>
        <v>101500</v>
      </c>
      <c r="R30" s="127">
        <v>7000</v>
      </c>
      <c r="S30" s="127">
        <f>Q30-R30</f>
        <v>94500</v>
      </c>
      <c r="T30" s="128">
        <f>R30/Q30</f>
        <v>6.8965517241379309E-2</v>
      </c>
      <c r="U30" s="63"/>
      <c r="V30" s="101">
        <v>1</v>
      </c>
      <c r="W30" s="20">
        <f>U30*V30</f>
        <v>0</v>
      </c>
      <c r="X30" s="20"/>
      <c r="Y30" s="20"/>
      <c r="Z30" s="20"/>
      <c r="AA30" s="103">
        <f t="shared" si="27"/>
        <v>145000</v>
      </c>
      <c r="AB30" s="20">
        <f t="shared" si="28"/>
        <v>101500</v>
      </c>
      <c r="AC30" s="20">
        <f t="shared" si="28"/>
        <v>7000</v>
      </c>
      <c r="AD30" s="20">
        <f t="shared" si="29"/>
        <v>94500</v>
      </c>
      <c r="AE30" s="95">
        <f t="shared" ref="AE30:AE42" si="31">AC30/AB30</f>
        <v>6.8965517241379309E-2</v>
      </c>
      <c r="AF30" s="14"/>
    </row>
    <row r="31" spans="1:32" s="129" customFormat="1" ht="159.75" customHeight="1" thickBot="1" x14ac:dyDescent="0.3">
      <c r="A31" s="14" t="s">
        <v>18</v>
      </c>
      <c r="B31" s="14" t="s">
        <v>173</v>
      </c>
      <c r="C31" s="49"/>
      <c r="D31" s="101">
        <v>0.7</v>
      </c>
      <c r="E31" s="20">
        <f t="shared" si="30"/>
        <v>0</v>
      </c>
      <c r="F31" s="20"/>
      <c r="G31" s="20"/>
      <c r="H31" s="20"/>
      <c r="I31" s="60"/>
      <c r="J31" s="142">
        <v>1</v>
      </c>
      <c r="K31" s="20">
        <f>I31*J31</f>
        <v>0</v>
      </c>
      <c r="L31" s="20"/>
      <c r="M31" s="20"/>
      <c r="N31" s="20"/>
      <c r="O31" s="146">
        <v>372355</v>
      </c>
      <c r="P31" s="101">
        <v>0.7</v>
      </c>
      <c r="Q31" s="127">
        <f>O31*P31</f>
        <v>260648.49999999997</v>
      </c>
      <c r="R31" s="127">
        <v>86195</v>
      </c>
      <c r="S31" s="127">
        <f t="shared" ref="S31:S33" si="32">Q31-R31</f>
        <v>174453.49999999997</v>
      </c>
      <c r="T31" s="128">
        <f t="shared" ref="T31:T42" si="33">R31/Q31</f>
        <v>0.33069440261501604</v>
      </c>
      <c r="U31" s="63"/>
      <c r="V31" s="101">
        <v>1</v>
      </c>
      <c r="W31" s="20">
        <f>U31*V31</f>
        <v>0</v>
      </c>
      <c r="X31" s="20"/>
      <c r="Y31" s="20"/>
      <c r="Z31" s="20"/>
      <c r="AA31" s="103">
        <f t="shared" si="27"/>
        <v>372355</v>
      </c>
      <c r="AB31" s="20">
        <f t="shared" si="28"/>
        <v>260648.49999999997</v>
      </c>
      <c r="AC31" s="20">
        <f t="shared" si="28"/>
        <v>86195</v>
      </c>
      <c r="AD31" s="20">
        <f t="shared" si="29"/>
        <v>174453.49999999997</v>
      </c>
      <c r="AE31" s="95">
        <f t="shared" si="31"/>
        <v>0.33069440261501604</v>
      </c>
      <c r="AF31" s="14"/>
    </row>
    <row r="32" spans="1:32" s="129" customFormat="1" ht="140.25" customHeight="1" thickBot="1" x14ac:dyDescent="0.3">
      <c r="A32" s="14" t="s">
        <v>116</v>
      </c>
      <c r="B32" s="14" t="s">
        <v>174</v>
      </c>
      <c r="C32" s="49"/>
      <c r="D32" s="101">
        <v>0.7</v>
      </c>
      <c r="E32" s="20">
        <f t="shared" si="30"/>
        <v>0</v>
      </c>
      <c r="F32" s="20"/>
      <c r="G32" s="20"/>
      <c r="H32" s="20"/>
      <c r="I32" s="60"/>
      <c r="J32" s="142">
        <v>1</v>
      </c>
      <c r="K32" s="20">
        <f>I32*J32</f>
        <v>0</v>
      </c>
      <c r="L32" s="20"/>
      <c r="M32" s="20"/>
      <c r="N32" s="20"/>
      <c r="O32" s="146">
        <v>13000</v>
      </c>
      <c r="P32" s="101">
        <v>0.7</v>
      </c>
      <c r="Q32" s="127">
        <f>O32*P32</f>
        <v>9100</v>
      </c>
      <c r="R32" s="127">
        <v>9000</v>
      </c>
      <c r="S32" s="127">
        <f t="shared" si="32"/>
        <v>100</v>
      </c>
      <c r="T32" s="128">
        <f t="shared" si="33"/>
        <v>0.98901098901098905</v>
      </c>
      <c r="U32" s="63"/>
      <c r="V32" s="101">
        <v>1</v>
      </c>
      <c r="W32" s="20">
        <f>U32*V32</f>
        <v>0</v>
      </c>
      <c r="X32" s="20"/>
      <c r="Y32" s="20"/>
      <c r="Z32" s="20"/>
      <c r="AA32" s="103">
        <f t="shared" si="27"/>
        <v>13000</v>
      </c>
      <c r="AB32" s="20">
        <f t="shared" si="28"/>
        <v>9100</v>
      </c>
      <c r="AC32" s="20">
        <f t="shared" si="28"/>
        <v>9000</v>
      </c>
      <c r="AD32" s="20">
        <f t="shared" si="29"/>
        <v>100</v>
      </c>
      <c r="AE32" s="95">
        <f t="shared" si="31"/>
        <v>0.98901098901098905</v>
      </c>
      <c r="AF32" s="14"/>
    </row>
    <row r="33" spans="1:32" s="129" customFormat="1" ht="32.25" thickBot="1" x14ac:dyDescent="0.3">
      <c r="A33" s="14" t="s">
        <v>192</v>
      </c>
      <c r="B33" s="14" t="s">
        <v>198</v>
      </c>
      <c r="C33" s="49"/>
      <c r="D33" s="101">
        <v>0.7</v>
      </c>
      <c r="E33" s="20">
        <f t="shared" si="30"/>
        <v>0</v>
      </c>
      <c r="F33" s="20"/>
      <c r="G33" s="20"/>
      <c r="H33" s="20"/>
      <c r="I33" s="60"/>
      <c r="J33" s="142">
        <v>1</v>
      </c>
      <c r="K33" s="20">
        <f>I33*J33</f>
        <v>0</v>
      </c>
      <c r="L33" s="20"/>
      <c r="M33" s="20"/>
      <c r="N33" s="20"/>
      <c r="O33" s="146">
        <f>5000*3</f>
        <v>15000</v>
      </c>
      <c r="P33" s="101">
        <v>0.7</v>
      </c>
      <c r="Q33" s="127">
        <f>O33*P33</f>
        <v>10500</v>
      </c>
      <c r="R33" s="127">
        <v>10500</v>
      </c>
      <c r="S33" s="127">
        <f t="shared" si="32"/>
        <v>0</v>
      </c>
      <c r="T33" s="128">
        <f t="shared" si="33"/>
        <v>1</v>
      </c>
      <c r="U33" s="63"/>
      <c r="V33" s="101">
        <v>1</v>
      </c>
      <c r="W33" s="20">
        <f>U33*V33</f>
        <v>0</v>
      </c>
      <c r="X33" s="20"/>
      <c r="Y33" s="20"/>
      <c r="Z33" s="20"/>
      <c r="AA33" s="103">
        <f t="shared" si="27"/>
        <v>15000</v>
      </c>
      <c r="AB33" s="20">
        <f t="shared" si="28"/>
        <v>10500</v>
      </c>
      <c r="AC33" s="20">
        <f t="shared" si="28"/>
        <v>10500</v>
      </c>
      <c r="AD33" s="20">
        <f t="shared" si="29"/>
        <v>0</v>
      </c>
      <c r="AE33" s="95">
        <f t="shared" si="31"/>
        <v>1</v>
      </c>
      <c r="AF33" s="14"/>
    </row>
    <row r="34" spans="1:32" s="10" customFormat="1" ht="32.25" thickBot="1" x14ac:dyDescent="0.3">
      <c r="A34" s="28" t="s">
        <v>19</v>
      </c>
      <c r="B34" s="28" t="s">
        <v>117</v>
      </c>
      <c r="C34" s="50">
        <f>SUM(C35:C41)</f>
        <v>311000</v>
      </c>
      <c r="D34" s="97">
        <v>0.7</v>
      </c>
      <c r="E34" s="29">
        <f>SUM(E35:E41)</f>
        <v>217700</v>
      </c>
      <c r="F34" s="29">
        <f>SUM(F35:F41)</f>
        <v>4610.92</v>
      </c>
      <c r="G34" s="29">
        <f>E34-F34</f>
        <v>213089.08</v>
      </c>
      <c r="H34" s="79">
        <f>F34/E34</f>
        <v>2.1180156178226918E-2</v>
      </c>
      <c r="I34" s="61">
        <f t="shared" ref="I34:U34" si="34">SUM(I35:I41)</f>
        <v>0</v>
      </c>
      <c r="J34" s="141">
        <v>1</v>
      </c>
      <c r="K34" s="29">
        <f>SUM(K35:K41)</f>
        <v>0</v>
      </c>
      <c r="L34" s="29"/>
      <c r="M34" s="29"/>
      <c r="N34" s="29"/>
      <c r="O34" s="145">
        <f t="shared" si="34"/>
        <v>0</v>
      </c>
      <c r="P34" s="97">
        <v>0.7</v>
      </c>
      <c r="Q34" s="29">
        <f>SUM(Q35:Q41)</f>
        <v>0</v>
      </c>
      <c r="R34" s="29"/>
      <c r="S34" s="29"/>
      <c r="T34" s="82"/>
      <c r="U34" s="64">
        <f t="shared" si="34"/>
        <v>0</v>
      </c>
      <c r="V34" s="97">
        <v>1</v>
      </c>
      <c r="W34" s="29">
        <f>SUM(W35:W41)</f>
        <v>0</v>
      </c>
      <c r="X34" s="29"/>
      <c r="Y34" s="29"/>
      <c r="Z34" s="29"/>
      <c r="AA34" s="90">
        <f t="shared" si="27"/>
        <v>311000</v>
      </c>
      <c r="AB34" s="29">
        <f t="shared" si="28"/>
        <v>217700</v>
      </c>
      <c r="AC34" s="29">
        <f t="shared" si="28"/>
        <v>4610.92</v>
      </c>
      <c r="AD34" s="29">
        <f t="shared" si="29"/>
        <v>213089.08</v>
      </c>
      <c r="AE34" s="106">
        <f t="shared" si="31"/>
        <v>2.1180156178226918E-2</v>
      </c>
      <c r="AF34" s="28"/>
    </row>
    <row r="35" spans="1:32" ht="67.5" customHeight="1" thickBot="1" x14ac:dyDescent="0.3">
      <c r="A35" s="14" t="s">
        <v>20</v>
      </c>
      <c r="B35" s="14" t="s">
        <v>118</v>
      </c>
      <c r="C35" s="49">
        <v>50000</v>
      </c>
      <c r="D35" s="101">
        <v>0.7</v>
      </c>
      <c r="E35" s="20">
        <f t="shared" si="30"/>
        <v>35000</v>
      </c>
      <c r="F35" s="102">
        <v>4610.92</v>
      </c>
      <c r="G35" s="20">
        <f t="shared" ref="G35:G40" si="35">E35-F35</f>
        <v>30389.08</v>
      </c>
      <c r="H35" s="82">
        <f>F35/E35</f>
        <v>0.13174057142857143</v>
      </c>
      <c r="I35" s="60"/>
      <c r="J35" s="142">
        <v>1</v>
      </c>
      <c r="K35" s="20">
        <f t="shared" ref="K35:K41" si="36">I35*J35</f>
        <v>0</v>
      </c>
      <c r="L35" s="20"/>
      <c r="M35" s="20"/>
      <c r="N35" s="20"/>
      <c r="O35" s="146"/>
      <c r="P35" s="101">
        <v>0.7</v>
      </c>
      <c r="Q35" s="20">
        <f t="shared" ref="Q35:Q41" si="37">O35*P35</f>
        <v>0</v>
      </c>
      <c r="R35" s="20"/>
      <c r="S35" s="20"/>
      <c r="T35" s="82"/>
      <c r="U35" s="63"/>
      <c r="V35" s="101">
        <v>1</v>
      </c>
      <c r="W35" s="20">
        <f t="shared" ref="W35:W41" si="38">U35*V35</f>
        <v>0</v>
      </c>
      <c r="X35" s="20"/>
      <c r="Y35" s="20"/>
      <c r="Z35" s="20"/>
      <c r="AA35" s="103">
        <f t="shared" si="27"/>
        <v>50000</v>
      </c>
      <c r="AB35" s="20">
        <f t="shared" si="28"/>
        <v>35000</v>
      </c>
      <c r="AC35" s="20">
        <f t="shared" si="28"/>
        <v>4610.92</v>
      </c>
      <c r="AD35" s="20">
        <f t="shared" si="29"/>
        <v>30389.08</v>
      </c>
      <c r="AE35" s="95">
        <f t="shared" si="31"/>
        <v>0.13174057142857143</v>
      </c>
      <c r="AF35" s="14"/>
    </row>
    <row r="36" spans="1:32" ht="72" customHeight="1" thickBot="1" x14ac:dyDescent="0.3">
      <c r="A36" s="14" t="s">
        <v>21</v>
      </c>
      <c r="B36" s="14" t="s">
        <v>86</v>
      </c>
      <c r="C36" s="49">
        <v>60000</v>
      </c>
      <c r="D36" s="101">
        <v>0.7</v>
      </c>
      <c r="E36" s="20">
        <f t="shared" si="30"/>
        <v>42000</v>
      </c>
      <c r="F36" s="20">
        <v>0</v>
      </c>
      <c r="G36" s="20">
        <f t="shared" si="35"/>
        <v>42000</v>
      </c>
      <c r="H36" s="82">
        <f t="shared" ref="H36:H41" si="39">F36/E36</f>
        <v>0</v>
      </c>
      <c r="I36" s="60"/>
      <c r="J36" s="142">
        <v>1</v>
      </c>
      <c r="K36" s="20">
        <f t="shared" si="36"/>
        <v>0</v>
      </c>
      <c r="L36" s="20"/>
      <c r="M36" s="20"/>
      <c r="N36" s="20"/>
      <c r="O36" s="146"/>
      <c r="P36" s="101">
        <v>0.7</v>
      </c>
      <c r="Q36" s="20">
        <f t="shared" si="37"/>
        <v>0</v>
      </c>
      <c r="R36" s="20"/>
      <c r="S36" s="20"/>
      <c r="T36" s="82"/>
      <c r="U36" s="63"/>
      <c r="V36" s="101">
        <v>1</v>
      </c>
      <c r="W36" s="20">
        <f t="shared" si="38"/>
        <v>0</v>
      </c>
      <c r="X36" s="20"/>
      <c r="Y36" s="20"/>
      <c r="Z36" s="20"/>
      <c r="AA36" s="103">
        <f t="shared" si="27"/>
        <v>60000</v>
      </c>
      <c r="AB36" s="20">
        <f t="shared" si="28"/>
        <v>42000</v>
      </c>
      <c r="AC36" s="20">
        <f t="shared" si="28"/>
        <v>0</v>
      </c>
      <c r="AD36" s="20">
        <f t="shared" si="29"/>
        <v>42000</v>
      </c>
      <c r="AE36" s="95">
        <f t="shared" si="31"/>
        <v>0</v>
      </c>
      <c r="AF36" s="14"/>
    </row>
    <row r="37" spans="1:32" ht="75" customHeight="1" thickBot="1" x14ac:dyDescent="0.3">
      <c r="A37" s="14" t="s">
        <v>22</v>
      </c>
      <c r="B37" s="14" t="s">
        <v>83</v>
      </c>
      <c r="C37" s="49">
        <v>35000</v>
      </c>
      <c r="D37" s="101">
        <v>0.7</v>
      </c>
      <c r="E37" s="20">
        <f t="shared" si="30"/>
        <v>24500</v>
      </c>
      <c r="F37" s="20">
        <v>0</v>
      </c>
      <c r="G37" s="20">
        <f t="shared" si="35"/>
        <v>24500</v>
      </c>
      <c r="H37" s="82">
        <f t="shared" si="39"/>
        <v>0</v>
      </c>
      <c r="I37" s="60"/>
      <c r="J37" s="142">
        <v>1</v>
      </c>
      <c r="K37" s="20">
        <f t="shared" si="36"/>
        <v>0</v>
      </c>
      <c r="L37" s="20"/>
      <c r="M37" s="20"/>
      <c r="N37" s="20"/>
      <c r="O37" s="146"/>
      <c r="P37" s="101">
        <v>0.7</v>
      </c>
      <c r="Q37" s="20">
        <f t="shared" si="37"/>
        <v>0</v>
      </c>
      <c r="R37" s="20"/>
      <c r="S37" s="20"/>
      <c r="T37" s="82"/>
      <c r="U37" s="63"/>
      <c r="V37" s="101">
        <v>1</v>
      </c>
      <c r="W37" s="20">
        <f t="shared" si="38"/>
        <v>0</v>
      </c>
      <c r="X37" s="20"/>
      <c r="Y37" s="20"/>
      <c r="Z37" s="20"/>
      <c r="AA37" s="103">
        <f t="shared" si="27"/>
        <v>35000</v>
      </c>
      <c r="AB37" s="20">
        <f t="shared" si="28"/>
        <v>24500</v>
      </c>
      <c r="AC37" s="20">
        <f t="shared" si="28"/>
        <v>0</v>
      </c>
      <c r="AD37" s="20">
        <f t="shared" si="29"/>
        <v>24500</v>
      </c>
      <c r="AE37" s="95">
        <f t="shared" si="31"/>
        <v>0</v>
      </c>
      <c r="AF37" s="14"/>
    </row>
    <row r="38" spans="1:32" ht="77.25" customHeight="1" thickBot="1" x14ac:dyDescent="0.3">
      <c r="A38" s="14" t="s">
        <v>87</v>
      </c>
      <c r="B38" s="14" t="s">
        <v>84</v>
      </c>
      <c r="C38" s="49">
        <v>36000</v>
      </c>
      <c r="D38" s="101">
        <v>0.7</v>
      </c>
      <c r="E38" s="20">
        <f t="shared" si="30"/>
        <v>25200</v>
      </c>
      <c r="F38" s="20">
        <v>0</v>
      </c>
      <c r="G38" s="20">
        <f t="shared" si="35"/>
        <v>25200</v>
      </c>
      <c r="H38" s="82">
        <f t="shared" si="39"/>
        <v>0</v>
      </c>
      <c r="I38" s="60"/>
      <c r="J38" s="142">
        <v>1</v>
      </c>
      <c r="K38" s="20">
        <f t="shared" si="36"/>
        <v>0</v>
      </c>
      <c r="L38" s="20"/>
      <c r="M38" s="20"/>
      <c r="N38" s="20"/>
      <c r="O38" s="146"/>
      <c r="P38" s="101">
        <v>0.7</v>
      </c>
      <c r="Q38" s="20">
        <f t="shared" si="37"/>
        <v>0</v>
      </c>
      <c r="R38" s="20"/>
      <c r="S38" s="20"/>
      <c r="T38" s="82"/>
      <c r="U38" s="63"/>
      <c r="V38" s="101">
        <v>1</v>
      </c>
      <c r="W38" s="20">
        <f t="shared" si="38"/>
        <v>0</v>
      </c>
      <c r="X38" s="20"/>
      <c r="Y38" s="20"/>
      <c r="Z38" s="20"/>
      <c r="AA38" s="103">
        <f t="shared" si="27"/>
        <v>36000</v>
      </c>
      <c r="AB38" s="20">
        <f t="shared" si="28"/>
        <v>25200</v>
      </c>
      <c r="AC38" s="20">
        <f t="shared" si="28"/>
        <v>0</v>
      </c>
      <c r="AD38" s="20">
        <f t="shared" si="29"/>
        <v>25200</v>
      </c>
      <c r="AE38" s="95">
        <f t="shared" si="31"/>
        <v>0</v>
      </c>
      <c r="AF38" s="14"/>
    </row>
    <row r="39" spans="1:32" ht="63.75" thickBot="1" x14ac:dyDescent="0.3">
      <c r="A39" s="14" t="s">
        <v>193</v>
      </c>
      <c r="B39" s="14" t="s">
        <v>175</v>
      </c>
      <c r="C39" s="49">
        <f>10000*3</f>
        <v>30000</v>
      </c>
      <c r="D39" s="101">
        <v>0.7</v>
      </c>
      <c r="E39" s="20">
        <f t="shared" si="30"/>
        <v>21000</v>
      </c>
      <c r="F39" s="20">
        <v>0</v>
      </c>
      <c r="G39" s="20">
        <f t="shared" si="35"/>
        <v>21000</v>
      </c>
      <c r="H39" s="82">
        <f t="shared" si="39"/>
        <v>0</v>
      </c>
      <c r="I39" s="60"/>
      <c r="J39" s="142">
        <v>1</v>
      </c>
      <c r="K39" s="20">
        <f t="shared" si="36"/>
        <v>0</v>
      </c>
      <c r="L39" s="20"/>
      <c r="M39" s="20"/>
      <c r="N39" s="20"/>
      <c r="O39" s="146"/>
      <c r="P39" s="101">
        <v>0.7</v>
      </c>
      <c r="Q39" s="20">
        <f t="shared" si="37"/>
        <v>0</v>
      </c>
      <c r="R39" s="20"/>
      <c r="S39" s="20"/>
      <c r="T39" s="82"/>
      <c r="U39" s="63"/>
      <c r="V39" s="101">
        <v>1</v>
      </c>
      <c r="W39" s="20">
        <f t="shared" si="38"/>
        <v>0</v>
      </c>
      <c r="X39" s="20"/>
      <c r="Y39" s="20"/>
      <c r="Z39" s="20"/>
      <c r="AA39" s="103">
        <f t="shared" si="27"/>
        <v>30000</v>
      </c>
      <c r="AB39" s="20">
        <f t="shared" si="28"/>
        <v>21000</v>
      </c>
      <c r="AC39" s="20">
        <f t="shared" si="28"/>
        <v>0</v>
      </c>
      <c r="AD39" s="20">
        <f t="shared" si="29"/>
        <v>21000</v>
      </c>
      <c r="AE39" s="95">
        <f t="shared" si="31"/>
        <v>0</v>
      </c>
      <c r="AF39" s="14"/>
    </row>
    <row r="40" spans="1:32" ht="140.25" customHeight="1" thickBot="1" x14ac:dyDescent="0.3">
      <c r="A40" s="14" t="s">
        <v>116</v>
      </c>
      <c r="B40" s="14" t="s">
        <v>199</v>
      </c>
      <c r="C40" s="49">
        <v>40000</v>
      </c>
      <c r="D40" s="101">
        <v>0.7</v>
      </c>
      <c r="E40" s="20">
        <f t="shared" si="30"/>
        <v>28000</v>
      </c>
      <c r="F40" s="20">
        <v>0</v>
      </c>
      <c r="G40" s="20">
        <f t="shared" si="35"/>
        <v>28000</v>
      </c>
      <c r="H40" s="82">
        <f t="shared" si="39"/>
        <v>0</v>
      </c>
      <c r="I40" s="60"/>
      <c r="J40" s="142">
        <v>1</v>
      </c>
      <c r="K40" s="20">
        <f t="shared" si="36"/>
        <v>0</v>
      </c>
      <c r="L40" s="20"/>
      <c r="M40" s="20"/>
      <c r="N40" s="20"/>
      <c r="O40" s="146"/>
      <c r="P40" s="101">
        <v>0.7</v>
      </c>
      <c r="Q40" s="20">
        <f t="shared" si="37"/>
        <v>0</v>
      </c>
      <c r="R40" s="20"/>
      <c r="S40" s="20"/>
      <c r="T40" s="82"/>
      <c r="U40" s="63"/>
      <c r="V40" s="101">
        <v>1</v>
      </c>
      <c r="W40" s="20">
        <f t="shared" si="38"/>
        <v>0</v>
      </c>
      <c r="X40" s="20"/>
      <c r="Y40" s="20"/>
      <c r="Z40" s="20"/>
      <c r="AA40" s="103">
        <f t="shared" si="27"/>
        <v>40000</v>
      </c>
      <c r="AB40" s="20">
        <f t="shared" si="28"/>
        <v>28000</v>
      </c>
      <c r="AC40" s="20">
        <f t="shared" si="28"/>
        <v>0</v>
      </c>
      <c r="AD40" s="20">
        <f t="shared" si="29"/>
        <v>28000</v>
      </c>
      <c r="AE40" s="95">
        <f t="shared" si="31"/>
        <v>0</v>
      </c>
      <c r="AF40" s="14"/>
    </row>
    <row r="41" spans="1:32" ht="32.25" thickBot="1" x14ac:dyDescent="0.3">
      <c r="A41" s="14" t="s">
        <v>194</v>
      </c>
      <c r="B41" s="14" t="s">
        <v>200</v>
      </c>
      <c r="C41" s="49">
        <v>60000</v>
      </c>
      <c r="D41" s="101">
        <v>0.7</v>
      </c>
      <c r="E41" s="20">
        <f t="shared" si="30"/>
        <v>42000</v>
      </c>
      <c r="F41" s="20">
        <v>0</v>
      </c>
      <c r="G41" s="20">
        <f>E41-F41</f>
        <v>42000</v>
      </c>
      <c r="H41" s="82">
        <f t="shared" si="39"/>
        <v>0</v>
      </c>
      <c r="I41" s="60"/>
      <c r="J41" s="142">
        <v>1</v>
      </c>
      <c r="K41" s="20">
        <f t="shared" si="36"/>
        <v>0</v>
      </c>
      <c r="L41" s="20"/>
      <c r="M41" s="20"/>
      <c r="N41" s="20"/>
      <c r="O41" s="146"/>
      <c r="P41" s="101">
        <v>0.7</v>
      </c>
      <c r="Q41" s="20">
        <f t="shared" si="37"/>
        <v>0</v>
      </c>
      <c r="R41" s="20"/>
      <c r="S41" s="20"/>
      <c r="T41" s="82"/>
      <c r="U41" s="63"/>
      <c r="V41" s="101">
        <v>1</v>
      </c>
      <c r="W41" s="20">
        <f t="shared" si="38"/>
        <v>0</v>
      </c>
      <c r="X41" s="20"/>
      <c r="Y41" s="20"/>
      <c r="Z41" s="107"/>
      <c r="AA41" s="103">
        <f t="shared" si="27"/>
        <v>60000</v>
      </c>
      <c r="AB41" s="20">
        <f t="shared" si="28"/>
        <v>42000</v>
      </c>
      <c r="AC41" s="20">
        <f t="shared" si="28"/>
        <v>0</v>
      </c>
      <c r="AD41" s="20">
        <f t="shared" si="29"/>
        <v>42000</v>
      </c>
      <c r="AE41" s="95">
        <f t="shared" si="31"/>
        <v>0</v>
      </c>
      <c r="AF41" s="14"/>
    </row>
    <row r="42" spans="1:32" s="10" customFormat="1" ht="16.5" thickBot="1" x14ac:dyDescent="0.3">
      <c r="A42" s="160" t="s">
        <v>23</v>
      </c>
      <c r="B42" s="160"/>
      <c r="C42" s="50">
        <f t="shared" ref="C42:U42" si="40">SUM(C29+C34)</f>
        <v>311000</v>
      </c>
      <c r="D42" s="97">
        <v>0.7</v>
      </c>
      <c r="E42" s="29">
        <f>E34+E29</f>
        <v>217700</v>
      </c>
      <c r="F42" s="29">
        <f>F34+F29</f>
        <v>4610.92</v>
      </c>
      <c r="G42" s="29">
        <f>E42-F42</f>
        <v>213089.08</v>
      </c>
      <c r="H42" s="79">
        <f>F42/E42</f>
        <v>2.1180156178226918E-2</v>
      </c>
      <c r="I42" s="61">
        <f t="shared" si="40"/>
        <v>0</v>
      </c>
      <c r="J42" s="141">
        <v>1</v>
      </c>
      <c r="K42" s="29">
        <f>K34+K29</f>
        <v>0</v>
      </c>
      <c r="L42" s="29"/>
      <c r="M42" s="29"/>
      <c r="N42" s="29"/>
      <c r="O42" s="145">
        <f t="shared" si="40"/>
        <v>545355</v>
      </c>
      <c r="P42" s="97">
        <v>0.7</v>
      </c>
      <c r="Q42" s="29">
        <f>Q34+Q29</f>
        <v>381748.5</v>
      </c>
      <c r="R42" s="29">
        <f t="shared" ref="R42:S42" si="41">R34+R29</f>
        <v>112695</v>
      </c>
      <c r="S42" s="29">
        <f t="shared" si="41"/>
        <v>269053.5</v>
      </c>
      <c r="T42" s="79">
        <f t="shared" si="33"/>
        <v>0.29520744678761018</v>
      </c>
      <c r="U42" s="64">
        <f t="shared" si="40"/>
        <v>0</v>
      </c>
      <c r="V42" s="97">
        <v>1</v>
      </c>
      <c r="W42" s="29">
        <f>W34+W29</f>
        <v>0</v>
      </c>
      <c r="X42" s="29"/>
      <c r="Y42" s="29"/>
      <c r="Z42" s="29"/>
      <c r="AA42" s="90">
        <f t="shared" si="27"/>
        <v>856355</v>
      </c>
      <c r="AB42" s="29">
        <f t="shared" si="28"/>
        <v>599448.5</v>
      </c>
      <c r="AC42" s="29">
        <f t="shared" si="28"/>
        <v>117305.92</v>
      </c>
      <c r="AD42" s="29">
        <f t="shared" si="29"/>
        <v>482142.58</v>
      </c>
      <c r="AE42" s="106">
        <f t="shared" si="31"/>
        <v>0.19568973815098378</v>
      </c>
      <c r="AF42" s="28"/>
    </row>
    <row r="43" spans="1:32" ht="13.5" customHeight="1" thickBot="1" x14ac:dyDescent="0.3">
      <c r="A43" s="28"/>
      <c r="B43" s="28"/>
      <c r="C43" s="28"/>
      <c r="D43" s="28"/>
      <c r="E43" s="28"/>
      <c r="F43" s="28"/>
      <c r="G43" s="28"/>
      <c r="H43" s="28"/>
      <c r="I43" s="28"/>
      <c r="J43" s="132"/>
      <c r="K43" s="131"/>
      <c r="L43" s="131"/>
      <c r="M43" s="131"/>
      <c r="N43" s="131"/>
      <c r="O43" s="133"/>
      <c r="P43" s="28"/>
      <c r="Q43" s="28"/>
      <c r="R43" s="28"/>
      <c r="S43" s="28"/>
      <c r="T43" s="28"/>
      <c r="U43" s="28"/>
      <c r="V43" s="28"/>
      <c r="W43" s="28"/>
      <c r="X43" s="28"/>
      <c r="Y43" s="28"/>
      <c r="Z43" s="28"/>
      <c r="AA43" s="28"/>
      <c r="AB43" s="28"/>
      <c r="AC43" s="28"/>
      <c r="AD43" s="28"/>
      <c r="AE43" s="106"/>
      <c r="AF43" s="28"/>
    </row>
    <row r="44" spans="1:32" ht="33.75" customHeight="1" thickBot="1" x14ac:dyDescent="0.3">
      <c r="A44" s="162" t="s">
        <v>85</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4"/>
    </row>
    <row r="45" spans="1:32" s="10" customFormat="1" ht="48" thickBot="1" x14ac:dyDescent="0.3">
      <c r="A45" s="28" t="s">
        <v>24</v>
      </c>
      <c r="B45" s="28" t="s">
        <v>88</v>
      </c>
      <c r="C45" s="50">
        <f>SUM(C46:C48)</f>
        <v>0</v>
      </c>
      <c r="D45" s="97">
        <v>0.7</v>
      </c>
      <c r="E45" s="29">
        <f>SUM(E46:E48)</f>
        <v>0</v>
      </c>
      <c r="F45" s="29"/>
      <c r="G45" s="29"/>
      <c r="H45" s="29"/>
      <c r="I45" s="61">
        <f>SUM(I46:I48)</f>
        <v>30000</v>
      </c>
      <c r="J45" s="141">
        <v>1</v>
      </c>
      <c r="K45" s="29">
        <f>SUM(K46:K48)</f>
        <v>30000</v>
      </c>
      <c r="L45" s="29">
        <f t="shared" ref="L45:M45" si="42">SUM(L46:L48)</f>
        <v>7605.75</v>
      </c>
      <c r="M45" s="29">
        <f t="shared" si="42"/>
        <v>22394.25</v>
      </c>
      <c r="N45" s="79">
        <f>L45/K45</f>
        <v>0.253525</v>
      </c>
      <c r="O45" s="145">
        <f>SUM(O46:O48)</f>
        <v>0</v>
      </c>
      <c r="P45" s="97">
        <v>0.7</v>
      </c>
      <c r="Q45" s="29">
        <f>SUM(Q46:Q48)</f>
        <v>0</v>
      </c>
      <c r="R45" s="29"/>
      <c r="S45" s="29"/>
      <c r="T45" s="29"/>
      <c r="U45" s="64">
        <f>SUM(U46:U48)</f>
        <v>262960</v>
      </c>
      <c r="V45" s="97">
        <v>1</v>
      </c>
      <c r="W45" s="29">
        <f>SUM(W46:W48)</f>
        <v>262960</v>
      </c>
      <c r="X45" s="29">
        <f t="shared" ref="X45:Y45" si="43">SUM(X46:X48)</f>
        <v>63847.14</v>
      </c>
      <c r="Y45" s="29">
        <f t="shared" si="43"/>
        <v>199112.86</v>
      </c>
      <c r="Z45" s="79">
        <f>X45/W45</f>
        <v>0.24280171889260724</v>
      </c>
      <c r="AA45" s="90">
        <f t="shared" ref="AA45:AA53" si="44">C45+I45+O45+U45</f>
        <v>292960</v>
      </c>
      <c r="AB45" s="29">
        <f t="shared" ref="AB45:AC53" si="45">E45+K45+Q45+W45</f>
        <v>292960</v>
      </c>
      <c r="AC45" s="108">
        <f t="shared" si="45"/>
        <v>71452.89</v>
      </c>
      <c r="AD45" s="29">
        <f t="shared" ref="AD45:AD53" si="46">AB45-AC45</f>
        <v>221507.11</v>
      </c>
      <c r="AE45" s="106">
        <f>AC45/AB45</f>
        <v>0.24389981567449481</v>
      </c>
      <c r="AF45" s="28"/>
    </row>
    <row r="46" spans="1:32" ht="63.75" thickBot="1" x14ac:dyDescent="0.3">
      <c r="A46" s="14" t="s">
        <v>25</v>
      </c>
      <c r="B46" s="14" t="s">
        <v>119</v>
      </c>
      <c r="C46" s="49"/>
      <c r="D46" s="101">
        <v>0.7</v>
      </c>
      <c r="E46" s="20">
        <f t="shared" ref="E46:E52" si="47">C46*D46</f>
        <v>0</v>
      </c>
      <c r="F46" s="20"/>
      <c r="G46" s="20"/>
      <c r="H46" s="20"/>
      <c r="I46" s="60"/>
      <c r="J46" s="142">
        <v>1</v>
      </c>
      <c r="K46" s="20">
        <f>I46*J46</f>
        <v>0</v>
      </c>
      <c r="L46" s="20"/>
      <c r="M46" s="20"/>
      <c r="N46" s="82"/>
      <c r="O46" s="146"/>
      <c r="P46" s="101">
        <v>0.7</v>
      </c>
      <c r="Q46" s="20">
        <f>O46*P46</f>
        <v>0</v>
      </c>
      <c r="R46" s="20"/>
      <c r="S46" s="20"/>
      <c r="T46" s="20"/>
      <c r="U46" s="63">
        <v>250000</v>
      </c>
      <c r="V46" s="101">
        <v>1</v>
      </c>
      <c r="W46" s="20">
        <f>U46*V46</f>
        <v>250000</v>
      </c>
      <c r="X46" s="20">
        <f>18764.14+35083</f>
        <v>53847.14</v>
      </c>
      <c r="Y46" s="20">
        <f>W46-X46</f>
        <v>196152.86</v>
      </c>
      <c r="Z46" s="82">
        <f t="shared" ref="Z46:Z53" si="48">X46/W46</f>
        <v>0.21538856000000001</v>
      </c>
      <c r="AA46" s="103">
        <f t="shared" si="44"/>
        <v>250000</v>
      </c>
      <c r="AB46" s="20">
        <f t="shared" si="45"/>
        <v>250000</v>
      </c>
      <c r="AC46" s="109">
        <f t="shared" si="45"/>
        <v>53847.14</v>
      </c>
      <c r="AD46" s="20">
        <f t="shared" si="46"/>
        <v>196152.86</v>
      </c>
      <c r="AE46" s="95">
        <f t="shared" ref="AE46:AE53" si="49">AC46/AB46</f>
        <v>0.21538856000000001</v>
      </c>
      <c r="AF46" s="14"/>
    </row>
    <row r="47" spans="1:32" ht="48" thickBot="1" x14ac:dyDescent="0.3">
      <c r="A47" s="14" t="s">
        <v>26</v>
      </c>
      <c r="B47" s="14" t="s">
        <v>178</v>
      </c>
      <c r="C47" s="49"/>
      <c r="D47" s="101">
        <v>0.7</v>
      </c>
      <c r="E47" s="20">
        <f t="shared" si="47"/>
        <v>0</v>
      </c>
      <c r="F47" s="20"/>
      <c r="G47" s="20"/>
      <c r="H47" s="20"/>
      <c r="I47" s="60"/>
      <c r="J47" s="142">
        <v>1</v>
      </c>
      <c r="K47" s="20">
        <f>I47*J47</f>
        <v>0</v>
      </c>
      <c r="L47" s="20"/>
      <c r="M47" s="20"/>
      <c r="N47" s="82"/>
      <c r="O47" s="146"/>
      <c r="P47" s="101">
        <v>0.7</v>
      </c>
      <c r="Q47" s="20">
        <f>O47*P47</f>
        <v>0</v>
      </c>
      <c r="R47" s="20"/>
      <c r="S47" s="20"/>
      <c r="T47" s="20"/>
      <c r="U47" s="63">
        <f>12*20*18*3</f>
        <v>12960</v>
      </c>
      <c r="V47" s="101">
        <v>1</v>
      </c>
      <c r="W47" s="20">
        <f>U47*V47</f>
        <v>12960</v>
      </c>
      <c r="X47" s="20">
        <v>10000</v>
      </c>
      <c r="Y47" s="20">
        <f t="shared" ref="Y47" si="50">W47-X47</f>
        <v>2960</v>
      </c>
      <c r="Z47" s="82">
        <f t="shared" si="48"/>
        <v>0.77160493827160492</v>
      </c>
      <c r="AA47" s="103">
        <f t="shared" si="44"/>
        <v>12960</v>
      </c>
      <c r="AB47" s="20">
        <f t="shared" si="45"/>
        <v>12960</v>
      </c>
      <c r="AC47" s="109">
        <f t="shared" si="45"/>
        <v>10000</v>
      </c>
      <c r="AD47" s="20">
        <f t="shared" si="46"/>
        <v>2960</v>
      </c>
      <c r="AE47" s="95">
        <f t="shared" si="49"/>
        <v>0.77160493827160492</v>
      </c>
      <c r="AF47" s="14"/>
    </row>
    <row r="48" spans="1:32" ht="48" thickBot="1" x14ac:dyDescent="0.3">
      <c r="A48" s="14" t="s">
        <v>27</v>
      </c>
      <c r="B48" s="14" t="s">
        <v>177</v>
      </c>
      <c r="C48" s="49"/>
      <c r="D48" s="101">
        <v>0.7</v>
      </c>
      <c r="E48" s="20">
        <f t="shared" si="47"/>
        <v>0</v>
      </c>
      <c r="F48" s="20"/>
      <c r="G48" s="20"/>
      <c r="H48" s="20"/>
      <c r="I48" s="60">
        <f>5000*6</f>
        <v>30000</v>
      </c>
      <c r="J48" s="142">
        <v>1</v>
      </c>
      <c r="K48" s="20">
        <f>I48*J48</f>
        <v>30000</v>
      </c>
      <c r="L48" s="20">
        <v>7605.75</v>
      </c>
      <c r="M48" s="20">
        <f>K48-L48</f>
        <v>22394.25</v>
      </c>
      <c r="N48" s="82">
        <f>L48/K48</f>
        <v>0.253525</v>
      </c>
      <c r="O48" s="146"/>
      <c r="P48" s="101">
        <v>0.7</v>
      </c>
      <c r="Q48" s="20">
        <f>O48*P48</f>
        <v>0</v>
      </c>
      <c r="R48" s="20"/>
      <c r="S48" s="20"/>
      <c r="T48" s="20"/>
      <c r="U48" s="63"/>
      <c r="V48" s="101">
        <v>1</v>
      </c>
      <c r="W48" s="20"/>
      <c r="X48" s="20"/>
      <c r="Y48" s="20"/>
      <c r="Z48" s="79"/>
      <c r="AA48" s="103">
        <f t="shared" si="44"/>
        <v>30000</v>
      </c>
      <c r="AB48" s="20">
        <f t="shared" si="45"/>
        <v>30000</v>
      </c>
      <c r="AC48" s="109">
        <f t="shared" si="45"/>
        <v>7605.75</v>
      </c>
      <c r="AD48" s="20">
        <f t="shared" si="46"/>
        <v>22394.25</v>
      </c>
      <c r="AE48" s="95">
        <f t="shared" si="49"/>
        <v>0.253525</v>
      </c>
      <c r="AF48" s="14"/>
    </row>
    <row r="49" spans="1:32" s="10" customFormat="1" ht="32.25" thickBot="1" x14ac:dyDescent="0.3">
      <c r="A49" s="28" t="s">
        <v>28</v>
      </c>
      <c r="B49" s="28" t="s">
        <v>120</v>
      </c>
      <c r="C49" s="50">
        <f>SUM(C50:C52)</f>
        <v>14514.02</v>
      </c>
      <c r="D49" s="97">
        <v>0.7</v>
      </c>
      <c r="E49" s="29">
        <f>SUM(E50:E52)</f>
        <v>10159.814</v>
      </c>
      <c r="F49" s="29">
        <f>SUM(F50:F52)</f>
        <v>14430.93</v>
      </c>
      <c r="G49" s="29">
        <f>E49-F49</f>
        <v>-4271.116</v>
      </c>
      <c r="H49" s="79">
        <f>F49/E49</f>
        <v>1.4203931292442953</v>
      </c>
      <c r="I49" s="61">
        <f t="shared" ref="I49:U49" si="51">SUM(I50:I52)</f>
        <v>0</v>
      </c>
      <c r="J49" s="141">
        <v>1</v>
      </c>
      <c r="K49" s="29">
        <f>SUM(K50:K52)</f>
        <v>0</v>
      </c>
      <c r="L49" s="29"/>
      <c r="M49" s="29"/>
      <c r="N49" s="79"/>
      <c r="O49" s="145">
        <f t="shared" si="51"/>
        <v>0</v>
      </c>
      <c r="P49" s="97">
        <v>0.7</v>
      </c>
      <c r="Q49" s="29">
        <f>SUM(Q50:Q52)</f>
        <v>0</v>
      </c>
      <c r="R49" s="29"/>
      <c r="S49" s="29"/>
      <c r="T49" s="29"/>
      <c r="U49" s="64">
        <f t="shared" si="51"/>
        <v>20000</v>
      </c>
      <c r="V49" s="97">
        <v>1</v>
      </c>
      <c r="W49" s="29">
        <f>SUM(W50:W52)</f>
        <v>20000</v>
      </c>
      <c r="X49" s="29">
        <f t="shared" ref="X49:Y49" si="52">SUM(X50:X52)</f>
        <v>4649.1200000000008</v>
      </c>
      <c r="Y49" s="29">
        <f t="shared" si="52"/>
        <v>15350.88</v>
      </c>
      <c r="Z49" s="79">
        <f t="shared" si="48"/>
        <v>0.23245600000000005</v>
      </c>
      <c r="AA49" s="90">
        <f t="shared" si="44"/>
        <v>34514.020000000004</v>
      </c>
      <c r="AB49" s="29">
        <f t="shared" si="45"/>
        <v>30159.813999999998</v>
      </c>
      <c r="AC49" s="108">
        <f t="shared" si="45"/>
        <v>19080.050000000003</v>
      </c>
      <c r="AD49" s="29">
        <f t="shared" si="46"/>
        <v>11079.763999999996</v>
      </c>
      <c r="AE49" s="106">
        <f t="shared" si="49"/>
        <v>0.6326315540274885</v>
      </c>
      <c r="AF49" s="28"/>
    </row>
    <row r="50" spans="1:32" ht="48" thickBot="1" x14ac:dyDescent="0.3">
      <c r="A50" s="14" t="s">
        <v>29</v>
      </c>
      <c r="B50" s="14" t="s">
        <v>179</v>
      </c>
      <c r="C50" s="49"/>
      <c r="D50" s="101">
        <v>0.7</v>
      </c>
      <c r="E50" s="20">
        <f t="shared" si="47"/>
        <v>0</v>
      </c>
      <c r="F50" s="20"/>
      <c r="G50" s="20"/>
      <c r="H50" s="20"/>
      <c r="I50" s="60"/>
      <c r="J50" s="142">
        <v>1</v>
      </c>
      <c r="K50" s="20">
        <f>I50*J50</f>
        <v>0</v>
      </c>
      <c r="L50" s="20"/>
      <c r="M50" s="20"/>
      <c r="N50" s="82"/>
      <c r="O50" s="146"/>
      <c r="P50" s="101">
        <v>0.7</v>
      </c>
      <c r="Q50" s="20">
        <f>O50*P50</f>
        <v>0</v>
      </c>
      <c r="R50" s="20"/>
      <c r="S50" s="20"/>
      <c r="T50" s="20"/>
      <c r="U50" s="63">
        <f>5000*3</f>
        <v>15000</v>
      </c>
      <c r="V50" s="101">
        <v>1</v>
      </c>
      <c r="W50" s="20">
        <f>U50*V50</f>
        <v>15000</v>
      </c>
      <c r="X50" s="20">
        <f>3127.82+1075.38+445.92</f>
        <v>4649.1200000000008</v>
      </c>
      <c r="Y50" s="20">
        <f>W50-X50</f>
        <v>10350.879999999999</v>
      </c>
      <c r="Z50" s="82">
        <f t="shared" si="48"/>
        <v>0.3099413333333334</v>
      </c>
      <c r="AA50" s="103">
        <f t="shared" si="44"/>
        <v>15000</v>
      </c>
      <c r="AB50" s="20">
        <f t="shared" si="45"/>
        <v>15000</v>
      </c>
      <c r="AC50" s="109">
        <f t="shared" si="45"/>
        <v>4649.1200000000008</v>
      </c>
      <c r="AD50" s="20">
        <f t="shared" si="46"/>
        <v>10350.879999999999</v>
      </c>
      <c r="AE50" s="95">
        <f t="shared" si="49"/>
        <v>0.3099413333333334</v>
      </c>
      <c r="AF50" s="14"/>
    </row>
    <row r="51" spans="1:32" ht="48" thickBot="1" x14ac:dyDescent="0.3">
      <c r="A51" s="14" t="s">
        <v>30</v>
      </c>
      <c r="B51" s="14" t="s">
        <v>180</v>
      </c>
      <c r="C51" s="49"/>
      <c r="D51" s="101">
        <v>0.7</v>
      </c>
      <c r="E51" s="20">
        <f t="shared" si="47"/>
        <v>0</v>
      </c>
      <c r="F51" s="20"/>
      <c r="G51" s="20"/>
      <c r="H51" s="20"/>
      <c r="I51" s="60"/>
      <c r="J51" s="142">
        <v>1</v>
      </c>
      <c r="K51" s="20">
        <f>I51*J51</f>
        <v>0</v>
      </c>
      <c r="L51" s="20"/>
      <c r="M51" s="20"/>
      <c r="N51" s="82"/>
      <c r="O51" s="146"/>
      <c r="P51" s="101">
        <v>0.7</v>
      </c>
      <c r="Q51" s="20">
        <f>O51*P51</f>
        <v>0</v>
      </c>
      <c r="R51" s="20"/>
      <c r="S51" s="20"/>
      <c r="T51" s="20"/>
      <c r="U51" s="63">
        <v>5000</v>
      </c>
      <c r="V51" s="101">
        <v>1</v>
      </c>
      <c r="W51" s="20">
        <f>U51*V51</f>
        <v>5000</v>
      </c>
      <c r="X51" s="20">
        <v>0</v>
      </c>
      <c r="Y51" s="20">
        <f>W51-X51</f>
        <v>5000</v>
      </c>
      <c r="Z51" s="82">
        <f t="shared" si="48"/>
        <v>0</v>
      </c>
      <c r="AA51" s="103">
        <f t="shared" si="44"/>
        <v>5000</v>
      </c>
      <c r="AB51" s="20">
        <f t="shared" si="45"/>
        <v>5000</v>
      </c>
      <c r="AC51" s="109">
        <f t="shared" si="45"/>
        <v>0</v>
      </c>
      <c r="AD51" s="20">
        <f t="shared" si="46"/>
        <v>5000</v>
      </c>
      <c r="AE51" s="95">
        <f t="shared" si="49"/>
        <v>0</v>
      </c>
      <c r="AF51" s="14"/>
    </row>
    <row r="52" spans="1:32" ht="48" thickBot="1" x14ac:dyDescent="0.3">
      <c r="A52" s="14" t="s">
        <v>31</v>
      </c>
      <c r="B52" s="14" t="s">
        <v>181</v>
      </c>
      <c r="C52" s="49">
        <v>14514.02</v>
      </c>
      <c r="D52" s="101">
        <v>0.7</v>
      </c>
      <c r="E52" s="20">
        <f t="shared" si="47"/>
        <v>10159.814</v>
      </c>
      <c r="F52" s="102">
        <v>14430.93</v>
      </c>
      <c r="G52" s="20">
        <f>E52-F52</f>
        <v>-4271.116</v>
      </c>
      <c r="H52" s="82">
        <f>F52/E52</f>
        <v>1.4203931292442953</v>
      </c>
      <c r="I52" s="60"/>
      <c r="J52" s="142">
        <v>1</v>
      </c>
      <c r="K52" s="20">
        <f>I52*J52</f>
        <v>0</v>
      </c>
      <c r="L52" s="20"/>
      <c r="M52" s="20"/>
      <c r="N52" s="82"/>
      <c r="O52" s="146"/>
      <c r="P52" s="101">
        <v>0.7</v>
      </c>
      <c r="Q52" s="20">
        <f>O52*P52</f>
        <v>0</v>
      </c>
      <c r="R52" s="20"/>
      <c r="S52" s="20"/>
      <c r="T52" s="20"/>
      <c r="U52" s="63"/>
      <c r="V52" s="101">
        <v>1</v>
      </c>
      <c r="W52" s="20"/>
      <c r="X52" s="20"/>
      <c r="Y52" s="20"/>
      <c r="Z52" s="79"/>
      <c r="AA52" s="103">
        <f t="shared" si="44"/>
        <v>14514.02</v>
      </c>
      <c r="AB52" s="20">
        <f t="shared" si="45"/>
        <v>10159.814</v>
      </c>
      <c r="AC52" s="109">
        <f t="shared" si="45"/>
        <v>14430.93</v>
      </c>
      <c r="AD52" s="20">
        <f t="shared" si="46"/>
        <v>-4271.116</v>
      </c>
      <c r="AE52" s="95">
        <f t="shared" si="49"/>
        <v>1.4203931292442953</v>
      </c>
      <c r="AF52" s="14"/>
    </row>
    <row r="53" spans="1:32" s="10" customFormat="1" ht="16.5" thickBot="1" x14ac:dyDescent="0.3">
      <c r="A53" s="160" t="s">
        <v>32</v>
      </c>
      <c r="B53" s="160"/>
      <c r="C53" s="50">
        <f>SUM(C49+C45)</f>
        <v>14514.02</v>
      </c>
      <c r="D53" s="97">
        <v>0.7</v>
      </c>
      <c r="E53" s="29">
        <f>E45+E49</f>
        <v>10159.814</v>
      </c>
      <c r="F53" s="29">
        <f>F45+F49</f>
        <v>14430.93</v>
      </c>
      <c r="G53" s="29">
        <f>G45+G49</f>
        <v>-4271.116</v>
      </c>
      <c r="H53" s="79">
        <f>F53/G53</f>
        <v>-3.3787258412087144</v>
      </c>
      <c r="I53" s="61">
        <f t="shared" ref="I53:U53" si="53">SUM(I49+I45)</f>
        <v>30000</v>
      </c>
      <c r="J53" s="141">
        <v>1</v>
      </c>
      <c r="K53" s="29">
        <f>K45+K49</f>
        <v>30000</v>
      </c>
      <c r="L53" s="29">
        <f t="shared" ref="L53:M53" si="54">L45+L49</f>
        <v>7605.75</v>
      </c>
      <c r="M53" s="29">
        <f t="shared" si="54"/>
        <v>22394.25</v>
      </c>
      <c r="N53" s="79">
        <f>L53/K53</f>
        <v>0.253525</v>
      </c>
      <c r="O53" s="145">
        <f t="shared" si="53"/>
        <v>0</v>
      </c>
      <c r="P53" s="97">
        <v>0.7</v>
      </c>
      <c r="Q53" s="29">
        <f>Q45+Q49</f>
        <v>0</v>
      </c>
      <c r="R53" s="29"/>
      <c r="S53" s="29"/>
      <c r="T53" s="29"/>
      <c r="U53" s="64">
        <f t="shared" si="53"/>
        <v>282960</v>
      </c>
      <c r="V53" s="97">
        <v>1</v>
      </c>
      <c r="W53" s="29">
        <f>W45+W49</f>
        <v>282960</v>
      </c>
      <c r="X53" s="29">
        <f t="shared" ref="X53:Y53" si="55">X45+X49</f>
        <v>68496.259999999995</v>
      </c>
      <c r="Y53" s="29">
        <f t="shared" si="55"/>
        <v>214463.74</v>
      </c>
      <c r="Z53" s="79">
        <f t="shared" si="48"/>
        <v>0.24207046932428611</v>
      </c>
      <c r="AA53" s="90">
        <f t="shared" si="44"/>
        <v>327474.02</v>
      </c>
      <c r="AB53" s="29">
        <f t="shared" si="45"/>
        <v>323119.81400000001</v>
      </c>
      <c r="AC53" s="108">
        <f t="shared" si="45"/>
        <v>90532.94</v>
      </c>
      <c r="AD53" s="29">
        <f t="shared" si="46"/>
        <v>232586.87400000001</v>
      </c>
      <c r="AE53" s="106">
        <f t="shared" si="49"/>
        <v>0.28018380822662892</v>
      </c>
      <c r="AF53" s="28"/>
    </row>
    <row r="54" spans="1:32" ht="16.5" thickBot="1" x14ac:dyDescent="0.3">
      <c r="A54" s="28"/>
      <c r="B54" s="28"/>
      <c r="C54" s="29"/>
      <c r="D54" s="29"/>
      <c r="E54" s="29"/>
      <c r="F54" s="29"/>
      <c r="G54" s="29"/>
      <c r="H54" s="29"/>
      <c r="I54" s="29"/>
      <c r="J54" s="143"/>
      <c r="K54" s="29"/>
      <c r="L54" s="29"/>
      <c r="M54" s="29"/>
      <c r="N54" s="29"/>
      <c r="O54" s="147"/>
      <c r="P54" s="29"/>
      <c r="Q54" s="29"/>
      <c r="R54" s="29"/>
      <c r="S54" s="29"/>
      <c r="T54" s="29"/>
      <c r="U54" s="29"/>
      <c r="V54" s="29"/>
      <c r="W54" s="29"/>
      <c r="X54" s="29"/>
      <c r="Y54" s="29"/>
      <c r="Z54" s="29"/>
      <c r="AA54" s="29"/>
      <c r="AB54" s="29"/>
      <c r="AC54" s="29"/>
      <c r="AD54" s="29"/>
      <c r="AE54" s="106"/>
      <c r="AF54" s="28"/>
    </row>
    <row r="55" spans="1:32" ht="16.5" thickBot="1" x14ac:dyDescent="0.3">
      <c r="A55" s="162" t="s">
        <v>121</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row>
    <row r="56" spans="1:32" s="10" customFormat="1" ht="48" thickBot="1" x14ac:dyDescent="0.3">
      <c r="A56" s="28" t="s">
        <v>33</v>
      </c>
      <c r="B56" s="28" t="s">
        <v>122</v>
      </c>
      <c r="C56" s="50">
        <f>SUM(C57:C59)</f>
        <v>85000</v>
      </c>
      <c r="D56" s="97">
        <v>0.7</v>
      </c>
      <c r="E56" s="29">
        <f>SUM(E57:E59)</f>
        <v>59500</v>
      </c>
      <c r="F56" s="29">
        <f>SUM(F57:F59)</f>
        <v>30828.35</v>
      </c>
      <c r="G56" s="29">
        <f>E56-F56</f>
        <v>28671.65</v>
      </c>
      <c r="H56" s="79">
        <f>F56/E56</f>
        <v>0.51812352941176465</v>
      </c>
      <c r="I56" s="61">
        <f t="shared" ref="I56:U56" si="56">SUM(I57:I59)</f>
        <v>0</v>
      </c>
      <c r="J56" s="141">
        <v>1</v>
      </c>
      <c r="K56" s="29">
        <f>SUM(K57:K59)</f>
        <v>0</v>
      </c>
      <c r="L56" s="29"/>
      <c r="M56" s="29"/>
      <c r="N56" s="29"/>
      <c r="O56" s="145">
        <f t="shared" si="56"/>
        <v>0</v>
      </c>
      <c r="P56" s="97">
        <v>0.7</v>
      </c>
      <c r="Q56" s="29">
        <f>SUM(Q57:Q59)</f>
        <v>0</v>
      </c>
      <c r="R56" s="29"/>
      <c r="S56" s="29"/>
      <c r="T56" s="29"/>
      <c r="U56" s="64">
        <f t="shared" si="56"/>
        <v>0</v>
      </c>
      <c r="V56" s="97">
        <v>0.7</v>
      </c>
      <c r="W56" s="29">
        <f>SUM(W57:W59)</f>
        <v>0</v>
      </c>
      <c r="X56" s="29"/>
      <c r="Y56" s="29"/>
      <c r="Z56" s="29"/>
      <c r="AA56" s="90">
        <f t="shared" ref="AA56:AA93" si="57">C56+I56+O56+U56</f>
        <v>85000</v>
      </c>
      <c r="AB56" s="29">
        <f t="shared" ref="AB56:AC93" si="58">E56+K56+Q56+W56</f>
        <v>59500</v>
      </c>
      <c r="AC56" s="110">
        <f t="shared" si="58"/>
        <v>30828.35</v>
      </c>
      <c r="AD56" s="29">
        <f t="shared" ref="AD56:AE93" si="59">AB56-AC56</f>
        <v>28671.65</v>
      </c>
      <c r="AE56" s="106">
        <f>AC56/AB56</f>
        <v>0.51812352941176465</v>
      </c>
      <c r="AF56" s="28"/>
    </row>
    <row r="57" spans="1:32" ht="32.25" thickBot="1" x14ac:dyDescent="0.3">
      <c r="A57" s="14" t="s">
        <v>34</v>
      </c>
      <c r="B57" s="14" t="s">
        <v>182</v>
      </c>
      <c r="C57" s="49">
        <v>10000</v>
      </c>
      <c r="D57" s="101">
        <v>0.7</v>
      </c>
      <c r="E57" s="20">
        <f t="shared" ref="E57:E63" si="60">C57*D57</f>
        <v>7000</v>
      </c>
      <c r="F57" s="102">
        <v>0</v>
      </c>
      <c r="G57" s="20">
        <f>E57-F57</f>
        <v>7000</v>
      </c>
      <c r="H57" s="82">
        <f>F57/E57</f>
        <v>0</v>
      </c>
      <c r="I57" s="60"/>
      <c r="J57" s="142">
        <v>1</v>
      </c>
      <c r="K57" s="20">
        <f>I57*J57</f>
        <v>0</v>
      </c>
      <c r="L57" s="20"/>
      <c r="M57" s="20"/>
      <c r="N57" s="20"/>
      <c r="O57" s="146"/>
      <c r="P57" s="101">
        <v>0.7</v>
      </c>
      <c r="Q57" s="20">
        <f>O57*P57</f>
        <v>0</v>
      </c>
      <c r="R57" s="20"/>
      <c r="S57" s="20"/>
      <c r="T57" s="20"/>
      <c r="U57" s="63"/>
      <c r="V57" s="101">
        <v>1</v>
      </c>
      <c r="W57" s="20">
        <f>U57*V57</f>
        <v>0</v>
      </c>
      <c r="X57" s="20"/>
      <c r="Y57" s="20"/>
      <c r="Z57" s="20"/>
      <c r="AA57" s="103">
        <f t="shared" si="57"/>
        <v>10000</v>
      </c>
      <c r="AB57" s="20">
        <f t="shared" si="58"/>
        <v>7000</v>
      </c>
      <c r="AC57" s="111">
        <f t="shared" si="58"/>
        <v>0</v>
      </c>
      <c r="AD57" s="20">
        <f t="shared" si="59"/>
        <v>7000</v>
      </c>
      <c r="AE57" s="95">
        <f t="shared" ref="AE57:AE64" si="61">AC57/AB57</f>
        <v>0</v>
      </c>
      <c r="AF57" s="14"/>
    </row>
    <row r="58" spans="1:32" ht="32.25" thickBot="1" x14ac:dyDescent="0.3">
      <c r="A58" s="14" t="s">
        <v>35</v>
      </c>
      <c r="B58" s="14" t="s">
        <v>183</v>
      </c>
      <c r="C58" s="49">
        <v>15000</v>
      </c>
      <c r="D58" s="101">
        <v>0.7</v>
      </c>
      <c r="E58" s="20">
        <f t="shared" si="60"/>
        <v>10500</v>
      </c>
      <c r="F58" s="102">
        <v>15400</v>
      </c>
      <c r="G58" s="20">
        <f t="shared" ref="G58:G59" si="62">E58-F58</f>
        <v>-4900</v>
      </c>
      <c r="H58" s="82">
        <f t="shared" ref="H58:H59" si="63">F58/E58</f>
        <v>1.4666666666666666</v>
      </c>
      <c r="I58" s="60"/>
      <c r="J58" s="142">
        <v>1</v>
      </c>
      <c r="K58" s="20">
        <f>I58*J58</f>
        <v>0</v>
      </c>
      <c r="L58" s="20"/>
      <c r="M58" s="20"/>
      <c r="N58" s="20"/>
      <c r="O58" s="146"/>
      <c r="P58" s="101">
        <v>0.7</v>
      </c>
      <c r="Q58" s="20">
        <f>O58*P58</f>
        <v>0</v>
      </c>
      <c r="R58" s="20"/>
      <c r="S58" s="20"/>
      <c r="T58" s="20"/>
      <c r="U58" s="63"/>
      <c r="V58" s="101">
        <v>1</v>
      </c>
      <c r="W58" s="20">
        <f>U58*V58</f>
        <v>0</v>
      </c>
      <c r="X58" s="20"/>
      <c r="Y58" s="20"/>
      <c r="Z58" s="20"/>
      <c r="AA58" s="103">
        <f t="shared" si="57"/>
        <v>15000</v>
      </c>
      <c r="AB58" s="20">
        <f t="shared" si="58"/>
        <v>10500</v>
      </c>
      <c r="AC58" s="111">
        <f t="shared" si="58"/>
        <v>15400</v>
      </c>
      <c r="AD58" s="20">
        <f t="shared" si="59"/>
        <v>-4900</v>
      </c>
      <c r="AE58" s="95">
        <f t="shared" si="61"/>
        <v>1.4666666666666666</v>
      </c>
      <c r="AF58" s="14"/>
    </row>
    <row r="59" spans="1:32" ht="63.75" thickBot="1" x14ac:dyDescent="0.3">
      <c r="A59" s="14" t="s">
        <v>36</v>
      </c>
      <c r="B59" s="14" t="s">
        <v>184</v>
      </c>
      <c r="C59" s="49">
        <f>60000</f>
        <v>60000</v>
      </c>
      <c r="D59" s="101">
        <v>0.7</v>
      </c>
      <c r="E59" s="20">
        <f t="shared" si="60"/>
        <v>42000</v>
      </c>
      <c r="F59" s="102">
        <v>15428.35</v>
      </c>
      <c r="G59" s="20">
        <f t="shared" si="62"/>
        <v>26571.65</v>
      </c>
      <c r="H59" s="82">
        <f t="shared" si="63"/>
        <v>0.36734166666666668</v>
      </c>
      <c r="I59" s="60"/>
      <c r="J59" s="142">
        <v>1</v>
      </c>
      <c r="K59" s="20">
        <f>I59*J59</f>
        <v>0</v>
      </c>
      <c r="L59" s="20"/>
      <c r="M59" s="20"/>
      <c r="N59" s="20"/>
      <c r="O59" s="146"/>
      <c r="P59" s="101">
        <v>0.7</v>
      </c>
      <c r="Q59" s="20">
        <f>O59*P59</f>
        <v>0</v>
      </c>
      <c r="R59" s="20"/>
      <c r="S59" s="20"/>
      <c r="T59" s="20"/>
      <c r="U59" s="63"/>
      <c r="V59" s="101">
        <v>1</v>
      </c>
      <c r="W59" s="20">
        <f>U59*V59</f>
        <v>0</v>
      </c>
      <c r="X59" s="20"/>
      <c r="Y59" s="20"/>
      <c r="Z59" s="20"/>
      <c r="AA59" s="103">
        <f t="shared" si="57"/>
        <v>60000</v>
      </c>
      <c r="AB59" s="20">
        <f t="shared" si="58"/>
        <v>42000</v>
      </c>
      <c r="AC59" s="111">
        <f t="shared" si="58"/>
        <v>15428.35</v>
      </c>
      <c r="AD59" s="20">
        <f t="shared" si="59"/>
        <v>26571.65</v>
      </c>
      <c r="AE59" s="95">
        <f t="shared" si="61"/>
        <v>0.36734166666666668</v>
      </c>
      <c r="AF59" s="14"/>
    </row>
    <row r="60" spans="1:32" s="10" customFormat="1" ht="32.25" thickBot="1" x14ac:dyDescent="0.3">
      <c r="A60" s="28" t="s">
        <v>37</v>
      </c>
      <c r="B60" s="28" t="s">
        <v>185</v>
      </c>
      <c r="C60" s="50">
        <f>SUM(C61:C63)</f>
        <v>9000</v>
      </c>
      <c r="D60" s="97">
        <v>0.7</v>
      </c>
      <c r="E60" s="29">
        <f>SUM(E61:E63)</f>
        <v>6300</v>
      </c>
      <c r="F60" s="29">
        <v>0</v>
      </c>
      <c r="G60" s="29">
        <f>E60-F60</f>
        <v>6300</v>
      </c>
      <c r="H60" s="79">
        <f>F60/E60</f>
        <v>0</v>
      </c>
      <c r="I60" s="61">
        <f>SUM(I61:I63)</f>
        <v>0</v>
      </c>
      <c r="J60" s="141">
        <v>1</v>
      </c>
      <c r="K60" s="29">
        <f>SUM(K61:K63)</f>
        <v>0</v>
      </c>
      <c r="L60" s="29"/>
      <c r="M60" s="29"/>
      <c r="N60" s="29"/>
      <c r="O60" s="145">
        <f t="shared" ref="O60:U60" si="64">SUM(O61:O63)</f>
        <v>0</v>
      </c>
      <c r="P60" s="97">
        <v>0.7</v>
      </c>
      <c r="Q60" s="29">
        <f>SUM(Q61:Q63)</f>
        <v>0</v>
      </c>
      <c r="R60" s="29"/>
      <c r="S60" s="29"/>
      <c r="T60" s="29"/>
      <c r="U60" s="64">
        <f t="shared" si="64"/>
        <v>0</v>
      </c>
      <c r="V60" s="97">
        <v>1</v>
      </c>
      <c r="W60" s="29">
        <f>SUM(W61:W63)</f>
        <v>0</v>
      </c>
      <c r="X60" s="29"/>
      <c r="Y60" s="29"/>
      <c r="Z60" s="29"/>
      <c r="AA60" s="90">
        <f t="shared" si="57"/>
        <v>9000</v>
      </c>
      <c r="AB60" s="29">
        <f t="shared" si="58"/>
        <v>6300</v>
      </c>
      <c r="AC60" s="110">
        <f t="shared" si="58"/>
        <v>0</v>
      </c>
      <c r="AD60" s="29">
        <f t="shared" si="59"/>
        <v>6300</v>
      </c>
      <c r="AE60" s="106">
        <f t="shared" si="61"/>
        <v>0</v>
      </c>
      <c r="AF60" s="28"/>
    </row>
    <row r="61" spans="1:32" ht="48" thickBot="1" x14ac:dyDescent="0.3">
      <c r="A61" s="14" t="s">
        <v>38</v>
      </c>
      <c r="B61" s="14" t="s">
        <v>186</v>
      </c>
      <c r="C61" s="49">
        <v>5000</v>
      </c>
      <c r="D61" s="101">
        <v>0.7</v>
      </c>
      <c r="E61" s="20">
        <f t="shared" si="60"/>
        <v>3500</v>
      </c>
      <c r="F61" s="20">
        <v>0</v>
      </c>
      <c r="G61" s="20">
        <f>E61-F61</f>
        <v>3500</v>
      </c>
      <c r="H61" s="82">
        <f>F61/E61</f>
        <v>0</v>
      </c>
      <c r="I61" s="60"/>
      <c r="J61" s="142">
        <v>1</v>
      </c>
      <c r="K61" s="20">
        <f>I61*J61</f>
        <v>0</v>
      </c>
      <c r="L61" s="20"/>
      <c r="M61" s="20"/>
      <c r="N61" s="20"/>
      <c r="O61" s="146"/>
      <c r="P61" s="101">
        <v>0.7</v>
      </c>
      <c r="Q61" s="20">
        <f>O61*P61</f>
        <v>0</v>
      </c>
      <c r="R61" s="20"/>
      <c r="S61" s="20"/>
      <c r="T61" s="20"/>
      <c r="U61" s="63"/>
      <c r="V61" s="101">
        <v>1</v>
      </c>
      <c r="W61" s="20">
        <f>U61*V61</f>
        <v>0</v>
      </c>
      <c r="X61" s="20"/>
      <c r="Y61" s="20"/>
      <c r="Z61" s="20"/>
      <c r="AA61" s="103">
        <f t="shared" si="57"/>
        <v>5000</v>
      </c>
      <c r="AB61" s="20">
        <f t="shared" si="58"/>
        <v>3500</v>
      </c>
      <c r="AC61" s="111">
        <f t="shared" si="58"/>
        <v>0</v>
      </c>
      <c r="AD61" s="20">
        <f t="shared" si="59"/>
        <v>3500</v>
      </c>
      <c r="AE61" s="95">
        <f t="shared" si="61"/>
        <v>0</v>
      </c>
      <c r="AF61" s="14"/>
    </row>
    <row r="62" spans="1:32" ht="63.75" thickBot="1" x14ac:dyDescent="0.3">
      <c r="A62" s="14" t="s">
        <v>39</v>
      </c>
      <c r="B62" s="14" t="s">
        <v>187</v>
      </c>
      <c r="C62" s="49">
        <v>3000</v>
      </c>
      <c r="D62" s="101">
        <v>0.7</v>
      </c>
      <c r="E62" s="20">
        <f t="shared" si="60"/>
        <v>2100</v>
      </c>
      <c r="F62" s="20">
        <v>0</v>
      </c>
      <c r="G62" s="20">
        <f t="shared" ref="G62:G63" si="65">E62-F62</f>
        <v>2100</v>
      </c>
      <c r="H62" s="82">
        <f t="shared" ref="H62:H63" si="66">F62/E62</f>
        <v>0</v>
      </c>
      <c r="I62" s="60"/>
      <c r="J62" s="142">
        <v>1</v>
      </c>
      <c r="K62" s="20">
        <f>I62*J62</f>
        <v>0</v>
      </c>
      <c r="L62" s="20"/>
      <c r="M62" s="20"/>
      <c r="N62" s="20"/>
      <c r="O62" s="146"/>
      <c r="P62" s="101">
        <v>0.7</v>
      </c>
      <c r="Q62" s="20">
        <f>O62*P62</f>
        <v>0</v>
      </c>
      <c r="R62" s="20"/>
      <c r="S62" s="20"/>
      <c r="T62" s="20"/>
      <c r="U62" s="63"/>
      <c r="V62" s="101">
        <v>1</v>
      </c>
      <c r="W62" s="20">
        <f>U62*V62</f>
        <v>0</v>
      </c>
      <c r="X62" s="20"/>
      <c r="Y62" s="20"/>
      <c r="Z62" s="20"/>
      <c r="AA62" s="103">
        <f t="shared" si="57"/>
        <v>3000</v>
      </c>
      <c r="AB62" s="20">
        <f t="shared" si="58"/>
        <v>2100</v>
      </c>
      <c r="AC62" s="111">
        <f t="shared" si="58"/>
        <v>0</v>
      </c>
      <c r="AD62" s="20">
        <f t="shared" si="59"/>
        <v>2100</v>
      </c>
      <c r="AE62" s="95">
        <f t="shared" si="61"/>
        <v>0</v>
      </c>
      <c r="AF62" s="14"/>
    </row>
    <row r="63" spans="1:32" s="87" customFormat="1" ht="32.25" thickBot="1" x14ac:dyDescent="0.3">
      <c r="A63" s="14" t="s">
        <v>40</v>
      </c>
      <c r="B63" s="14" t="s">
        <v>188</v>
      </c>
      <c r="C63" s="49">
        <v>1000</v>
      </c>
      <c r="D63" s="101">
        <v>0.7</v>
      </c>
      <c r="E63" s="20">
        <f t="shared" si="60"/>
        <v>700</v>
      </c>
      <c r="F63" s="20">
        <v>0</v>
      </c>
      <c r="G63" s="20">
        <f t="shared" si="65"/>
        <v>700</v>
      </c>
      <c r="H63" s="82">
        <f t="shared" si="66"/>
        <v>0</v>
      </c>
      <c r="I63" s="60"/>
      <c r="J63" s="142">
        <v>1</v>
      </c>
      <c r="K63" s="20">
        <f>I63*J63</f>
        <v>0</v>
      </c>
      <c r="L63" s="20"/>
      <c r="M63" s="20"/>
      <c r="N63" s="20"/>
      <c r="O63" s="146"/>
      <c r="P63" s="101">
        <v>0.7</v>
      </c>
      <c r="Q63" s="20">
        <f>O63*P63</f>
        <v>0</v>
      </c>
      <c r="R63" s="20"/>
      <c r="S63" s="20"/>
      <c r="T63" s="20"/>
      <c r="U63" s="63"/>
      <c r="V63" s="101">
        <v>1</v>
      </c>
      <c r="W63" s="20">
        <f>U63*V63</f>
        <v>0</v>
      </c>
      <c r="X63" s="20"/>
      <c r="Y63" s="20"/>
      <c r="Z63" s="20"/>
      <c r="AA63" s="103">
        <f t="shared" si="57"/>
        <v>1000</v>
      </c>
      <c r="AB63" s="20">
        <f t="shared" si="58"/>
        <v>700</v>
      </c>
      <c r="AC63" s="111">
        <f t="shared" si="58"/>
        <v>0</v>
      </c>
      <c r="AD63" s="20">
        <f t="shared" si="59"/>
        <v>700</v>
      </c>
      <c r="AE63" s="95">
        <f t="shared" si="61"/>
        <v>0</v>
      </c>
      <c r="AF63" s="14"/>
    </row>
    <row r="64" spans="1:32" s="10" customFormat="1" ht="16.5" thickBot="1" x14ac:dyDescent="0.3">
      <c r="A64" s="160" t="s">
        <v>74</v>
      </c>
      <c r="B64" s="160"/>
      <c r="C64" s="50">
        <f>SUM(C56+C60)</f>
        <v>94000</v>
      </c>
      <c r="D64" s="97">
        <v>0.7</v>
      </c>
      <c r="E64" s="29">
        <f>E56+E60</f>
        <v>65800</v>
      </c>
      <c r="F64" s="29">
        <f t="shared" ref="F64:G64" si="67">F56+F60</f>
        <v>30828.35</v>
      </c>
      <c r="G64" s="29">
        <f t="shared" si="67"/>
        <v>34971.65</v>
      </c>
      <c r="H64" s="79">
        <f>F64/E64</f>
        <v>0.46851595744680846</v>
      </c>
      <c r="I64" s="61">
        <f t="shared" ref="I64:U64" si="68">SUM(I56+I60)</f>
        <v>0</v>
      </c>
      <c r="J64" s="141">
        <v>1</v>
      </c>
      <c r="K64" s="29">
        <f>K56+K60</f>
        <v>0</v>
      </c>
      <c r="L64" s="29"/>
      <c r="M64" s="29"/>
      <c r="N64" s="29"/>
      <c r="O64" s="145">
        <f t="shared" si="68"/>
        <v>0</v>
      </c>
      <c r="P64" s="97">
        <v>0.7</v>
      </c>
      <c r="Q64" s="29">
        <f>Q56+Q60</f>
        <v>0</v>
      </c>
      <c r="R64" s="29"/>
      <c r="S64" s="29"/>
      <c r="T64" s="29"/>
      <c r="U64" s="64">
        <f t="shared" si="68"/>
        <v>0</v>
      </c>
      <c r="V64" s="97">
        <v>1</v>
      </c>
      <c r="W64" s="29">
        <f>W56+W60</f>
        <v>0</v>
      </c>
      <c r="X64" s="29"/>
      <c r="Y64" s="29"/>
      <c r="Z64" s="29"/>
      <c r="AA64" s="90">
        <f t="shared" si="57"/>
        <v>94000</v>
      </c>
      <c r="AB64" s="29">
        <f t="shared" si="58"/>
        <v>65800</v>
      </c>
      <c r="AC64" s="110">
        <f t="shared" si="58"/>
        <v>30828.35</v>
      </c>
      <c r="AD64" s="29">
        <f t="shared" si="59"/>
        <v>34971.65</v>
      </c>
      <c r="AE64" s="106">
        <f t="shared" si="61"/>
        <v>0.46851595744680846</v>
      </c>
      <c r="AF64" s="28"/>
    </row>
    <row r="65" spans="1:32" ht="16.5" thickBot="1" x14ac:dyDescent="0.3">
      <c r="A65" s="28"/>
      <c r="B65" s="28"/>
      <c r="C65" s="29"/>
      <c r="D65" s="29"/>
      <c r="E65" s="29"/>
      <c r="F65" s="29"/>
      <c r="G65" s="29"/>
      <c r="H65" s="29"/>
      <c r="I65" s="29"/>
      <c r="J65" s="143"/>
      <c r="K65" s="29"/>
      <c r="L65" s="29"/>
      <c r="M65" s="29"/>
      <c r="N65" s="29"/>
      <c r="O65" s="147"/>
      <c r="P65" s="29"/>
      <c r="Q65" s="29"/>
      <c r="R65" s="29"/>
      <c r="S65" s="29"/>
      <c r="T65" s="29"/>
      <c r="U65" s="29"/>
      <c r="V65" s="29"/>
      <c r="W65" s="29"/>
      <c r="X65" s="29"/>
      <c r="Y65" s="29"/>
      <c r="Z65" s="29"/>
      <c r="AA65" s="29"/>
      <c r="AB65" s="29"/>
      <c r="AC65" s="29"/>
      <c r="AD65" s="29"/>
      <c r="AE65" s="106"/>
      <c r="AF65" s="28"/>
    </row>
    <row r="66" spans="1:32" ht="16.5" thickBot="1" x14ac:dyDescent="0.3">
      <c r="A66" s="28" t="s">
        <v>41</v>
      </c>
      <c r="B66" s="28"/>
      <c r="C66" s="50">
        <f>SUM(C67:C79)</f>
        <v>426388.05</v>
      </c>
      <c r="D66" s="97">
        <v>0.7</v>
      </c>
      <c r="E66" s="29">
        <f>SUM(E67:E74)</f>
        <v>298471.63499999995</v>
      </c>
      <c r="F66" s="29">
        <f>SUM(F67:F74)</f>
        <v>285862.15999999997</v>
      </c>
      <c r="G66" s="29">
        <f>SUM(G67:G74)</f>
        <v>-5852.6750000000229</v>
      </c>
      <c r="H66" s="79">
        <f>F66/E66</f>
        <v>0.95775318817146571</v>
      </c>
      <c r="I66" s="61">
        <f>SUM(I67:I79)</f>
        <v>160395</v>
      </c>
      <c r="J66" s="141">
        <v>1</v>
      </c>
      <c r="K66" s="29">
        <f>SUM(K67:K79)</f>
        <v>160395</v>
      </c>
      <c r="L66" s="29">
        <f t="shared" ref="L66:M66" si="69">SUM(L67:L79)</f>
        <v>119205.14</v>
      </c>
      <c r="M66" s="29">
        <f t="shared" si="69"/>
        <v>41189.86</v>
      </c>
      <c r="N66" s="79">
        <f>L66/K66</f>
        <v>0.74319735652607621</v>
      </c>
      <c r="O66" s="145">
        <f>SUM(O67:O79)</f>
        <v>96506.25</v>
      </c>
      <c r="P66" s="97">
        <v>0.7</v>
      </c>
      <c r="Q66" s="29">
        <f>SUM(Q67:Q79)</f>
        <v>67554.375</v>
      </c>
      <c r="R66" s="29">
        <f t="shared" ref="R66:S66" si="70">SUM(R67:R79)</f>
        <v>0</v>
      </c>
      <c r="S66" s="29">
        <f t="shared" si="70"/>
        <v>67554.375</v>
      </c>
      <c r="T66" s="79">
        <f>R66/Q66</f>
        <v>0</v>
      </c>
      <c r="U66" s="64">
        <f>SUM(U67:U79)</f>
        <v>0</v>
      </c>
      <c r="V66" s="97">
        <v>1</v>
      </c>
      <c r="W66" s="29">
        <f>SUM(W67:W79)</f>
        <v>0</v>
      </c>
      <c r="X66" s="29"/>
      <c r="Y66" s="29"/>
      <c r="Z66" s="29"/>
      <c r="AA66" s="90">
        <f t="shared" si="57"/>
        <v>683289.3</v>
      </c>
      <c r="AB66" s="29">
        <f t="shared" si="58"/>
        <v>526421.01</v>
      </c>
      <c r="AC66" s="112">
        <f t="shared" si="58"/>
        <v>405067.3</v>
      </c>
      <c r="AD66" s="29">
        <f t="shared" si="59"/>
        <v>121353.71000000002</v>
      </c>
      <c r="AE66" s="106">
        <f>AC66/AB66</f>
        <v>0.76947403751989307</v>
      </c>
      <c r="AF66" s="14"/>
    </row>
    <row r="67" spans="1:32" ht="32.25" thickBot="1" x14ac:dyDescent="0.3">
      <c r="A67" s="14" t="s">
        <v>107</v>
      </c>
      <c r="B67" s="14"/>
      <c r="C67" s="49">
        <f>203362</f>
        <v>203362</v>
      </c>
      <c r="D67" s="101">
        <v>0.7</v>
      </c>
      <c r="E67" s="20">
        <f t="shared" ref="E67:E92" si="71">C67*D67</f>
        <v>142353.4</v>
      </c>
      <c r="F67" s="102">
        <v>220041.57</v>
      </c>
      <c r="G67" s="20">
        <f>E67-F67</f>
        <v>-77688.170000000013</v>
      </c>
      <c r="H67" s="82">
        <f>F67/E67</f>
        <v>1.5457415839734072</v>
      </c>
      <c r="I67" s="60"/>
      <c r="J67" s="142">
        <v>1</v>
      </c>
      <c r="K67" s="20">
        <f t="shared" ref="K67:K79" si="72">I67*J67</f>
        <v>0</v>
      </c>
      <c r="L67" s="20"/>
      <c r="M67" s="20"/>
      <c r="N67" s="82"/>
      <c r="O67" s="146"/>
      <c r="P67" s="101">
        <v>0.7</v>
      </c>
      <c r="Q67" s="20">
        <f t="shared" ref="Q67:Q79" si="73">O67*P67</f>
        <v>0</v>
      </c>
      <c r="R67" s="20"/>
      <c r="S67" s="20"/>
      <c r="T67" s="82"/>
      <c r="U67" s="63"/>
      <c r="V67" s="101">
        <v>1</v>
      </c>
      <c r="W67" s="20">
        <f t="shared" ref="W67:W79" si="74">U67*V67</f>
        <v>0</v>
      </c>
      <c r="X67" s="20"/>
      <c r="Y67" s="20"/>
      <c r="Z67" s="20"/>
      <c r="AA67" s="103">
        <f t="shared" si="57"/>
        <v>203362</v>
      </c>
      <c r="AB67" s="20">
        <f t="shared" si="58"/>
        <v>142353.4</v>
      </c>
      <c r="AC67" s="113">
        <f t="shared" si="58"/>
        <v>220041.57</v>
      </c>
      <c r="AD67" s="20">
        <f t="shared" si="59"/>
        <v>-77688.170000000013</v>
      </c>
      <c r="AE67" s="95">
        <f t="shared" ref="AE67:AE93" si="75">AC67/AB67</f>
        <v>1.5457415839734072</v>
      </c>
      <c r="AF67" s="14"/>
    </row>
    <row r="68" spans="1:32" ht="32.25" thickBot="1" x14ac:dyDescent="0.3">
      <c r="A68" s="14" t="s">
        <v>114</v>
      </c>
      <c r="B68" s="14"/>
      <c r="C68" s="49"/>
      <c r="D68" s="101">
        <v>0.7</v>
      </c>
      <c r="E68" s="20">
        <f t="shared" si="71"/>
        <v>0</v>
      </c>
      <c r="F68" s="102"/>
      <c r="G68" s="20"/>
      <c r="H68" s="82"/>
      <c r="I68" s="60"/>
      <c r="J68" s="142">
        <v>1</v>
      </c>
      <c r="K68" s="20">
        <f t="shared" si="72"/>
        <v>0</v>
      </c>
      <c r="L68" s="20"/>
      <c r="M68" s="20"/>
      <c r="N68" s="82"/>
      <c r="O68" s="146"/>
      <c r="P68" s="101">
        <v>0.7</v>
      </c>
      <c r="Q68" s="20">
        <f t="shared" si="73"/>
        <v>0</v>
      </c>
      <c r="R68" s="20"/>
      <c r="S68" s="20"/>
      <c r="T68" s="82"/>
      <c r="U68" s="63"/>
      <c r="V68" s="101">
        <v>1</v>
      </c>
      <c r="W68" s="20">
        <f t="shared" si="74"/>
        <v>0</v>
      </c>
      <c r="X68" s="20"/>
      <c r="Y68" s="20"/>
      <c r="Z68" s="20"/>
      <c r="AA68" s="103">
        <f t="shared" si="57"/>
        <v>0</v>
      </c>
      <c r="AB68" s="20">
        <f t="shared" si="58"/>
        <v>0</v>
      </c>
      <c r="AC68" s="113">
        <f t="shared" si="58"/>
        <v>0</v>
      </c>
      <c r="AD68" s="20">
        <f t="shared" si="59"/>
        <v>0</v>
      </c>
      <c r="AE68" s="20">
        <f t="shared" si="59"/>
        <v>0</v>
      </c>
      <c r="AF68" s="14"/>
    </row>
    <row r="69" spans="1:32" ht="32.25" thickBot="1" x14ac:dyDescent="0.3">
      <c r="A69" s="14" t="s">
        <v>113</v>
      </c>
      <c r="B69" s="14"/>
      <c r="C69" s="49"/>
      <c r="D69" s="101">
        <v>0.7</v>
      </c>
      <c r="E69" s="20">
        <f t="shared" si="71"/>
        <v>0</v>
      </c>
      <c r="F69" s="102"/>
      <c r="G69" s="20"/>
      <c r="H69" s="82"/>
      <c r="I69" s="60"/>
      <c r="J69" s="142">
        <v>1</v>
      </c>
      <c r="K69" s="20">
        <f t="shared" si="72"/>
        <v>0</v>
      </c>
      <c r="L69" s="20"/>
      <c r="M69" s="20"/>
      <c r="N69" s="82"/>
      <c r="O69" s="146"/>
      <c r="P69" s="101">
        <v>0.7</v>
      </c>
      <c r="Q69" s="20">
        <f t="shared" si="73"/>
        <v>0</v>
      </c>
      <c r="R69" s="20"/>
      <c r="S69" s="20"/>
      <c r="T69" s="82"/>
      <c r="U69" s="63"/>
      <c r="V69" s="101">
        <v>1</v>
      </c>
      <c r="W69" s="20">
        <f t="shared" si="74"/>
        <v>0</v>
      </c>
      <c r="X69" s="20"/>
      <c r="Y69" s="20"/>
      <c r="Z69" s="20"/>
      <c r="AA69" s="103">
        <f t="shared" si="57"/>
        <v>0</v>
      </c>
      <c r="AB69" s="20">
        <f t="shared" si="58"/>
        <v>0</v>
      </c>
      <c r="AC69" s="113">
        <f t="shared" si="58"/>
        <v>0</v>
      </c>
      <c r="AD69" s="20">
        <f t="shared" si="59"/>
        <v>0</v>
      </c>
      <c r="AE69" s="20">
        <f t="shared" si="59"/>
        <v>0</v>
      </c>
      <c r="AF69" s="14"/>
    </row>
    <row r="70" spans="1:32" ht="32.25" thickBot="1" x14ac:dyDescent="0.3">
      <c r="A70" s="14" t="s">
        <v>190</v>
      </c>
      <c r="B70" s="14"/>
      <c r="C70" s="49">
        <f>77205*1.5</f>
        <v>115807.5</v>
      </c>
      <c r="D70" s="101">
        <v>0.7</v>
      </c>
      <c r="E70" s="20">
        <f t="shared" si="71"/>
        <v>81065.25</v>
      </c>
      <c r="F70" s="102">
        <v>27227.88</v>
      </c>
      <c r="G70" s="20">
        <f>E70-F70</f>
        <v>53837.369999999995</v>
      </c>
      <c r="H70" s="82">
        <f>F70/E70</f>
        <v>0.33587609980848759</v>
      </c>
      <c r="I70" s="60"/>
      <c r="J70" s="142">
        <v>1</v>
      </c>
      <c r="K70" s="20">
        <f t="shared" si="72"/>
        <v>0</v>
      </c>
      <c r="L70" s="20"/>
      <c r="M70" s="20"/>
      <c r="N70" s="82"/>
      <c r="O70" s="146"/>
      <c r="P70" s="101">
        <v>0.7</v>
      </c>
      <c r="Q70" s="20">
        <f t="shared" si="73"/>
        <v>0</v>
      </c>
      <c r="R70" s="20"/>
      <c r="S70" s="20"/>
      <c r="T70" s="82"/>
      <c r="U70" s="63"/>
      <c r="V70" s="101">
        <v>1</v>
      </c>
      <c r="W70" s="20">
        <f t="shared" si="74"/>
        <v>0</v>
      </c>
      <c r="X70" s="20"/>
      <c r="Y70" s="20"/>
      <c r="Z70" s="20"/>
      <c r="AA70" s="103">
        <f t="shared" si="57"/>
        <v>115807.5</v>
      </c>
      <c r="AB70" s="20">
        <f t="shared" si="58"/>
        <v>81065.25</v>
      </c>
      <c r="AC70" s="113">
        <f t="shared" si="58"/>
        <v>27227.88</v>
      </c>
      <c r="AD70" s="20">
        <f t="shared" si="59"/>
        <v>53837.369999999995</v>
      </c>
      <c r="AE70" s="95">
        <f t="shared" si="75"/>
        <v>0.33587609980848759</v>
      </c>
      <c r="AF70" s="14"/>
    </row>
    <row r="71" spans="1:32" ht="16.5" thickBot="1" x14ac:dyDescent="0.3">
      <c r="A71" s="14" t="s">
        <v>191</v>
      </c>
      <c r="B71" s="14"/>
      <c r="C71" s="49">
        <f>17583*1.5</f>
        <v>26374.5</v>
      </c>
      <c r="D71" s="101">
        <v>0.7</v>
      </c>
      <c r="E71" s="20">
        <f t="shared" si="71"/>
        <v>18462.149999999998</v>
      </c>
      <c r="F71" s="102"/>
      <c r="G71" s="20"/>
      <c r="H71" s="82"/>
      <c r="I71" s="60"/>
      <c r="J71" s="142">
        <v>1</v>
      </c>
      <c r="K71" s="20">
        <f t="shared" si="72"/>
        <v>0</v>
      </c>
      <c r="L71" s="20"/>
      <c r="M71" s="20"/>
      <c r="N71" s="82"/>
      <c r="O71" s="146"/>
      <c r="P71" s="101">
        <v>0.7</v>
      </c>
      <c r="Q71" s="20">
        <f t="shared" si="73"/>
        <v>0</v>
      </c>
      <c r="R71" s="20"/>
      <c r="S71" s="20"/>
      <c r="T71" s="82"/>
      <c r="U71" s="63"/>
      <c r="V71" s="101">
        <v>1</v>
      </c>
      <c r="W71" s="20">
        <f t="shared" si="74"/>
        <v>0</v>
      </c>
      <c r="X71" s="20"/>
      <c r="Y71" s="20"/>
      <c r="Z71" s="20"/>
      <c r="AA71" s="103">
        <f t="shared" si="57"/>
        <v>26374.5</v>
      </c>
      <c r="AB71" s="20">
        <f t="shared" si="58"/>
        <v>18462.149999999998</v>
      </c>
      <c r="AC71" s="113">
        <f t="shared" si="58"/>
        <v>0</v>
      </c>
      <c r="AD71" s="20">
        <f t="shared" si="59"/>
        <v>18462.149999999998</v>
      </c>
      <c r="AE71" s="95">
        <f t="shared" si="75"/>
        <v>0</v>
      </c>
      <c r="AF71" s="14"/>
    </row>
    <row r="72" spans="1:32" ht="48" thickBot="1" x14ac:dyDescent="0.3">
      <c r="A72" s="14" t="s">
        <v>195</v>
      </c>
      <c r="B72" s="14"/>
      <c r="C72" s="49">
        <f>(77205*0.4)*1.5</f>
        <v>46323</v>
      </c>
      <c r="D72" s="101">
        <v>0.7</v>
      </c>
      <c r="E72" s="20">
        <f t="shared" si="71"/>
        <v>32426.1</v>
      </c>
      <c r="F72" s="102">
        <v>27227.88</v>
      </c>
      <c r="G72" s="20">
        <f>E72-F72</f>
        <v>5198.2199999999975</v>
      </c>
      <c r="H72" s="82">
        <f>F72/E72</f>
        <v>0.83969024952121907</v>
      </c>
      <c r="I72" s="60"/>
      <c r="J72" s="142">
        <v>1</v>
      </c>
      <c r="K72" s="20">
        <f t="shared" si="72"/>
        <v>0</v>
      </c>
      <c r="L72" s="20"/>
      <c r="M72" s="20"/>
      <c r="N72" s="82"/>
      <c r="O72" s="146"/>
      <c r="P72" s="101">
        <v>0.7</v>
      </c>
      <c r="Q72" s="20">
        <f t="shared" si="73"/>
        <v>0</v>
      </c>
      <c r="R72" s="20"/>
      <c r="S72" s="20"/>
      <c r="T72" s="82"/>
      <c r="U72" s="63"/>
      <c r="V72" s="101">
        <v>1</v>
      </c>
      <c r="W72" s="20">
        <f t="shared" si="74"/>
        <v>0</v>
      </c>
      <c r="X72" s="20"/>
      <c r="Y72" s="20"/>
      <c r="Z72" s="20"/>
      <c r="AA72" s="103">
        <f t="shared" si="57"/>
        <v>46323</v>
      </c>
      <c r="AB72" s="20">
        <f t="shared" si="58"/>
        <v>32426.1</v>
      </c>
      <c r="AC72" s="113">
        <f t="shared" si="58"/>
        <v>27227.88</v>
      </c>
      <c r="AD72" s="20">
        <f t="shared" si="59"/>
        <v>5198.2199999999975</v>
      </c>
      <c r="AE72" s="95">
        <f t="shared" si="75"/>
        <v>0.83969024952121907</v>
      </c>
      <c r="AF72" s="14"/>
    </row>
    <row r="73" spans="1:32" ht="48" thickBot="1" x14ac:dyDescent="0.3">
      <c r="A73" s="14" t="s">
        <v>101</v>
      </c>
      <c r="B73" s="14"/>
      <c r="C73" s="49">
        <v>11521.05</v>
      </c>
      <c r="D73" s="101">
        <v>0.7</v>
      </c>
      <c r="E73" s="20">
        <f t="shared" si="71"/>
        <v>8064.7349999999988</v>
      </c>
      <c r="F73" s="102">
        <v>9980.67</v>
      </c>
      <c r="G73" s="20">
        <f>E73-F73</f>
        <v>-1915.9350000000013</v>
      </c>
      <c r="H73" s="82">
        <f>F73/E73</f>
        <v>1.2375694923639775</v>
      </c>
      <c r="I73" s="60"/>
      <c r="J73" s="142">
        <v>1</v>
      </c>
      <c r="K73" s="20">
        <f t="shared" si="72"/>
        <v>0</v>
      </c>
      <c r="L73" s="20"/>
      <c r="M73" s="20"/>
      <c r="N73" s="82"/>
      <c r="O73" s="146"/>
      <c r="P73" s="101">
        <v>0.7</v>
      </c>
      <c r="Q73" s="20">
        <f t="shared" si="73"/>
        <v>0</v>
      </c>
      <c r="R73" s="20"/>
      <c r="S73" s="20"/>
      <c r="T73" s="82"/>
      <c r="U73" s="63"/>
      <c r="V73" s="101">
        <v>1</v>
      </c>
      <c r="W73" s="20">
        <f t="shared" si="74"/>
        <v>0</v>
      </c>
      <c r="X73" s="20"/>
      <c r="Y73" s="20"/>
      <c r="Z73" s="20"/>
      <c r="AA73" s="103">
        <f t="shared" si="57"/>
        <v>11521.05</v>
      </c>
      <c r="AB73" s="20">
        <f t="shared" si="58"/>
        <v>8064.7349999999988</v>
      </c>
      <c r="AC73" s="113">
        <f t="shared" si="58"/>
        <v>9980.67</v>
      </c>
      <c r="AD73" s="20">
        <f t="shared" si="59"/>
        <v>-1915.9350000000013</v>
      </c>
      <c r="AE73" s="95">
        <f t="shared" si="75"/>
        <v>1.2375694923639775</v>
      </c>
      <c r="AF73" s="14"/>
    </row>
    <row r="74" spans="1:32" ht="48" thickBot="1" x14ac:dyDescent="0.3">
      <c r="A74" s="14" t="s">
        <v>196</v>
      </c>
      <c r="B74" s="14"/>
      <c r="C74" s="49">
        <f>46000*0.5</f>
        <v>23000</v>
      </c>
      <c r="D74" s="101">
        <v>0.7</v>
      </c>
      <c r="E74" s="20">
        <f t="shared" si="71"/>
        <v>16099.999999999998</v>
      </c>
      <c r="F74" s="102">
        <v>1384.16</v>
      </c>
      <c r="G74" s="20">
        <f>E74-F74</f>
        <v>14715.839999999998</v>
      </c>
      <c r="H74" s="82">
        <f>F74/E74</f>
        <v>8.5972670807453425E-2</v>
      </c>
      <c r="I74" s="60"/>
      <c r="J74" s="142">
        <v>1</v>
      </c>
      <c r="K74" s="20">
        <f t="shared" si="72"/>
        <v>0</v>
      </c>
      <c r="L74" s="20"/>
      <c r="M74" s="20"/>
      <c r="N74" s="82"/>
      <c r="O74" s="146"/>
      <c r="P74" s="101">
        <v>0.7</v>
      </c>
      <c r="Q74" s="20">
        <f t="shared" si="73"/>
        <v>0</v>
      </c>
      <c r="R74" s="20"/>
      <c r="S74" s="20"/>
      <c r="T74" s="82"/>
      <c r="U74" s="63"/>
      <c r="V74" s="101">
        <v>1</v>
      </c>
      <c r="W74" s="20">
        <f t="shared" si="74"/>
        <v>0</v>
      </c>
      <c r="X74" s="20"/>
      <c r="Y74" s="20"/>
      <c r="Z74" s="20"/>
      <c r="AA74" s="103">
        <f t="shared" si="57"/>
        <v>23000</v>
      </c>
      <c r="AB74" s="20">
        <f t="shared" si="58"/>
        <v>16099.999999999998</v>
      </c>
      <c r="AC74" s="113">
        <f t="shared" si="58"/>
        <v>1384.16</v>
      </c>
      <c r="AD74" s="20">
        <f t="shared" si="59"/>
        <v>14715.839999999998</v>
      </c>
      <c r="AE74" s="95">
        <f t="shared" si="75"/>
        <v>8.5972670807453425E-2</v>
      </c>
      <c r="AF74" s="14"/>
    </row>
    <row r="75" spans="1:32" s="76" customFormat="1" ht="32.25" thickBot="1" x14ac:dyDescent="0.3">
      <c r="A75" s="75" t="s">
        <v>102</v>
      </c>
      <c r="B75" s="75"/>
      <c r="C75" s="49"/>
      <c r="D75" s="101">
        <v>0.7</v>
      </c>
      <c r="E75" s="78">
        <f t="shared" si="71"/>
        <v>0</v>
      </c>
      <c r="F75" s="78"/>
      <c r="G75" s="78"/>
      <c r="H75" s="81"/>
      <c r="I75" s="60">
        <f>(59450*0.5)*1.5</f>
        <v>44587.5</v>
      </c>
      <c r="J75" s="142">
        <v>1</v>
      </c>
      <c r="K75" s="78">
        <f t="shared" si="72"/>
        <v>44587.5</v>
      </c>
      <c r="L75" s="78">
        <v>45820.97</v>
      </c>
      <c r="M75" s="78">
        <f>K75-L75</f>
        <v>-1233.4700000000012</v>
      </c>
      <c r="N75" s="81">
        <f>L75/K75</f>
        <v>1.0276640313989347</v>
      </c>
      <c r="O75" s="146"/>
      <c r="P75" s="101">
        <v>0.7</v>
      </c>
      <c r="Q75" s="78">
        <f t="shared" si="73"/>
        <v>0</v>
      </c>
      <c r="R75" s="78"/>
      <c r="S75" s="78"/>
      <c r="T75" s="81"/>
      <c r="U75" s="63"/>
      <c r="V75" s="101">
        <v>1</v>
      </c>
      <c r="W75" s="78">
        <f t="shared" si="74"/>
        <v>0</v>
      </c>
      <c r="X75" s="78"/>
      <c r="Y75" s="78"/>
      <c r="Z75" s="78"/>
      <c r="AA75" s="103">
        <f t="shared" si="57"/>
        <v>44587.5</v>
      </c>
      <c r="AB75" s="78">
        <f t="shared" si="58"/>
        <v>44587.5</v>
      </c>
      <c r="AC75" s="114">
        <f t="shared" si="58"/>
        <v>45820.97</v>
      </c>
      <c r="AD75" s="78">
        <f t="shared" si="59"/>
        <v>-1233.4700000000012</v>
      </c>
      <c r="AE75" s="115">
        <f t="shared" si="75"/>
        <v>1.0276640313989347</v>
      </c>
      <c r="AF75" s="75"/>
    </row>
    <row r="76" spans="1:32" ht="32.25" thickBot="1" x14ac:dyDescent="0.3">
      <c r="A76" s="14" t="s">
        <v>103</v>
      </c>
      <c r="B76" s="14"/>
      <c r="C76" s="49"/>
      <c r="D76" s="101">
        <v>0.7</v>
      </c>
      <c r="E76" s="20">
        <f t="shared" si="71"/>
        <v>0</v>
      </c>
      <c r="F76" s="102"/>
      <c r="G76" s="20"/>
      <c r="H76" s="20"/>
      <c r="I76" s="60"/>
      <c r="J76" s="142">
        <v>1</v>
      </c>
      <c r="K76" s="20">
        <f t="shared" si="72"/>
        <v>0</v>
      </c>
      <c r="L76" s="20"/>
      <c r="M76" s="20"/>
      <c r="N76" s="82"/>
      <c r="O76" s="146">
        <f>77205*0.75</f>
        <v>57903.75</v>
      </c>
      <c r="P76" s="101">
        <v>0.7</v>
      </c>
      <c r="Q76" s="20">
        <f t="shared" si="73"/>
        <v>40532.625</v>
      </c>
      <c r="R76" s="20">
        <v>0</v>
      </c>
      <c r="S76" s="20">
        <f>Q76-R76</f>
        <v>40532.625</v>
      </c>
      <c r="T76" s="82">
        <f>R76/Q76</f>
        <v>0</v>
      </c>
      <c r="U76" s="63"/>
      <c r="V76" s="101">
        <v>1</v>
      </c>
      <c r="W76" s="20">
        <f t="shared" si="74"/>
        <v>0</v>
      </c>
      <c r="X76" s="20"/>
      <c r="Y76" s="20"/>
      <c r="Z76" s="20"/>
      <c r="AA76" s="103">
        <f t="shared" si="57"/>
        <v>57903.75</v>
      </c>
      <c r="AB76" s="20">
        <f t="shared" si="58"/>
        <v>40532.625</v>
      </c>
      <c r="AC76" s="113">
        <f t="shared" si="58"/>
        <v>0</v>
      </c>
      <c r="AD76" s="20">
        <f t="shared" si="59"/>
        <v>40532.625</v>
      </c>
      <c r="AE76" s="95">
        <f t="shared" si="75"/>
        <v>0</v>
      </c>
      <c r="AF76" s="14"/>
    </row>
    <row r="77" spans="1:32" ht="32.25" thickBot="1" x14ac:dyDescent="0.3">
      <c r="A77" s="14" t="s">
        <v>104</v>
      </c>
      <c r="B77" s="14"/>
      <c r="C77" s="49"/>
      <c r="D77" s="101">
        <v>0.7</v>
      </c>
      <c r="E77" s="20">
        <f t="shared" si="71"/>
        <v>0</v>
      </c>
      <c r="F77" s="102"/>
      <c r="G77" s="20"/>
      <c r="H77" s="20"/>
      <c r="I77" s="60"/>
      <c r="J77" s="142">
        <v>1</v>
      </c>
      <c r="K77" s="20">
        <f t="shared" si="72"/>
        <v>0</v>
      </c>
      <c r="L77" s="20"/>
      <c r="M77" s="20"/>
      <c r="N77" s="82"/>
      <c r="O77" s="146">
        <f>77205/4</f>
        <v>19301.25</v>
      </c>
      <c r="P77" s="101">
        <v>0.7</v>
      </c>
      <c r="Q77" s="20">
        <f t="shared" si="73"/>
        <v>13510.875</v>
      </c>
      <c r="R77" s="20">
        <v>0</v>
      </c>
      <c r="S77" s="20">
        <f t="shared" ref="S77:S78" si="76">Q77-R77</f>
        <v>13510.875</v>
      </c>
      <c r="T77" s="82">
        <f t="shared" ref="T77:T78" si="77">R77/Q77</f>
        <v>0</v>
      </c>
      <c r="U77" s="63"/>
      <c r="V77" s="101">
        <v>1</v>
      </c>
      <c r="W77" s="20">
        <f t="shared" si="74"/>
        <v>0</v>
      </c>
      <c r="X77" s="20"/>
      <c r="Y77" s="20"/>
      <c r="Z77" s="20"/>
      <c r="AA77" s="103">
        <f t="shared" si="57"/>
        <v>19301.25</v>
      </c>
      <c r="AB77" s="20">
        <f t="shared" si="58"/>
        <v>13510.875</v>
      </c>
      <c r="AC77" s="113">
        <f t="shared" si="58"/>
        <v>0</v>
      </c>
      <c r="AD77" s="20">
        <f t="shared" si="59"/>
        <v>13510.875</v>
      </c>
      <c r="AE77" s="95">
        <f t="shared" si="75"/>
        <v>0</v>
      </c>
      <c r="AF77" s="14"/>
    </row>
    <row r="78" spans="1:32" ht="32.25" thickBot="1" x14ac:dyDescent="0.3">
      <c r="A78" s="14" t="s">
        <v>105</v>
      </c>
      <c r="B78" s="14"/>
      <c r="C78" s="49"/>
      <c r="D78" s="101">
        <v>0.7</v>
      </c>
      <c r="E78" s="20">
        <f t="shared" si="71"/>
        <v>0</v>
      </c>
      <c r="F78" s="102"/>
      <c r="G78" s="20"/>
      <c r="H78" s="20"/>
      <c r="I78" s="60"/>
      <c r="J78" s="142">
        <v>1</v>
      </c>
      <c r="K78" s="20">
        <f t="shared" si="72"/>
        <v>0</v>
      </c>
      <c r="L78" s="20"/>
      <c r="M78" s="20"/>
      <c r="N78" s="82"/>
      <c r="O78" s="146">
        <f>77205/4</f>
        <v>19301.25</v>
      </c>
      <c r="P78" s="101">
        <v>0.7</v>
      </c>
      <c r="Q78" s="20">
        <f t="shared" si="73"/>
        <v>13510.875</v>
      </c>
      <c r="R78" s="20">
        <v>0</v>
      </c>
      <c r="S78" s="20">
        <f t="shared" si="76"/>
        <v>13510.875</v>
      </c>
      <c r="T78" s="82">
        <f t="shared" si="77"/>
        <v>0</v>
      </c>
      <c r="U78" s="63"/>
      <c r="V78" s="101">
        <v>1</v>
      </c>
      <c r="W78" s="20">
        <f t="shared" si="74"/>
        <v>0</v>
      </c>
      <c r="X78" s="20"/>
      <c r="Y78" s="20"/>
      <c r="Z78" s="20"/>
      <c r="AA78" s="103">
        <f t="shared" si="57"/>
        <v>19301.25</v>
      </c>
      <c r="AB78" s="20">
        <f t="shared" si="58"/>
        <v>13510.875</v>
      </c>
      <c r="AC78" s="113">
        <f t="shared" si="58"/>
        <v>0</v>
      </c>
      <c r="AD78" s="20">
        <f t="shared" si="59"/>
        <v>13510.875</v>
      </c>
      <c r="AE78" s="95">
        <f t="shared" si="75"/>
        <v>0</v>
      </c>
      <c r="AF78" s="14"/>
    </row>
    <row r="79" spans="1:32" s="76" customFormat="1" ht="48" thickBot="1" x14ac:dyDescent="0.3">
      <c r="A79" s="75" t="s">
        <v>106</v>
      </c>
      <c r="B79" s="75"/>
      <c r="C79" s="49"/>
      <c r="D79" s="101">
        <v>0.7</v>
      </c>
      <c r="E79" s="78">
        <f t="shared" si="71"/>
        <v>0</v>
      </c>
      <c r="F79" s="78"/>
      <c r="G79" s="78"/>
      <c r="H79" s="78"/>
      <c r="I79" s="60">
        <f>77205*1.5</f>
        <v>115807.5</v>
      </c>
      <c r="J79" s="142">
        <v>1</v>
      </c>
      <c r="K79" s="78">
        <f t="shared" si="72"/>
        <v>115807.5</v>
      </c>
      <c r="L79" s="78">
        <v>73384.17</v>
      </c>
      <c r="M79" s="78">
        <f>K79-L79</f>
        <v>42423.33</v>
      </c>
      <c r="N79" s="81">
        <f>L79/K79</f>
        <v>0.63367372579496151</v>
      </c>
      <c r="O79" s="146"/>
      <c r="P79" s="101">
        <v>0.7</v>
      </c>
      <c r="Q79" s="78">
        <f t="shared" si="73"/>
        <v>0</v>
      </c>
      <c r="R79" s="78"/>
      <c r="S79" s="78"/>
      <c r="T79" s="81"/>
      <c r="U79" s="63"/>
      <c r="V79" s="101">
        <v>1</v>
      </c>
      <c r="W79" s="78">
        <f t="shared" si="74"/>
        <v>0</v>
      </c>
      <c r="X79" s="78"/>
      <c r="Y79" s="78"/>
      <c r="Z79" s="78"/>
      <c r="AA79" s="103">
        <f t="shared" si="57"/>
        <v>115807.5</v>
      </c>
      <c r="AB79" s="78">
        <f t="shared" si="58"/>
        <v>115807.5</v>
      </c>
      <c r="AC79" s="114">
        <f t="shared" si="58"/>
        <v>73384.17</v>
      </c>
      <c r="AD79" s="78">
        <f t="shared" si="59"/>
        <v>42423.33</v>
      </c>
      <c r="AE79" s="115">
        <f t="shared" si="75"/>
        <v>0.63367372579496151</v>
      </c>
      <c r="AF79" s="75"/>
    </row>
    <row r="80" spans="1:32" ht="32.25" thickBot="1" x14ac:dyDescent="0.3">
      <c r="A80" s="28" t="s">
        <v>42</v>
      </c>
      <c r="B80" s="116"/>
      <c r="C80" s="50">
        <f>SUM(C81:C89)</f>
        <v>129300</v>
      </c>
      <c r="D80" s="97">
        <v>0.7</v>
      </c>
      <c r="E80" s="29">
        <f>SUM(E81:E89)</f>
        <v>90510</v>
      </c>
      <c r="F80" s="29">
        <f>SUM(F81:F89)</f>
        <v>21042.480000000003</v>
      </c>
      <c r="G80" s="29">
        <f>SUM(G81:G89)</f>
        <v>69467.51999999999</v>
      </c>
      <c r="H80" s="79">
        <f>F80/E80</f>
        <v>0.23248790188929402</v>
      </c>
      <c r="I80" s="61">
        <f t="shared" ref="I80:O80" si="78">SUM(I81:I89)</f>
        <v>4700</v>
      </c>
      <c r="J80" s="141">
        <v>1</v>
      </c>
      <c r="K80" s="29">
        <f>SUM(K81:K89)</f>
        <v>4700</v>
      </c>
      <c r="L80" s="29">
        <f t="shared" ref="L80:M80" si="79">SUM(L81:L89)</f>
        <v>19719.689999999999</v>
      </c>
      <c r="M80" s="29">
        <f t="shared" si="79"/>
        <v>-15019.689999999999</v>
      </c>
      <c r="N80" s="79">
        <f>L80/K80</f>
        <v>4.1956787234042547</v>
      </c>
      <c r="O80" s="145">
        <f t="shared" si="78"/>
        <v>5700</v>
      </c>
      <c r="P80" s="97">
        <v>0.7</v>
      </c>
      <c r="Q80" s="29">
        <f>SUM(Q81:Q89)</f>
        <v>3990</v>
      </c>
      <c r="R80" s="29">
        <f t="shared" ref="R80:S80" si="80">SUM(R81:R89)</f>
        <v>0</v>
      </c>
      <c r="S80" s="29">
        <f t="shared" si="80"/>
        <v>3990</v>
      </c>
      <c r="T80" s="79">
        <f>R80/Q80</f>
        <v>0</v>
      </c>
      <c r="U80" s="64"/>
      <c r="V80" s="97">
        <v>1</v>
      </c>
      <c r="W80" s="29">
        <f>SUM(W81:W89)</f>
        <v>0</v>
      </c>
      <c r="X80" s="29"/>
      <c r="Y80" s="29"/>
      <c r="Z80" s="20"/>
      <c r="AA80" s="103">
        <f t="shared" si="57"/>
        <v>139700</v>
      </c>
      <c r="AB80" s="20">
        <f t="shared" si="58"/>
        <v>99200</v>
      </c>
      <c r="AC80" s="113">
        <f t="shared" si="58"/>
        <v>40762.17</v>
      </c>
      <c r="AD80" s="20">
        <f t="shared" si="59"/>
        <v>58437.83</v>
      </c>
      <c r="AE80" s="95">
        <f t="shared" si="75"/>
        <v>0.41090897177419355</v>
      </c>
      <c r="AF80" s="42"/>
    </row>
    <row r="81" spans="1:32" ht="16.5" thickBot="1" x14ac:dyDescent="0.3">
      <c r="A81" s="14" t="s">
        <v>91</v>
      </c>
      <c r="B81" s="42"/>
      <c r="C81" s="49">
        <v>80000</v>
      </c>
      <c r="D81" s="101">
        <v>0.7</v>
      </c>
      <c r="E81" s="20">
        <f t="shared" si="71"/>
        <v>56000</v>
      </c>
      <c r="F81" s="102">
        <v>20365.400000000001</v>
      </c>
      <c r="G81" s="20">
        <f>E81-F81</f>
        <v>35634.6</v>
      </c>
      <c r="H81" s="82">
        <f>F81/E81</f>
        <v>0.36366785714285715</v>
      </c>
      <c r="I81" s="60"/>
      <c r="J81" s="142">
        <v>1</v>
      </c>
      <c r="K81" s="20">
        <f t="shared" ref="K81:K90" si="81">I81*J81</f>
        <v>0</v>
      </c>
      <c r="L81" s="20"/>
      <c r="M81" s="20"/>
      <c r="N81" s="82"/>
      <c r="O81" s="146"/>
      <c r="P81" s="101">
        <v>0.7</v>
      </c>
      <c r="Q81" s="20">
        <f t="shared" ref="Q81:Q90" si="82">O81*P81</f>
        <v>0</v>
      </c>
      <c r="R81" s="20"/>
      <c r="S81" s="20"/>
      <c r="T81" s="82"/>
      <c r="U81" s="63"/>
      <c r="V81" s="101">
        <v>1</v>
      </c>
      <c r="W81" s="20">
        <f t="shared" ref="W81:W90" si="83">U81*V81</f>
        <v>0</v>
      </c>
      <c r="X81" s="20"/>
      <c r="Y81" s="20"/>
      <c r="Z81" s="20"/>
      <c r="AA81" s="103">
        <f t="shared" si="57"/>
        <v>80000</v>
      </c>
      <c r="AB81" s="20">
        <f t="shared" si="58"/>
        <v>56000</v>
      </c>
      <c r="AC81" s="113">
        <f t="shared" si="58"/>
        <v>20365.400000000001</v>
      </c>
      <c r="AD81" s="20">
        <f t="shared" si="59"/>
        <v>35634.6</v>
      </c>
      <c r="AE81" s="95">
        <f t="shared" si="75"/>
        <v>0.36366785714285715</v>
      </c>
      <c r="AF81" s="42"/>
    </row>
    <row r="82" spans="1:32" s="76" customFormat="1" ht="30.75" thickBot="1" x14ac:dyDescent="0.3">
      <c r="A82" s="117" t="s">
        <v>94</v>
      </c>
      <c r="B82" s="77"/>
      <c r="C82" s="49">
        <v>8000</v>
      </c>
      <c r="D82" s="101">
        <v>0.7</v>
      </c>
      <c r="E82" s="78">
        <f t="shared" si="71"/>
        <v>5600</v>
      </c>
      <c r="F82" s="78">
        <v>0</v>
      </c>
      <c r="G82" s="20">
        <f t="shared" ref="G82:G89" si="84">E82-F82</f>
        <v>5600</v>
      </c>
      <c r="H82" s="82">
        <f t="shared" ref="H82:H89" si="85">F82/E82</f>
        <v>0</v>
      </c>
      <c r="I82" s="60">
        <v>2000</v>
      </c>
      <c r="J82" s="142">
        <v>1</v>
      </c>
      <c r="K82" s="78">
        <f t="shared" si="81"/>
        <v>2000</v>
      </c>
      <c r="L82" s="78">
        <v>111.12</v>
      </c>
      <c r="M82" s="78">
        <f>K82-L82</f>
        <v>1888.88</v>
      </c>
      <c r="N82" s="81">
        <f>L82/K82</f>
        <v>5.5560000000000005E-2</v>
      </c>
      <c r="O82" s="146">
        <v>3000</v>
      </c>
      <c r="P82" s="101">
        <v>0.7</v>
      </c>
      <c r="Q82" s="78">
        <f t="shared" si="82"/>
        <v>2100</v>
      </c>
      <c r="R82" s="78">
        <v>0</v>
      </c>
      <c r="S82" s="78">
        <f>Q82-R82</f>
        <v>2100</v>
      </c>
      <c r="T82" s="81">
        <f>R82/Q82</f>
        <v>0</v>
      </c>
      <c r="U82" s="63"/>
      <c r="V82" s="101">
        <v>1</v>
      </c>
      <c r="W82" s="78">
        <f t="shared" si="83"/>
        <v>0</v>
      </c>
      <c r="X82" s="78"/>
      <c r="Y82" s="78"/>
      <c r="Z82" s="78"/>
      <c r="AA82" s="103">
        <f t="shared" si="57"/>
        <v>13000</v>
      </c>
      <c r="AB82" s="78">
        <f t="shared" si="58"/>
        <v>9700</v>
      </c>
      <c r="AC82" s="114">
        <f t="shared" si="58"/>
        <v>111.12</v>
      </c>
      <c r="AD82" s="78">
        <f t="shared" si="59"/>
        <v>9588.8799999999992</v>
      </c>
      <c r="AE82" s="115">
        <f t="shared" si="75"/>
        <v>1.1455670103092784E-2</v>
      </c>
      <c r="AF82" s="77"/>
    </row>
    <row r="83" spans="1:32" ht="30.75" thickBot="1" x14ac:dyDescent="0.3">
      <c r="A83" s="118" t="s">
        <v>95</v>
      </c>
      <c r="B83" s="42"/>
      <c r="C83" s="49">
        <v>600</v>
      </c>
      <c r="D83" s="101">
        <v>0.7</v>
      </c>
      <c r="E83" s="20">
        <f t="shared" si="71"/>
        <v>420</v>
      </c>
      <c r="F83" s="102">
        <v>0</v>
      </c>
      <c r="G83" s="20">
        <f t="shared" si="84"/>
        <v>420</v>
      </c>
      <c r="H83" s="82">
        <f t="shared" si="85"/>
        <v>0</v>
      </c>
      <c r="I83" s="60"/>
      <c r="J83" s="142">
        <v>1</v>
      </c>
      <c r="K83" s="20">
        <f t="shared" si="81"/>
        <v>0</v>
      </c>
      <c r="L83" s="20"/>
      <c r="M83" s="20"/>
      <c r="N83" s="82"/>
      <c r="O83" s="146"/>
      <c r="P83" s="101">
        <v>0.7</v>
      </c>
      <c r="Q83" s="20">
        <f t="shared" si="82"/>
        <v>0</v>
      </c>
      <c r="R83" s="20"/>
      <c r="S83" s="20"/>
      <c r="T83" s="82"/>
      <c r="U83" s="63"/>
      <c r="V83" s="101">
        <v>1</v>
      </c>
      <c r="W83" s="20">
        <f t="shared" si="83"/>
        <v>0</v>
      </c>
      <c r="X83" s="20"/>
      <c r="Y83" s="20"/>
      <c r="Z83" s="20"/>
      <c r="AA83" s="103">
        <f t="shared" si="57"/>
        <v>600</v>
      </c>
      <c r="AB83" s="20">
        <f t="shared" si="58"/>
        <v>420</v>
      </c>
      <c r="AC83" s="113">
        <f t="shared" si="58"/>
        <v>0</v>
      </c>
      <c r="AD83" s="20">
        <f t="shared" si="59"/>
        <v>420</v>
      </c>
      <c r="AE83" s="95">
        <f t="shared" si="75"/>
        <v>0</v>
      </c>
      <c r="AF83" s="42"/>
    </row>
    <row r="84" spans="1:32" ht="30.75" thickBot="1" x14ac:dyDescent="0.3">
      <c r="A84" s="118" t="s">
        <v>96</v>
      </c>
      <c r="B84" s="42"/>
      <c r="C84" s="49">
        <v>1000</v>
      </c>
      <c r="D84" s="101">
        <v>0.7</v>
      </c>
      <c r="E84" s="20">
        <f t="shared" si="71"/>
        <v>700</v>
      </c>
      <c r="F84" s="102">
        <v>0</v>
      </c>
      <c r="G84" s="20">
        <f t="shared" si="84"/>
        <v>700</v>
      </c>
      <c r="H84" s="82">
        <f t="shared" si="85"/>
        <v>0</v>
      </c>
      <c r="I84" s="60"/>
      <c r="J84" s="142">
        <v>1</v>
      </c>
      <c r="K84" s="20">
        <f t="shared" si="81"/>
        <v>0</v>
      </c>
      <c r="L84" s="20"/>
      <c r="M84" s="20"/>
      <c r="N84" s="82"/>
      <c r="O84" s="146"/>
      <c r="P84" s="101">
        <v>0.7</v>
      </c>
      <c r="Q84" s="20">
        <f t="shared" si="82"/>
        <v>0</v>
      </c>
      <c r="R84" s="20"/>
      <c r="S84" s="20"/>
      <c r="T84" s="82"/>
      <c r="U84" s="63"/>
      <c r="V84" s="101">
        <v>1</v>
      </c>
      <c r="W84" s="20">
        <f t="shared" si="83"/>
        <v>0</v>
      </c>
      <c r="X84" s="20"/>
      <c r="Y84" s="20"/>
      <c r="Z84" s="20"/>
      <c r="AA84" s="103">
        <f t="shared" si="57"/>
        <v>1000</v>
      </c>
      <c r="AB84" s="20">
        <f t="shared" si="58"/>
        <v>700</v>
      </c>
      <c r="AC84" s="113">
        <f t="shared" si="58"/>
        <v>0</v>
      </c>
      <c r="AD84" s="20">
        <f t="shared" si="59"/>
        <v>700</v>
      </c>
      <c r="AE84" s="95">
        <f t="shared" si="75"/>
        <v>0</v>
      </c>
      <c r="AF84" s="42"/>
    </row>
    <row r="85" spans="1:32" ht="60.75" thickBot="1" x14ac:dyDescent="0.3">
      <c r="A85" s="118" t="s">
        <v>125</v>
      </c>
      <c r="B85" s="42"/>
      <c r="C85" s="49">
        <v>4500</v>
      </c>
      <c r="D85" s="101">
        <v>0.7</v>
      </c>
      <c r="E85" s="20">
        <f t="shared" si="71"/>
        <v>3150</v>
      </c>
      <c r="F85" s="102">
        <v>469</v>
      </c>
      <c r="G85" s="20">
        <f t="shared" si="84"/>
        <v>2681</v>
      </c>
      <c r="H85" s="82">
        <f t="shared" si="85"/>
        <v>0.14888888888888888</v>
      </c>
      <c r="I85" s="60"/>
      <c r="J85" s="142">
        <v>1</v>
      </c>
      <c r="K85" s="20">
        <f t="shared" si="81"/>
        <v>0</v>
      </c>
      <c r="L85" s="20"/>
      <c r="M85" s="20"/>
      <c r="N85" s="82"/>
      <c r="O85" s="146"/>
      <c r="P85" s="101">
        <v>0.7</v>
      </c>
      <c r="Q85" s="20">
        <f t="shared" si="82"/>
        <v>0</v>
      </c>
      <c r="R85" s="20"/>
      <c r="S85" s="20"/>
      <c r="T85" s="82"/>
      <c r="U85" s="63"/>
      <c r="V85" s="101">
        <v>1</v>
      </c>
      <c r="W85" s="20">
        <f t="shared" si="83"/>
        <v>0</v>
      </c>
      <c r="X85" s="20"/>
      <c r="Y85" s="20"/>
      <c r="Z85" s="20"/>
      <c r="AA85" s="103">
        <f t="shared" si="57"/>
        <v>4500</v>
      </c>
      <c r="AB85" s="20">
        <f t="shared" si="58"/>
        <v>3150</v>
      </c>
      <c r="AC85" s="113">
        <f t="shared" si="58"/>
        <v>469</v>
      </c>
      <c r="AD85" s="20">
        <f t="shared" si="59"/>
        <v>2681</v>
      </c>
      <c r="AE85" s="95">
        <f t="shared" si="75"/>
        <v>0.14888888888888888</v>
      </c>
      <c r="AF85" s="42"/>
    </row>
    <row r="86" spans="1:32" ht="30.75" thickBot="1" x14ac:dyDescent="0.3">
      <c r="A86" s="118" t="s">
        <v>99</v>
      </c>
      <c r="B86" s="42"/>
      <c r="C86" s="49">
        <v>10000</v>
      </c>
      <c r="D86" s="101">
        <v>0.7</v>
      </c>
      <c r="E86" s="20">
        <f t="shared" si="71"/>
        <v>7000</v>
      </c>
      <c r="F86" s="102">
        <v>0</v>
      </c>
      <c r="G86" s="20">
        <f t="shared" si="84"/>
        <v>7000</v>
      </c>
      <c r="H86" s="82">
        <f t="shared" si="85"/>
        <v>0</v>
      </c>
      <c r="I86" s="60"/>
      <c r="J86" s="142">
        <v>1</v>
      </c>
      <c r="K86" s="20">
        <f t="shared" si="81"/>
        <v>0</v>
      </c>
      <c r="L86" s="20"/>
      <c r="M86" s="20"/>
      <c r="N86" s="82"/>
      <c r="O86" s="146"/>
      <c r="P86" s="101">
        <v>0.7</v>
      </c>
      <c r="Q86" s="20">
        <f t="shared" si="82"/>
        <v>0</v>
      </c>
      <c r="R86" s="20"/>
      <c r="S86" s="20"/>
      <c r="T86" s="82"/>
      <c r="U86" s="63"/>
      <c r="V86" s="101">
        <v>1</v>
      </c>
      <c r="W86" s="20">
        <f t="shared" si="83"/>
        <v>0</v>
      </c>
      <c r="X86" s="20"/>
      <c r="Y86" s="20"/>
      <c r="Z86" s="20"/>
      <c r="AA86" s="103">
        <f t="shared" si="57"/>
        <v>10000</v>
      </c>
      <c r="AB86" s="20">
        <f t="shared" si="58"/>
        <v>7000</v>
      </c>
      <c r="AC86" s="113">
        <f t="shared" si="58"/>
        <v>0</v>
      </c>
      <c r="AD86" s="20">
        <f t="shared" si="59"/>
        <v>7000</v>
      </c>
      <c r="AE86" s="95">
        <f t="shared" si="75"/>
        <v>0</v>
      </c>
      <c r="AF86" s="42"/>
    </row>
    <row r="87" spans="1:32" ht="30.75" thickBot="1" x14ac:dyDescent="0.3">
      <c r="A87" s="118" t="s">
        <v>98</v>
      </c>
      <c r="B87" s="42"/>
      <c r="C87" s="49">
        <f>18*400</f>
        <v>7200</v>
      </c>
      <c r="D87" s="101">
        <v>0.7</v>
      </c>
      <c r="E87" s="20">
        <f t="shared" si="71"/>
        <v>5040</v>
      </c>
      <c r="F87" s="102">
        <v>208.08</v>
      </c>
      <c r="G87" s="20">
        <f t="shared" si="84"/>
        <v>4831.92</v>
      </c>
      <c r="H87" s="82">
        <f t="shared" si="85"/>
        <v>4.1285714285714287E-2</v>
      </c>
      <c r="I87" s="60"/>
      <c r="J87" s="142">
        <v>1</v>
      </c>
      <c r="K87" s="20">
        <f t="shared" si="81"/>
        <v>0</v>
      </c>
      <c r="L87" s="20"/>
      <c r="M87" s="20"/>
      <c r="N87" s="82"/>
      <c r="O87" s="146"/>
      <c r="P87" s="101">
        <v>0.7</v>
      </c>
      <c r="Q87" s="20">
        <f t="shared" si="82"/>
        <v>0</v>
      </c>
      <c r="R87" s="20"/>
      <c r="S87" s="20"/>
      <c r="T87" s="82"/>
      <c r="U87" s="63"/>
      <c r="V87" s="101">
        <v>1</v>
      </c>
      <c r="W87" s="20">
        <f t="shared" si="83"/>
        <v>0</v>
      </c>
      <c r="X87" s="20"/>
      <c r="Y87" s="20"/>
      <c r="Z87" s="20"/>
      <c r="AA87" s="103">
        <f t="shared" si="57"/>
        <v>7200</v>
      </c>
      <c r="AB87" s="20">
        <f t="shared" si="58"/>
        <v>5040</v>
      </c>
      <c r="AC87" s="113">
        <f t="shared" si="58"/>
        <v>208.08</v>
      </c>
      <c r="AD87" s="20">
        <f t="shared" si="59"/>
        <v>4831.92</v>
      </c>
      <c r="AE87" s="95">
        <f t="shared" si="75"/>
        <v>4.1285714285714287E-2</v>
      </c>
      <c r="AF87" s="42"/>
    </row>
    <row r="88" spans="1:32" ht="60.75" thickBot="1" x14ac:dyDescent="0.3">
      <c r="A88" s="118" t="s">
        <v>100</v>
      </c>
      <c r="B88" s="42"/>
      <c r="C88" s="49">
        <f>500*18</f>
        <v>9000</v>
      </c>
      <c r="D88" s="101">
        <v>0.7</v>
      </c>
      <c r="E88" s="20">
        <f t="shared" si="71"/>
        <v>6300</v>
      </c>
      <c r="F88" s="102">
        <v>0</v>
      </c>
      <c r="G88" s="20">
        <f t="shared" si="84"/>
        <v>6300</v>
      </c>
      <c r="H88" s="82">
        <f t="shared" si="85"/>
        <v>0</v>
      </c>
      <c r="I88" s="60"/>
      <c r="J88" s="142">
        <v>1</v>
      </c>
      <c r="K88" s="20">
        <f t="shared" si="81"/>
        <v>0</v>
      </c>
      <c r="L88" s="20"/>
      <c r="M88" s="20"/>
      <c r="N88" s="82"/>
      <c r="O88" s="146"/>
      <c r="P88" s="101">
        <v>0.7</v>
      </c>
      <c r="Q88" s="20">
        <f t="shared" si="82"/>
        <v>0</v>
      </c>
      <c r="R88" s="20"/>
      <c r="S88" s="20"/>
      <c r="T88" s="82"/>
      <c r="U88" s="63"/>
      <c r="V88" s="101">
        <v>1</v>
      </c>
      <c r="W88" s="20">
        <f t="shared" si="83"/>
        <v>0</v>
      </c>
      <c r="X88" s="20"/>
      <c r="Y88" s="20"/>
      <c r="Z88" s="20"/>
      <c r="AA88" s="103">
        <f t="shared" si="57"/>
        <v>9000</v>
      </c>
      <c r="AB88" s="20">
        <f t="shared" si="58"/>
        <v>6300</v>
      </c>
      <c r="AC88" s="113">
        <f t="shared" si="58"/>
        <v>0</v>
      </c>
      <c r="AD88" s="20">
        <f t="shared" si="59"/>
        <v>6300</v>
      </c>
      <c r="AE88" s="95">
        <f t="shared" si="75"/>
        <v>0</v>
      </c>
      <c r="AF88" s="42"/>
    </row>
    <row r="89" spans="1:32" s="73" customFormat="1" ht="16.5" thickBot="1" x14ac:dyDescent="0.3">
      <c r="A89" s="119" t="s">
        <v>97</v>
      </c>
      <c r="B89" s="71"/>
      <c r="C89" s="84">
        <f>500*18</f>
        <v>9000</v>
      </c>
      <c r="D89" s="120">
        <v>0.7</v>
      </c>
      <c r="E89" s="72">
        <f t="shared" si="71"/>
        <v>6300</v>
      </c>
      <c r="F89" s="72">
        <v>0</v>
      </c>
      <c r="G89" s="20">
        <f t="shared" si="84"/>
        <v>6300</v>
      </c>
      <c r="H89" s="82">
        <f t="shared" si="85"/>
        <v>0</v>
      </c>
      <c r="I89" s="83">
        <f>150*18</f>
        <v>2700</v>
      </c>
      <c r="J89" s="142">
        <v>1</v>
      </c>
      <c r="K89" s="72">
        <f t="shared" si="81"/>
        <v>2700</v>
      </c>
      <c r="L89" s="72">
        <f>17747.47+1861.1</f>
        <v>19608.57</v>
      </c>
      <c r="M89" s="72">
        <f>K89-L89</f>
        <v>-16908.57</v>
      </c>
      <c r="N89" s="86">
        <f>L89/K89</f>
        <v>7.2624333333333331</v>
      </c>
      <c r="O89" s="148">
        <f>150*18</f>
        <v>2700</v>
      </c>
      <c r="P89" s="120">
        <v>0.7</v>
      </c>
      <c r="Q89" s="72">
        <f t="shared" si="82"/>
        <v>1889.9999999999998</v>
      </c>
      <c r="R89" s="72">
        <v>0</v>
      </c>
      <c r="S89" s="72">
        <f>Q89-R89</f>
        <v>1889.9999999999998</v>
      </c>
      <c r="T89" s="86">
        <f>R89/Q89</f>
        <v>0</v>
      </c>
      <c r="U89" s="88"/>
      <c r="V89" s="101">
        <v>1</v>
      </c>
      <c r="W89" s="72">
        <f t="shared" si="83"/>
        <v>0</v>
      </c>
      <c r="X89" s="72"/>
      <c r="Y89" s="72"/>
      <c r="Z89" s="72"/>
      <c r="AA89" s="121">
        <f t="shared" si="57"/>
        <v>14400</v>
      </c>
      <c r="AB89" s="72">
        <f t="shared" si="58"/>
        <v>10890</v>
      </c>
      <c r="AC89" s="122">
        <f t="shared" si="58"/>
        <v>19608.57</v>
      </c>
      <c r="AD89" s="72">
        <f t="shared" si="59"/>
        <v>-8718.57</v>
      </c>
      <c r="AE89" s="123">
        <f t="shared" si="75"/>
        <v>1.8006033057851238</v>
      </c>
      <c r="AF89" s="71"/>
    </row>
    <row r="90" spans="1:32" ht="32.25" thickBot="1" x14ac:dyDescent="0.3">
      <c r="A90" s="28" t="s">
        <v>203</v>
      </c>
      <c r="B90" s="116"/>
      <c r="C90" s="50">
        <v>50000</v>
      </c>
      <c r="D90" s="97">
        <v>0.7</v>
      </c>
      <c r="E90" s="29">
        <f t="shared" si="71"/>
        <v>35000</v>
      </c>
      <c r="F90" s="29">
        <v>0</v>
      </c>
      <c r="G90" s="29">
        <f>E90-F90</f>
        <v>35000</v>
      </c>
      <c r="H90" s="79">
        <f>F90/E90</f>
        <v>0</v>
      </c>
      <c r="I90" s="60"/>
      <c r="J90" s="142">
        <v>1</v>
      </c>
      <c r="K90" s="20">
        <f t="shared" si="81"/>
        <v>0</v>
      </c>
      <c r="L90" s="20"/>
      <c r="M90" s="20"/>
      <c r="N90" s="82"/>
      <c r="O90" s="146"/>
      <c r="P90" s="101">
        <v>0.7</v>
      </c>
      <c r="Q90" s="20">
        <f t="shared" si="82"/>
        <v>0</v>
      </c>
      <c r="R90" s="20"/>
      <c r="S90" s="20"/>
      <c r="T90" s="82"/>
      <c r="U90" s="63"/>
      <c r="V90" s="101">
        <v>1</v>
      </c>
      <c r="W90" s="20">
        <f t="shared" si="83"/>
        <v>0</v>
      </c>
      <c r="X90" s="20"/>
      <c r="Y90" s="20"/>
      <c r="Z90" s="20"/>
      <c r="AA90" s="121">
        <f t="shared" si="57"/>
        <v>50000</v>
      </c>
      <c r="AB90" s="20">
        <f t="shared" si="58"/>
        <v>35000</v>
      </c>
      <c r="AC90" s="113">
        <f t="shared" si="58"/>
        <v>0</v>
      </c>
      <c r="AD90" s="20">
        <f t="shared" si="59"/>
        <v>35000</v>
      </c>
      <c r="AE90" s="95">
        <f t="shared" si="75"/>
        <v>0</v>
      </c>
      <c r="AF90" s="42"/>
    </row>
    <row r="91" spans="1:32" ht="16.5" thickBot="1" x14ac:dyDescent="0.3">
      <c r="A91" s="160" t="s">
        <v>43</v>
      </c>
      <c r="B91" s="160"/>
      <c r="C91" s="53">
        <f>SUM(C80+C66+C64+C53+C42+C26+C90)</f>
        <v>1573162.07</v>
      </c>
      <c r="D91" s="97">
        <v>0.7</v>
      </c>
      <c r="E91" s="29">
        <f>SUM(E80+E66+E64+E53+E42+E26+E90)</f>
        <v>1101213.449</v>
      </c>
      <c r="F91" s="29">
        <f>SUM(F80+F66+F64+F53+F42+F26+F90)</f>
        <v>466949.99999999988</v>
      </c>
      <c r="G91" s="29">
        <f>SUM(G80+G66+G64+G53+G42+G26+G90)</f>
        <v>615801.29899999988</v>
      </c>
      <c r="H91" s="79">
        <f>F91/E91</f>
        <v>0.42403223500769277</v>
      </c>
      <c r="I91" s="62">
        <f>SUM(I80+I66+I64+I53+I42+I26)</f>
        <v>300055</v>
      </c>
      <c r="J91" s="141">
        <v>1</v>
      </c>
      <c r="K91" s="29">
        <f>SUM(K80+K66+K64+K53+K42+K26+K90)</f>
        <v>300055</v>
      </c>
      <c r="L91" s="29">
        <f>SUM(L80+L66+L64+L53+L42+L26+L90)</f>
        <v>212616.34999999998</v>
      </c>
      <c r="M91" s="29">
        <f>SUM(M80+M66+M64+M53+M42+M26+M90)</f>
        <v>87438.65</v>
      </c>
      <c r="N91" s="79">
        <f>L91/K91</f>
        <v>0.70859125826931724</v>
      </c>
      <c r="O91" s="149">
        <f>SUM(O80+O66+O64+O53+O42+O26)</f>
        <v>647561.25</v>
      </c>
      <c r="P91" s="97">
        <v>0.7</v>
      </c>
      <c r="Q91" s="29">
        <f>SUM(Q80+Q66+Q64+Q53+Q42+Q26+Q90)</f>
        <v>453292.875</v>
      </c>
      <c r="R91" s="29">
        <f t="shared" ref="R91:S91" si="86">SUM(R80+R66+R64+R53+R42+R26+R90)</f>
        <v>112695</v>
      </c>
      <c r="S91" s="29">
        <f t="shared" si="86"/>
        <v>340597.875</v>
      </c>
      <c r="T91" s="79">
        <f t="shared" ref="T91:T92" si="87">R91/Q91</f>
        <v>0.24861409965907802</v>
      </c>
      <c r="U91" s="65">
        <f>SUM(U80+U66+U64+U53+U42+U26)</f>
        <v>282960</v>
      </c>
      <c r="V91" s="97">
        <v>1</v>
      </c>
      <c r="W91" s="29">
        <f>SUM(W80+W66+W64+W53+W42+W26+W90)</f>
        <v>282960</v>
      </c>
      <c r="X91" s="29">
        <f t="shared" ref="X91:Y91" si="88">SUM(X80+X66+X64+X53+X42+X26+X90)</f>
        <v>68496.259999999995</v>
      </c>
      <c r="Y91" s="29">
        <f t="shared" si="88"/>
        <v>214463.74</v>
      </c>
      <c r="Z91" s="79">
        <f>X91/W91</f>
        <v>0.24207046932428611</v>
      </c>
      <c r="AA91" s="90">
        <f t="shared" si="57"/>
        <v>2803738.3200000003</v>
      </c>
      <c r="AB91" s="29">
        <f t="shared" si="58"/>
        <v>2137521.324</v>
      </c>
      <c r="AC91" s="112">
        <f t="shared" si="58"/>
        <v>860757.60999999987</v>
      </c>
      <c r="AD91" s="29">
        <f t="shared" si="59"/>
        <v>1276763.7140000002</v>
      </c>
      <c r="AE91" s="106">
        <f t="shared" si="75"/>
        <v>0.40268960142546856</v>
      </c>
      <c r="AF91" s="43"/>
    </row>
    <row r="92" spans="1:32" s="76" customFormat="1" ht="16.5" thickBot="1" x14ac:dyDescent="0.3">
      <c r="A92" s="163" t="s">
        <v>44</v>
      </c>
      <c r="B92" s="163"/>
      <c r="C92" s="54">
        <f>C91*0.07</f>
        <v>110121.34490000001</v>
      </c>
      <c r="D92" s="101">
        <v>0.7</v>
      </c>
      <c r="E92" s="78">
        <f t="shared" si="71"/>
        <v>77084.941430000006</v>
      </c>
      <c r="F92" s="78">
        <f>6491.75+12162.37+8234.79+2413.78</f>
        <v>29302.690000000002</v>
      </c>
      <c r="G92" s="74">
        <f>E92-F92</f>
        <v>47782.251430000004</v>
      </c>
      <c r="H92" s="81">
        <f>F92/E92</f>
        <v>0.38013507510555034</v>
      </c>
      <c r="I92" s="85">
        <f t="shared" ref="I92:U92" si="89">I91*0.07</f>
        <v>21003.850000000002</v>
      </c>
      <c r="J92" s="142">
        <v>1</v>
      </c>
      <c r="K92" s="78">
        <f>I92*J92</f>
        <v>21003.850000000002</v>
      </c>
      <c r="L92" s="78">
        <v>14752.87</v>
      </c>
      <c r="M92" s="78">
        <f>K92-L92</f>
        <v>6250.9800000000014</v>
      </c>
      <c r="N92" s="81">
        <f>L92/K92</f>
        <v>0.70238884775886323</v>
      </c>
      <c r="O92" s="150">
        <f t="shared" si="89"/>
        <v>45329.287500000006</v>
      </c>
      <c r="P92" s="101">
        <v>0.7</v>
      </c>
      <c r="Q92" s="78">
        <f>O92*P92</f>
        <v>31730.501250000001</v>
      </c>
      <c r="R92" s="78">
        <v>0</v>
      </c>
      <c r="S92" s="78">
        <f>Q92-R92</f>
        <v>31730.501250000001</v>
      </c>
      <c r="T92" s="82">
        <f t="shared" si="87"/>
        <v>0</v>
      </c>
      <c r="U92" s="89">
        <f t="shared" si="89"/>
        <v>19807.2</v>
      </c>
      <c r="V92" s="101">
        <v>1</v>
      </c>
      <c r="W92" s="78">
        <f>U92*V92</f>
        <v>19807.2</v>
      </c>
      <c r="X92" s="78">
        <v>4794.74</v>
      </c>
      <c r="Y92" s="78">
        <f>W92-X92</f>
        <v>15012.460000000001</v>
      </c>
      <c r="Z92" s="82">
        <f t="shared" ref="Z92:Z93" si="90">X92/W92</f>
        <v>0.24207056020033119</v>
      </c>
      <c r="AA92" s="90">
        <f t="shared" si="57"/>
        <v>196261.68240000002</v>
      </c>
      <c r="AB92" s="78">
        <f t="shared" si="58"/>
        <v>149626.49268000002</v>
      </c>
      <c r="AC92" s="114">
        <f t="shared" si="58"/>
        <v>48850.3</v>
      </c>
      <c r="AD92" s="78">
        <f t="shared" si="59"/>
        <v>100776.19268000002</v>
      </c>
      <c r="AE92" s="115">
        <f t="shared" si="75"/>
        <v>0.32648162183734475</v>
      </c>
      <c r="AF92" s="75"/>
    </row>
    <row r="93" spans="1:32" ht="16.5" thickBot="1" x14ac:dyDescent="0.3">
      <c r="A93" s="160" t="s">
        <v>45</v>
      </c>
      <c r="B93" s="160"/>
      <c r="C93" s="53">
        <f>C91+C92</f>
        <v>1683283.4149</v>
      </c>
      <c r="D93" s="97">
        <v>0.7</v>
      </c>
      <c r="E93" s="29">
        <f>E91+E92</f>
        <v>1178298.3904300001</v>
      </c>
      <c r="F93" s="29">
        <f>F91+F92</f>
        <v>496252.68999999989</v>
      </c>
      <c r="G93" s="43">
        <f>E93-F93</f>
        <v>682045.7004300002</v>
      </c>
      <c r="H93" s="80">
        <f>F93/E93</f>
        <v>0.4211604581916647</v>
      </c>
      <c r="I93" s="62">
        <f t="shared" ref="I93:U93" si="91">I91+I92</f>
        <v>321058.84999999998</v>
      </c>
      <c r="J93" s="141">
        <v>1</v>
      </c>
      <c r="K93" s="29">
        <f>K91+K92</f>
        <v>321058.84999999998</v>
      </c>
      <c r="L93" s="29">
        <f>L91+L92</f>
        <v>227369.21999999997</v>
      </c>
      <c r="M93" s="29">
        <f>M91+M92</f>
        <v>93689.62999999999</v>
      </c>
      <c r="N93" s="79">
        <f>L93/K93</f>
        <v>0.7081854930957362</v>
      </c>
      <c r="O93" s="149">
        <f t="shared" si="91"/>
        <v>692890.53749999998</v>
      </c>
      <c r="P93" s="97">
        <v>0.7</v>
      </c>
      <c r="Q93" s="29">
        <f>Q91+Q92</f>
        <v>485023.37624999997</v>
      </c>
      <c r="R93" s="29">
        <f t="shared" ref="R93:S93" si="92">R91+R92</f>
        <v>112695</v>
      </c>
      <c r="S93" s="29">
        <f t="shared" si="92"/>
        <v>372328.37624999997</v>
      </c>
      <c r="T93" s="79">
        <f>R93/Q93</f>
        <v>0.23234962584960564</v>
      </c>
      <c r="U93" s="65">
        <f t="shared" si="91"/>
        <v>302767.2</v>
      </c>
      <c r="V93" s="97">
        <v>1</v>
      </c>
      <c r="W93" s="29">
        <f>W91+W92</f>
        <v>302767.2</v>
      </c>
      <c r="X93" s="29">
        <f t="shared" ref="X93:Y93" si="93">X91+X92</f>
        <v>73291</v>
      </c>
      <c r="Y93" s="29">
        <f t="shared" si="93"/>
        <v>229476.19999999998</v>
      </c>
      <c r="Z93" s="79">
        <f t="shared" si="90"/>
        <v>0.24207047526944794</v>
      </c>
      <c r="AA93" s="90">
        <f t="shared" si="57"/>
        <v>3000000.0024000001</v>
      </c>
      <c r="AB93" s="29">
        <f t="shared" si="58"/>
        <v>2287147.8166800002</v>
      </c>
      <c r="AC93" s="112">
        <f t="shared" si="58"/>
        <v>909607.90999999992</v>
      </c>
      <c r="AD93" s="29">
        <f t="shared" si="59"/>
        <v>1377539.9066800002</v>
      </c>
      <c r="AE93" s="106">
        <f t="shared" si="75"/>
        <v>0.39770403266736704</v>
      </c>
      <c r="AF93" s="43"/>
    </row>
    <row r="95" spans="1:32" ht="25.5" customHeight="1" x14ac:dyDescent="0.25">
      <c r="C95" s="66"/>
      <c r="D95" s="67"/>
      <c r="E95" s="68"/>
      <c r="F95" s="68"/>
      <c r="M95" s="157"/>
    </row>
    <row r="96" spans="1:32" x14ac:dyDescent="0.25">
      <c r="M96" s="157"/>
    </row>
  </sheetData>
  <mergeCells count="12">
    <mergeCell ref="A55:AF55"/>
    <mergeCell ref="A64:B64"/>
    <mergeCell ref="A91:B91"/>
    <mergeCell ref="A92:B92"/>
    <mergeCell ref="A93:B93"/>
    <mergeCell ref="AA6:AE6"/>
    <mergeCell ref="A53:B53"/>
    <mergeCell ref="A8:AF8"/>
    <mergeCell ref="A26:B26"/>
    <mergeCell ref="A28:AF28"/>
    <mergeCell ref="A42:B42"/>
    <mergeCell ref="A44:AE44"/>
  </mergeCells>
  <pageMargins left="0.7" right="0.7" top="0.75" bottom="0.75" header="0.3" footer="0.3"/>
  <pageSetup scale="64" orientation="landscape" r:id="rId1"/>
  <rowBreaks count="3" manualBreakCount="3">
    <brk id="40" max="16383" man="1"/>
    <brk id="58" max="31" man="1"/>
    <brk id="79"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95"/>
  <sheetViews>
    <sheetView view="pageBreakPreview" topLeftCell="A59" zoomScale="70" zoomScaleNormal="100" zoomScaleSheetLayoutView="70" workbookViewId="0">
      <selection activeCell="H7" sqref="H7"/>
    </sheetView>
  </sheetViews>
  <sheetFormatPr defaultRowHeight="15" x14ac:dyDescent="0.25"/>
  <cols>
    <col min="1" max="1" width="21" customWidth="1"/>
    <col min="2" max="2" width="42.5703125" customWidth="1"/>
    <col min="3" max="3" width="15.5703125" customWidth="1"/>
    <col min="4" max="5" width="16.85546875" customWidth="1"/>
    <col min="6" max="6" width="17.42578125" style="15" customWidth="1"/>
    <col min="7" max="7" width="17.140625" style="15" customWidth="1"/>
    <col min="8" max="8" width="18.5703125" style="15" customWidth="1"/>
    <col min="9" max="9" width="17.42578125" customWidth="1"/>
    <col min="10" max="10" width="33.85546875" customWidth="1"/>
    <col min="11" max="11" width="22.5703125" customWidth="1"/>
    <col min="12" max="14" width="28.5703125" customWidth="1"/>
    <col min="15" max="15" width="34.140625" customWidth="1"/>
  </cols>
  <sheetData>
    <row r="1" spans="1:10" ht="18.75" x14ac:dyDescent="0.3">
      <c r="A1" s="12" t="s">
        <v>0</v>
      </c>
      <c r="B1" s="12"/>
    </row>
    <row r="2" spans="1:10" ht="15.75" x14ac:dyDescent="0.25">
      <c r="A2" s="5"/>
      <c r="B2" s="5"/>
    </row>
    <row r="3" spans="1:10" ht="15.75" x14ac:dyDescent="0.25">
      <c r="A3" s="5" t="s">
        <v>65</v>
      </c>
      <c r="B3" s="5"/>
    </row>
    <row r="5" spans="1:10" ht="15.75" x14ac:dyDescent="0.25">
      <c r="A5" s="5" t="s">
        <v>66</v>
      </c>
    </row>
    <row r="6" spans="1:10" ht="15.75" thickBot="1" x14ac:dyDescent="0.3"/>
    <row r="7" spans="1:10" ht="117" customHeight="1" thickBot="1" x14ac:dyDescent="0.3">
      <c r="A7" s="1" t="s">
        <v>1</v>
      </c>
      <c r="B7" s="2" t="s">
        <v>2</v>
      </c>
      <c r="C7" s="2" t="s">
        <v>67</v>
      </c>
      <c r="D7" s="11" t="s">
        <v>68</v>
      </c>
      <c r="E7" s="11" t="s">
        <v>69</v>
      </c>
      <c r="F7" s="16" t="s">
        <v>90</v>
      </c>
      <c r="G7" s="16" t="s">
        <v>123</v>
      </c>
      <c r="H7" s="16" t="s">
        <v>126</v>
      </c>
      <c r="I7" s="2" t="s">
        <v>46</v>
      </c>
      <c r="J7" s="2" t="s">
        <v>47</v>
      </c>
    </row>
    <row r="8" spans="1:10" ht="16.5" thickBot="1" x14ac:dyDescent="0.3">
      <c r="A8" s="171" t="s">
        <v>75</v>
      </c>
      <c r="B8" s="172"/>
      <c r="C8" s="172"/>
      <c r="D8" s="172"/>
      <c r="E8" s="172"/>
      <c r="F8" s="172"/>
      <c r="G8" s="172"/>
      <c r="H8" s="172"/>
      <c r="I8" s="172"/>
      <c r="J8" s="173"/>
    </row>
    <row r="9" spans="1:10" ht="48" thickBot="1" x14ac:dyDescent="0.3">
      <c r="A9" s="3" t="s">
        <v>3</v>
      </c>
      <c r="B9" s="4" t="s">
        <v>76</v>
      </c>
      <c r="C9" s="47">
        <f>SUM(C10:C12)</f>
        <v>55000</v>
      </c>
      <c r="D9" s="19">
        <f t="shared" ref="D9:F9" si="0">SUM(D10:D12)</f>
        <v>10000</v>
      </c>
      <c r="E9" s="19">
        <f t="shared" si="0"/>
        <v>0</v>
      </c>
      <c r="F9" s="19">
        <f t="shared" si="0"/>
        <v>0</v>
      </c>
      <c r="G9" s="19">
        <f>SUM(C9:F9)</f>
        <v>65000</v>
      </c>
      <c r="H9" s="19">
        <f>SUM(H10:H12)</f>
        <v>37500</v>
      </c>
      <c r="I9" s="17">
        <f>H9/G9</f>
        <v>0.57692307692307687</v>
      </c>
      <c r="J9" s="4"/>
    </row>
    <row r="10" spans="1:10" ht="79.5" thickBot="1" x14ac:dyDescent="0.3">
      <c r="A10" s="22" t="s">
        <v>4</v>
      </c>
      <c r="B10" s="13" t="s">
        <v>156</v>
      </c>
      <c r="C10" s="47">
        <v>30000</v>
      </c>
      <c r="D10" s="21"/>
      <c r="E10" s="21"/>
      <c r="F10" s="21"/>
      <c r="G10" s="21">
        <f t="shared" ref="G10:G25" si="1">SUM(C10:F10)</f>
        <v>30000</v>
      </c>
      <c r="H10" s="21">
        <f>D10+(C10*0.5)</f>
        <v>15000</v>
      </c>
      <c r="I10" s="26">
        <f t="shared" ref="I10:I26" si="2">H10/G10</f>
        <v>0.5</v>
      </c>
      <c r="J10" s="13" t="s">
        <v>127</v>
      </c>
    </row>
    <row r="11" spans="1:10" ht="63.75" thickBot="1" x14ac:dyDescent="0.3">
      <c r="A11" s="22" t="s">
        <v>5</v>
      </c>
      <c r="B11" s="13" t="s">
        <v>157</v>
      </c>
      <c r="C11" s="47">
        <v>15000</v>
      </c>
      <c r="D11" s="21">
        <v>10000</v>
      </c>
      <c r="E11" s="21"/>
      <c r="F11" s="21"/>
      <c r="G11" s="21">
        <f t="shared" si="1"/>
        <v>25000</v>
      </c>
      <c r="H11" s="21">
        <f>D11+(C11*0.5)</f>
        <v>17500</v>
      </c>
      <c r="I11" s="26">
        <f t="shared" si="2"/>
        <v>0.7</v>
      </c>
      <c r="J11" s="13" t="s">
        <v>128</v>
      </c>
    </row>
    <row r="12" spans="1:10" ht="48" thickBot="1" x14ac:dyDescent="0.3">
      <c r="A12" s="22" t="s">
        <v>6</v>
      </c>
      <c r="B12" s="13" t="s">
        <v>158</v>
      </c>
      <c r="C12" s="47">
        <v>10000</v>
      </c>
      <c r="D12" s="21"/>
      <c r="E12" s="21"/>
      <c r="F12" s="21"/>
      <c r="G12" s="21">
        <f t="shared" si="1"/>
        <v>10000</v>
      </c>
      <c r="H12" s="21">
        <f>D12+(C12*0.5)</f>
        <v>5000</v>
      </c>
      <c r="I12" s="26">
        <f t="shared" si="2"/>
        <v>0.5</v>
      </c>
      <c r="J12" s="13" t="s">
        <v>129</v>
      </c>
    </row>
    <row r="13" spans="1:10" ht="48" thickBot="1" x14ac:dyDescent="0.3">
      <c r="A13" s="27" t="s">
        <v>7</v>
      </c>
      <c r="B13" s="13" t="s">
        <v>159</v>
      </c>
      <c r="C13" s="47">
        <f>SUM(C14:C17)</f>
        <v>162960</v>
      </c>
      <c r="D13" s="21">
        <f t="shared" ref="D13:F13" si="3">SUM(D14:D17)</f>
        <v>52960</v>
      </c>
      <c r="E13" s="21">
        <f t="shared" si="3"/>
        <v>0</v>
      </c>
      <c r="F13" s="21">
        <f t="shared" si="3"/>
        <v>0</v>
      </c>
      <c r="G13" s="21">
        <f t="shared" si="1"/>
        <v>215920</v>
      </c>
      <c r="H13" s="21">
        <f>SUM(H14:H17)</f>
        <v>122848</v>
      </c>
      <c r="I13" s="26">
        <f t="shared" si="2"/>
        <v>0.56895146350500181</v>
      </c>
      <c r="J13" s="13"/>
    </row>
    <row r="14" spans="1:10" ht="103.5" customHeight="1" thickBot="1" x14ac:dyDescent="0.3">
      <c r="A14" s="22" t="s">
        <v>8</v>
      </c>
      <c r="B14" s="13" t="s">
        <v>160</v>
      </c>
      <c r="C14" s="47">
        <f>SUM(12*20*18*3)</f>
        <v>12960</v>
      </c>
      <c r="D14" s="21">
        <f>SUM(12*20*18*3)</f>
        <v>12960</v>
      </c>
      <c r="E14" s="21"/>
      <c r="F14" s="21"/>
      <c r="G14" s="21">
        <f t="shared" si="1"/>
        <v>25920</v>
      </c>
      <c r="H14" s="21">
        <f>D14+(C14*0.3)</f>
        <v>16848</v>
      </c>
      <c r="I14" s="26">
        <f t="shared" si="2"/>
        <v>0.65</v>
      </c>
      <c r="J14" s="13" t="s">
        <v>161</v>
      </c>
    </row>
    <row r="15" spans="1:10" ht="48" thickBot="1" x14ac:dyDescent="0.3">
      <c r="A15" s="22" t="s">
        <v>9</v>
      </c>
      <c r="B15" s="13" t="s">
        <v>162</v>
      </c>
      <c r="C15" s="47"/>
      <c r="D15" s="21">
        <f>0.6*50000</f>
        <v>30000</v>
      </c>
      <c r="E15" s="21"/>
      <c r="F15" s="21"/>
      <c r="G15" s="21">
        <f t="shared" si="1"/>
        <v>30000</v>
      </c>
      <c r="H15" s="21">
        <f t="shared" ref="H15" si="4">D15+(C15*0.3)</f>
        <v>30000</v>
      </c>
      <c r="I15" s="26">
        <f t="shared" si="2"/>
        <v>1</v>
      </c>
      <c r="J15" s="13" t="s">
        <v>130</v>
      </c>
    </row>
    <row r="16" spans="1:10" ht="63.75" thickBot="1" x14ac:dyDescent="0.3">
      <c r="A16" s="22" t="s">
        <v>10</v>
      </c>
      <c r="B16" s="13" t="s">
        <v>163</v>
      </c>
      <c r="C16" s="47">
        <v>120000</v>
      </c>
      <c r="D16" s="21"/>
      <c r="E16" s="21"/>
      <c r="F16" s="21"/>
      <c r="G16" s="21">
        <f t="shared" si="1"/>
        <v>120000</v>
      </c>
      <c r="H16" s="21">
        <f>D16+(C16*0.3)</f>
        <v>36000</v>
      </c>
      <c r="I16" s="26">
        <f t="shared" si="2"/>
        <v>0.3</v>
      </c>
      <c r="J16" s="13" t="s">
        <v>131</v>
      </c>
    </row>
    <row r="17" spans="1:10" ht="79.5" thickBot="1" x14ac:dyDescent="0.3">
      <c r="A17" s="22" t="s">
        <v>77</v>
      </c>
      <c r="B17" s="13" t="s">
        <v>164</v>
      </c>
      <c r="C17" s="47">
        <f>10000*3</f>
        <v>30000</v>
      </c>
      <c r="D17" s="21">
        <v>10000</v>
      </c>
      <c r="E17" s="21"/>
      <c r="F17" s="21"/>
      <c r="G17" s="21">
        <f t="shared" si="1"/>
        <v>40000</v>
      </c>
      <c r="H17" s="21">
        <f>D17+(C17*1)</f>
        <v>40000</v>
      </c>
      <c r="I17" s="26">
        <f t="shared" si="2"/>
        <v>1</v>
      </c>
      <c r="J17" s="13" t="s">
        <v>108</v>
      </c>
    </row>
    <row r="18" spans="1:10" ht="32.25" thickBot="1" x14ac:dyDescent="0.3">
      <c r="A18" s="27" t="s">
        <v>11</v>
      </c>
      <c r="B18" s="13" t="s">
        <v>165</v>
      </c>
      <c r="C18" s="47">
        <f>SUM(C19:C21)</f>
        <v>165000</v>
      </c>
      <c r="D18" s="21">
        <f>SUM(D19:D21)</f>
        <v>27000</v>
      </c>
      <c r="E18" s="21">
        <f>SUM(E19:E21)</f>
        <v>0</v>
      </c>
      <c r="F18" s="21">
        <f>SUM(F19:F21)</f>
        <v>0</v>
      </c>
      <c r="G18" s="21">
        <f t="shared" si="1"/>
        <v>192000</v>
      </c>
      <c r="H18" s="21">
        <f>SUM(H19:H21)</f>
        <v>106500</v>
      </c>
      <c r="I18" s="26">
        <f t="shared" si="2"/>
        <v>0.5546875</v>
      </c>
      <c r="J18" s="13"/>
    </row>
    <row r="19" spans="1:10" ht="123.75" customHeight="1" thickBot="1" x14ac:dyDescent="0.3">
      <c r="A19" s="22" t="s">
        <v>12</v>
      </c>
      <c r="B19" s="13" t="s">
        <v>166</v>
      </c>
      <c r="C19" s="47">
        <v>75000</v>
      </c>
      <c r="D19" s="21">
        <v>10000</v>
      </c>
      <c r="E19" s="21"/>
      <c r="F19" s="21"/>
      <c r="G19" s="21">
        <f t="shared" si="1"/>
        <v>85000</v>
      </c>
      <c r="H19" s="21">
        <f>SUM(D19+(C19*0.5))</f>
        <v>47500</v>
      </c>
      <c r="I19" s="26">
        <f t="shared" si="2"/>
        <v>0.55882352941176472</v>
      </c>
      <c r="J19" s="13" t="s">
        <v>155</v>
      </c>
    </row>
    <row r="20" spans="1:10" ht="32.25" thickBot="1" x14ac:dyDescent="0.3">
      <c r="A20" s="22" t="s">
        <v>13</v>
      </c>
      <c r="B20" s="13" t="s">
        <v>167</v>
      </c>
      <c r="C20" s="48">
        <v>75000</v>
      </c>
      <c r="D20" s="21">
        <v>12000</v>
      </c>
      <c r="E20" s="21"/>
      <c r="F20" s="21"/>
      <c r="G20" s="21">
        <f t="shared" si="1"/>
        <v>87000</v>
      </c>
      <c r="H20" s="21">
        <f t="shared" ref="H20" si="5">SUM(D20+(C20*0.5))</f>
        <v>49500</v>
      </c>
      <c r="I20" s="26">
        <f t="shared" si="2"/>
        <v>0.56896551724137934</v>
      </c>
      <c r="J20" s="13" t="s">
        <v>132</v>
      </c>
    </row>
    <row r="21" spans="1:10" ht="63.75" thickBot="1" x14ac:dyDescent="0.3">
      <c r="A21" s="14" t="s">
        <v>14</v>
      </c>
      <c r="B21" s="14" t="s">
        <v>168</v>
      </c>
      <c r="C21" s="49">
        <v>15000</v>
      </c>
      <c r="D21" s="21">
        <v>5000</v>
      </c>
      <c r="E21" s="20"/>
      <c r="F21" s="20"/>
      <c r="G21" s="21">
        <f t="shared" si="1"/>
        <v>20000</v>
      </c>
      <c r="H21" s="21">
        <f>SUM(D21+(C21*0.3))</f>
        <v>9500</v>
      </c>
      <c r="I21" s="26">
        <f t="shared" si="2"/>
        <v>0.47499999999999998</v>
      </c>
      <c r="J21" s="14" t="s">
        <v>112</v>
      </c>
    </row>
    <row r="22" spans="1:10" ht="48" thickBot="1" x14ac:dyDescent="0.3">
      <c r="A22" s="28" t="s">
        <v>78</v>
      </c>
      <c r="B22" s="14" t="s">
        <v>169</v>
      </c>
      <c r="C22" s="49">
        <f>SUM(C23:C25)</f>
        <v>165000</v>
      </c>
      <c r="D22" s="20">
        <f>SUM(D23:D25)</f>
        <v>15000</v>
      </c>
      <c r="E22" s="20">
        <f>SUM(E23:E25)</f>
        <v>0</v>
      </c>
      <c r="F22" s="20">
        <f>SUM(F23:F25)</f>
        <v>0</v>
      </c>
      <c r="G22" s="21">
        <f t="shared" si="1"/>
        <v>180000</v>
      </c>
      <c r="H22" s="21">
        <f>SUM(H23:H25)</f>
        <v>91500</v>
      </c>
      <c r="I22" s="26">
        <f t="shared" si="2"/>
        <v>0.5083333333333333</v>
      </c>
      <c r="J22" s="14"/>
    </row>
    <row r="23" spans="1:10" ht="111" thickBot="1" x14ac:dyDescent="0.3">
      <c r="A23" s="14" t="s">
        <v>79</v>
      </c>
      <c r="B23" s="14" t="s">
        <v>170</v>
      </c>
      <c r="C23" s="49">
        <v>120000</v>
      </c>
      <c r="D23" s="20"/>
      <c r="E23" s="20"/>
      <c r="F23" s="20"/>
      <c r="G23" s="21">
        <f t="shared" si="1"/>
        <v>120000</v>
      </c>
      <c r="H23" s="21">
        <f>SUM(D23+(C23*0.5))</f>
        <v>60000</v>
      </c>
      <c r="I23" s="26">
        <f t="shared" si="2"/>
        <v>0.5</v>
      </c>
      <c r="J23" s="14" t="s">
        <v>133</v>
      </c>
    </row>
    <row r="24" spans="1:10" ht="135" customHeight="1" thickBot="1" x14ac:dyDescent="0.3">
      <c r="A24" s="14" t="s">
        <v>80</v>
      </c>
      <c r="B24" s="14" t="s">
        <v>171</v>
      </c>
      <c r="C24" s="49">
        <f>5000*3*2</f>
        <v>30000</v>
      </c>
      <c r="D24" s="20">
        <v>10000</v>
      </c>
      <c r="E24" s="20"/>
      <c r="F24" s="20"/>
      <c r="G24" s="21">
        <f t="shared" si="1"/>
        <v>40000</v>
      </c>
      <c r="H24" s="21">
        <f>SUM(D24+(C24*0.3))</f>
        <v>19000</v>
      </c>
      <c r="I24" s="26">
        <f t="shared" si="2"/>
        <v>0.47499999999999998</v>
      </c>
      <c r="J24" s="14" t="s">
        <v>134</v>
      </c>
    </row>
    <row r="25" spans="1:10" ht="96.75" customHeight="1" thickBot="1" x14ac:dyDescent="0.3">
      <c r="A25" s="14" t="s">
        <v>81</v>
      </c>
      <c r="B25" s="14" t="s">
        <v>82</v>
      </c>
      <c r="C25" s="49">
        <v>15000</v>
      </c>
      <c r="D25" s="20">
        <v>5000</v>
      </c>
      <c r="E25" s="20"/>
      <c r="F25" s="20"/>
      <c r="G25" s="21">
        <f t="shared" si="1"/>
        <v>20000</v>
      </c>
      <c r="H25" s="21">
        <f t="shared" ref="H25" si="6">SUM(D25+(C25*0.5))</f>
        <v>12500</v>
      </c>
      <c r="I25" s="26">
        <f t="shared" si="2"/>
        <v>0.625</v>
      </c>
      <c r="J25" s="14" t="s">
        <v>135</v>
      </c>
    </row>
    <row r="26" spans="1:10" ht="16.5" thickBot="1" x14ac:dyDescent="0.3">
      <c r="A26" s="164" t="s">
        <v>15</v>
      </c>
      <c r="B26" s="165"/>
      <c r="C26" s="29">
        <f>SUM(C9+C13+C18+C22)</f>
        <v>547960</v>
      </c>
      <c r="D26" s="29">
        <f t="shared" ref="D26:H26" si="7">SUM(D9+D13+D18+D22)</f>
        <v>104960</v>
      </c>
      <c r="E26" s="29">
        <f t="shared" si="7"/>
        <v>0</v>
      </c>
      <c r="F26" s="29">
        <f t="shared" si="7"/>
        <v>0</v>
      </c>
      <c r="G26" s="29">
        <f t="shared" si="7"/>
        <v>652920</v>
      </c>
      <c r="H26" s="29">
        <f t="shared" si="7"/>
        <v>358348</v>
      </c>
      <c r="I26" s="26">
        <f t="shared" si="2"/>
        <v>0.54883906144703787</v>
      </c>
      <c r="J26" s="28"/>
    </row>
    <row r="27" spans="1:10" s="15" customFormat="1" ht="16.5" thickBot="1" x14ac:dyDescent="0.3">
      <c r="A27" s="30"/>
      <c r="B27" s="31"/>
      <c r="C27" s="31"/>
      <c r="D27" s="31"/>
      <c r="E27" s="31"/>
      <c r="F27" s="31"/>
      <c r="G27" s="31"/>
      <c r="H27" s="31"/>
      <c r="I27" s="31"/>
      <c r="J27" s="32"/>
    </row>
    <row r="28" spans="1:10" ht="16.5" thickBot="1" x14ac:dyDescent="0.3">
      <c r="A28" s="168" t="s">
        <v>115</v>
      </c>
      <c r="B28" s="169"/>
      <c r="C28" s="169"/>
      <c r="D28" s="169"/>
      <c r="E28" s="169"/>
      <c r="F28" s="169"/>
      <c r="G28" s="169"/>
      <c r="H28" s="169"/>
      <c r="I28" s="169"/>
      <c r="J28" s="170"/>
    </row>
    <row r="29" spans="1:10" ht="48" thickBot="1" x14ac:dyDescent="0.3">
      <c r="A29" s="27" t="s">
        <v>16</v>
      </c>
      <c r="B29" s="13" t="s">
        <v>197</v>
      </c>
      <c r="C29" s="47">
        <f>SUM(C30:C33)</f>
        <v>0</v>
      </c>
      <c r="D29" s="21">
        <f t="shared" ref="D29:F29" si="8">SUM(D30:D33)</f>
        <v>0</v>
      </c>
      <c r="E29" s="21">
        <f t="shared" si="8"/>
        <v>545355</v>
      </c>
      <c r="F29" s="21">
        <f t="shared" si="8"/>
        <v>0</v>
      </c>
      <c r="G29" s="21">
        <f>SUM(C29:F29)</f>
        <v>545355</v>
      </c>
      <c r="H29" s="21">
        <f>SUM(H30:H40)</f>
        <v>330735.5</v>
      </c>
      <c r="I29" s="26">
        <f>H29/G29</f>
        <v>0.60645909545158661</v>
      </c>
      <c r="J29" s="13"/>
    </row>
    <row r="30" spans="1:10" ht="96" customHeight="1" thickBot="1" x14ac:dyDescent="0.3">
      <c r="A30" s="22" t="s">
        <v>17</v>
      </c>
      <c r="B30" s="13" t="s">
        <v>172</v>
      </c>
      <c r="C30" s="47"/>
      <c r="D30" s="21"/>
      <c r="E30" s="21">
        <v>145000</v>
      </c>
      <c r="F30" s="21"/>
      <c r="G30" s="21">
        <f t="shared" ref="G30:G38" si="9">SUM(C30:F30)</f>
        <v>145000</v>
      </c>
      <c r="H30" s="21">
        <f>SUM(D30+(E30*0.1)+(C30*0))</f>
        <v>14500</v>
      </c>
      <c r="I30" s="26">
        <f t="shared" ref="I30:I42" si="10">H30/G30</f>
        <v>0.1</v>
      </c>
      <c r="J30" s="13" t="s">
        <v>136</v>
      </c>
    </row>
    <row r="31" spans="1:10" ht="159.75" customHeight="1" thickBot="1" x14ac:dyDescent="0.3">
      <c r="A31" s="22" t="s">
        <v>18</v>
      </c>
      <c r="B31" s="13" t="s">
        <v>173</v>
      </c>
      <c r="C31" s="47"/>
      <c r="D31" s="21"/>
      <c r="E31" s="21">
        <v>372355</v>
      </c>
      <c r="F31" s="21"/>
      <c r="G31" s="21">
        <f t="shared" si="9"/>
        <v>372355</v>
      </c>
      <c r="H31" s="21">
        <f t="shared" ref="H31" si="11">SUM(D31+(E31*0.1)+(C31*0))</f>
        <v>37235.5</v>
      </c>
      <c r="I31" s="26">
        <f t="shared" si="10"/>
        <v>0.1</v>
      </c>
      <c r="J31" s="13" t="s">
        <v>137</v>
      </c>
    </row>
    <row r="32" spans="1:10" s="15" customFormat="1" ht="140.25" customHeight="1" thickBot="1" x14ac:dyDescent="0.3">
      <c r="A32" s="22" t="s">
        <v>116</v>
      </c>
      <c r="B32" s="13" t="s">
        <v>174</v>
      </c>
      <c r="C32" s="47"/>
      <c r="D32" s="21"/>
      <c r="E32" s="21">
        <v>13000</v>
      </c>
      <c r="F32" s="21"/>
      <c r="G32" s="21">
        <f>SUM(C32:F32)</f>
        <v>13000</v>
      </c>
      <c r="H32" s="21">
        <f>SUM(D32+(E32*0.5)+(C32*0.3))</f>
        <v>6500</v>
      </c>
      <c r="I32" s="26">
        <f>H32/G32</f>
        <v>0.5</v>
      </c>
      <c r="J32" s="13" t="s">
        <v>139</v>
      </c>
    </row>
    <row r="33" spans="1:10" s="15" customFormat="1" ht="95.25" thickBot="1" x14ac:dyDescent="0.3">
      <c r="A33" s="22" t="s">
        <v>192</v>
      </c>
      <c r="B33" s="13" t="s">
        <v>198</v>
      </c>
      <c r="C33" s="47"/>
      <c r="D33" s="21"/>
      <c r="E33" s="21">
        <f>5000*3</f>
        <v>15000</v>
      </c>
      <c r="F33" s="21"/>
      <c r="G33" s="21">
        <f>SUM(C33:F33)</f>
        <v>15000</v>
      </c>
      <c r="H33" s="21">
        <f>SUM(D33+(E33*1)+(C33*0.3))</f>
        <v>15000</v>
      </c>
      <c r="I33" s="26">
        <f>H33/G33</f>
        <v>1</v>
      </c>
      <c r="J33" s="13" t="s">
        <v>141</v>
      </c>
    </row>
    <row r="34" spans="1:10" ht="32.25" thickBot="1" x14ac:dyDescent="0.3">
      <c r="A34" s="27" t="s">
        <v>19</v>
      </c>
      <c r="B34" s="13" t="s">
        <v>117</v>
      </c>
      <c r="C34" s="47">
        <f>SUM(C35:C41)</f>
        <v>311000</v>
      </c>
      <c r="D34" s="21">
        <f t="shared" ref="D34:F34" si="12">SUM(D35:D41)</f>
        <v>0</v>
      </c>
      <c r="E34" s="21">
        <f t="shared" si="12"/>
        <v>0</v>
      </c>
      <c r="F34" s="21">
        <f t="shared" si="12"/>
        <v>0</v>
      </c>
      <c r="G34" s="21">
        <f t="shared" si="9"/>
        <v>311000</v>
      </c>
      <c r="H34" s="21">
        <f>SUM(H35:H38)</f>
        <v>114250</v>
      </c>
      <c r="I34" s="26">
        <f t="shared" si="10"/>
        <v>0.36736334405144694</v>
      </c>
      <c r="J34" s="13"/>
    </row>
    <row r="35" spans="1:10" ht="67.5" customHeight="1" thickBot="1" x14ac:dyDescent="0.3">
      <c r="A35" s="22" t="s">
        <v>20</v>
      </c>
      <c r="B35" s="13" t="s">
        <v>118</v>
      </c>
      <c r="C35" s="47">
        <v>50000</v>
      </c>
      <c r="D35" s="21"/>
      <c r="E35" s="21"/>
      <c r="F35" s="21"/>
      <c r="G35" s="21">
        <f t="shared" si="9"/>
        <v>50000</v>
      </c>
      <c r="H35" s="21">
        <f>SUM(C35*0.5)</f>
        <v>25000</v>
      </c>
      <c r="I35" s="26">
        <f t="shared" si="10"/>
        <v>0.5</v>
      </c>
      <c r="J35" s="13" t="s">
        <v>143</v>
      </c>
    </row>
    <row r="36" spans="1:10" ht="72" customHeight="1" thickBot="1" x14ac:dyDescent="0.3">
      <c r="A36" s="22" t="s">
        <v>21</v>
      </c>
      <c r="B36" s="13" t="s">
        <v>86</v>
      </c>
      <c r="C36" s="47">
        <v>60000</v>
      </c>
      <c r="D36" s="21"/>
      <c r="E36" s="21"/>
      <c r="F36" s="21"/>
      <c r="G36" s="21">
        <f t="shared" si="9"/>
        <v>60000</v>
      </c>
      <c r="H36" s="21">
        <f>SUM(C36*0.75)</f>
        <v>45000</v>
      </c>
      <c r="I36" s="26">
        <f t="shared" si="10"/>
        <v>0.75</v>
      </c>
      <c r="J36" s="13" t="s">
        <v>144</v>
      </c>
    </row>
    <row r="37" spans="1:10" ht="75" customHeight="1" thickBot="1" x14ac:dyDescent="0.3">
      <c r="A37" s="22" t="s">
        <v>22</v>
      </c>
      <c r="B37" s="13" t="s">
        <v>83</v>
      </c>
      <c r="C37" s="47">
        <v>35000</v>
      </c>
      <c r="D37" s="21"/>
      <c r="E37" s="21"/>
      <c r="F37" s="21"/>
      <c r="G37" s="21">
        <f t="shared" si="9"/>
        <v>35000</v>
      </c>
      <c r="H37" s="21">
        <f>SUM(C37*0.75)</f>
        <v>26250</v>
      </c>
      <c r="I37" s="26">
        <f t="shared" si="10"/>
        <v>0.75</v>
      </c>
      <c r="J37" s="13" t="s">
        <v>144</v>
      </c>
    </row>
    <row r="38" spans="1:10" ht="77.25" customHeight="1" thickBot="1" x14ac:dyDescent="0.3">
      <c r="A38" s="14" t="s">
        <v>87</v>
      </c>
      <c r="B38" s="14" t="s">
        <v>84</v>
      </c>
      <c r="C38" s="49">
        <v>36000</v>
      </c>
      <c r="D38" s="20"/>
      <c r="E38" s="20"/>
      <c r="F38" s="20"/>
      <c r="G38" s="21">
        <f t="shared" si="9"/>
        <v>36000</v>
      </c>
      <c r="H38" s="21">
        <f>SUM(C38*0.5)</f>
        <v>18000</v>
      </c>
      <c r="I38" s="26">
        <f t="shared" si="10"/>
        <v>0.5</v>
      </c>
      <c r="J38" s="14" t="s">
        <v>145</v>
      </c>
    </row>
    <row r="39" spans="1:10" ht="142.5" thickBot="1" x14ac:dyDescent="0.3">
      <c r="A39" s="22" t="s">
        <v>193</v>
      </c>
      <c r="B39" s="13" t="s">
        <v>175</v>
      </c>
      <c r="C39" s="47">
        <f>10000*3</f>
        <v>30000</v>
      </c>
      <c r="D39" s="21"/>
      <c r="E39" s="21"/>
      <c r="F39" s="21"/>
      <c r="G39" s="21">
        <f t="shared" ref="G39:G41" si="13">SUM(C39:F39)</f>
        <v>30000</v>
      </c>
      <c r="H39" s="21">
        <f>SUM(D39+(E39*0.5)+(C39*0.3))</f>
        <v>9000</v>
      </c>
      <c r="I39" s="26">
        <f t="shared" ref="I39:I41" si="14">H39/G39</f>
        <v>0.3</v>
      </c>
      <c r="J39" s="13" t="s">
        <v>140</v>
      </c>
    </row>
    <row r="40" spans="1:10" ht="140.25" customHeight="1" thickBot="1" x14ac:dyDescent="0.3">
      <c r="A40" s="22" t="s">
        <v>116</v>
      </c>
      <c r="B40" s="13" t="s">
        <v>199</v>
      </c>
      <c r="C40" s="47">
        <v>40000</v>
      </c>
      <c r="D40" s="21"/>
      <c r="E40" s="21"/>
      <c r="F40" s="21"/>
      <c r="G40" s="21">
        <f>SUM(C40:F40)</f>
        <v>40000</v>
      </c>
      <c r="H40" s="21">
        <f>SUM(D40+(E40*0.1)+(C40*0.5))</f>
        <v>20000</v>
      </c>
      <c r="I40" s="26">
        <f>H40/G40</f>
        <v>0.5</v>
      </c>
      <c r="J40" s="13" t="s">
        <v>138</v>
      </c>
    </row>
    <row r="41" spans="1:10" ht="63.75" thickBot="1" x14ac:dyDescent="0.3">
      <c r="A41" s="56" t="s">
        <v>194</v>
      </c>
      <c r="B41" s="55" t="s">
        <v>200</v>
      </c>
      <c r="C41" s="57">
        <v>60000</v>
      </c>
      <c r="D41" s="57"/>
      <c r="E41" s="57"/>
      <c r="F41" s="57"/>
      <c r="G41" s="57">
        <f t="shared" si="13"/>
        <v>60000</v>
      </c>
      <c r="H41" s="57">
        <f>SUM(D41+(E41*0.5)+(C41*0.3))</f>
        <v>18000</v>
      </c>
      <c r="I41" s="58">
        <f t="shared" si="14"/>
        <v>0.3</v>
      </c>
      <c r="J41" s="13" t="s">
        <v>142</v>
      </c>
    </row>
    <row r="42" spans="1:10" ht="16.5" thickBot="1" x14ac:dyDescent="0.3">
      <c r="A42" s="164" t="s">
        <v>23</v>
      </c>
      <c r="B42" s="165"/>
      <c r="C42" s="50">
        <f t="shared" ref="C42:H42" si="15">SUM(C29+C34)</f>
        <v>311000</v>
      </c>
      <c r="D42" s="29">
        <f t="shared" si="15"/>
        <v>0</v>
      </c>
      <c r="E42" s="29">
        <f t="shared" si="15"/>
        <v>545355</v>
      </c>
      <c r="F42" s="29">
        <f t="shared" si="15"/>
        <v>0</v>
      </c>
      <c r="G42" s="29">
        <f t="shared" si="15"/>
        <v>856355</v>
      </c>
      <c r="H42" s="29">
        <f t="shared" si="15"/>
        <v>444985.5</v>
      </c>
      <c r="I42" s="26">
        <f t="shared" si="10"/>
        <v>0.51962737416141669</v>
      </c>
      <c r="J42" s="28"/>
    </row>
    <row r="43" spans="1:10" ht="13.5" customHeight="1" thickBot="1" x14ac:dyDescent="0.3">
      <c r="A43" s="30"/>
      <c r="B43" s="31"/>
      <c r="C43" s="31"/>
      <c r="D43" s="31"/>
      <c r="E43" s="31"/>
      <c r="F43" s="31"/>
      <c r="G43" s="31"/>
      <c r="H43" s="31"/>
      <c r="I43" s="31"/>
      <c r="J43" s="33"/>
    </row>
    <row r="44" spans="1:10" ht="33.75" customHeight="1" thickBot="1" x14ac:dyDescent="0.3">
      <c r="A44" s="168" t="s">
        <v>85</v>
      </c>
      <c r="B44" s="169"/>
      <c r="C44" s="169"/>
      <c r="D44" s="169"/>
      <c r="E44" s="169"/>
      <c r="F44" s="169"/>
      <c r="G44" s="169"/>
      <c r="H44" s="169"/>
      <c r="I44" s="170"/>
      <c r="J44" s="13"/>
    </row>
    <row r="45" spans="1:10" ht="32.25" thickBot="1" x14ac:dyDescent="0.3">
      <c r="A45" s="27" t="s">
        <v>24</v>
      </c>
      <c r="B45" s="13" t="s">
        <v>88</v>
      </c>
      <c r="C45" s="47">
        <f>SUM(C46:C48)</f>
        <v>0</v>
      </c>
      <c r="D45" s="21">
        <f>SUM(D46:D48)</f>
        <v>30000</v>
      </c>
      <c r="E45" s="21">
        <f>SUM(E46:E48)</f>
        <v>0</v>
      </c>
      <c r="F45" s="21">
        <f>SUM(F46:F48)</f>
        <v>262960</v>
      </c>
      <c r="G45" s="21">
        <f>SUM(C45:F45)</f>
        <v>292960</v>
      </c>
      <c r="H45" s="21">
        <f>SUM(H46:H48)</f>
        <v>111480</v>
      </c>
      <c r="I45" s="26">
        <f>H45/G45</f>
        <v>0.38052976515565262</v>
      </c>
      <c r="J45" s="13"/>
    </row>
    <row r="46" spans="1:10" ht="95.25" thickBot="1" x14ac:dyDescent="0.3">
      <c r="A46" s="22" t="s">
        <v>25</v>
      </c>
      <c r="B46" s="13" t="s">
        <v>119</v>
      </c>
      <c r="C46" s="47"/>
      <c r="D46" s="21"/>
      <c r="E46" s="21"/>
      <c r="F46" s="21">
        <v>250000</v>
      </c>
      <c r="G46" s="21">
        <f t="shared" ref="G46:G52" si="16">SUM(C46:F46)</f>
        <v>250000</v>
      </c>
      <c r="H46" s="21">
        <f>SUM(D46+(F46*0.3))</f>
        <v>75000</v>
      </c>
      <c r="I46" s="26">
        <f t="shared" ref="I46:I53" si="17">H46/G46</f>
        <v>0.3</v>
      </c>
      <c r="J46" s="13" t="s">
        <v>176</v>
      </c>
    </row>
    <row r="47" spans="1:10" ht="63.75" thickBot="1" x14ac:dyDescent="0.3">
      <c r="A47" s="22" t="s">
        <v>26</v>
      </c>
      <c r="B47" s="13" t="s">
        <v>178</v>
      </c>
      <c r="C47" s="47"/>
      <c r="D47" s="21"/>
      <c r="E47" s="21"/>
      <c r="F47" s="21">
        <f>12*20*18*3</f>
        <v>12960</v>
      </c>
      <c r="G47" s="21">
        <f t="shared" si="16"/>
        <v>12960</v>
      </c>
      <c r="H47" s="21">
        <f>SUM(D47+(F47*0.5))</f>
        <v>6480</v>
      </c>
      <c r="I47" s="26">
        <f t="shared" si="17"/>
        <v>0.5</v>
      </c>
      <c r="J47" s="13" t="s">
        <v>146</v>
      </c>
    </row>
    <row r="48" spans="1:10" ht="48" thickBot="1" x14ac:dyDescent="0.3">
      <c r="A48" s="22" t="s">
        <v>27</v>
      </c>
      <c r="B48" s="13" t="s">
        <v>177</v>
      </c>
      <c r="C48" s="47"/>
      <c r="D48" s="21">
        <f>5000*6</f>
        <v>30000</v>
      </c>
      <c r="E48" s="21"/>
      <c r="F48" s="21"/>
      <c r="G48" s="21">
        <f t="shared" si="16"/>
        <v>30000</v>
      </c>
      <c r="H48" s="21">
        <f t="shared" ref="H48" si="18">SUM(D48+(F48*0.3))</f>
        <v>30000</v>
      </c>
      <c r="I48" s="26">
        <f t="shared" si="17"/>
        <v>1</v>
      </c>
      <c r="J48" s="13" t="s">
        <v>147</v>
      </c>
    </row>
    <row r="49" spans="1:10" ht="32.25" thickBot="1" x14ac:dyDescent="0.3">
      <c r="A49" s="27" t="s">
        <v>28</v>
      </c>
      <c r="B49" s="13" t="s">
        <v>120</v>
      </c>
      <c r="C49" s="47">
        <f>SUM(C50:C52)</f>
        <v>14514.02</v>
      </c>
      <c r="D49" s="21">
        <f t="shared" ref="D49:F49" si="19">SUM(D50:D52)</f>
        <v>0</v>
      </c>
      <c r="E49" s="21">
        <f t="shared" si="19"/>
        <v>0</v>
      </c>
      <c r="F49" s="21">
        <f t="shared" si="19"/>
        <v>20000</v>
      </c>
      <c r="G49" s="21">
        <f t="shared" si="16"/>
        <v>34514.020000000004</v>
      </c>
      <c r="H49" s="21">
        <f>SUM(H50:H52)</f>
        <v>8854.2060000000001</v>
      </c>
      <c r="I49" s="26">
        <f t="shared" si="17"/>
        <v>0.25653940051028534</v>
      </c>
      <c r="J49" s="13"/>
    </row>
    <row r="50" spans="1:10" ht="79.5" thickBot="1" x14ac:dyDescent="0.3">
      <c r="A50" s="22" t="s">
        <v>29</v>
      </c>
      <c r="B50" s="13" t="s">
        <v>179</v>
      </c>
      <c r="C50" s="49"/>
      <c r="D50" s="21"/>
      <c r="E50" s="21"/>
      <c r="F50" s="21">
        <f>5000*3</f>
        <v>15000</v>
      </c>
      <c r="G50" s="21">
        <f t="shared" si="16"/>
        <v>15000</v>
      </c>
      <c r="H50" s="21">
        <f>SUM(F50*0.3)</f>
        <v>4500</v>
      </c>
      <c r="I50" s="26">
        <f t="shared" si="17"/>
        <v>0.3</v>
      </c>
      <c r="J50" s="13" t="s">
        <v>148</v>
      </c>
    </row>
    <row r="51" spans="1:10" s="15" customFormat="1" ht="48" thickBot="1" x14ac:dyDescent="0.3">
      <c r="A51" s="22" t="s">
        <v>30</v>
      </c>
      <c r="B51" s="13" t="s">
        <v>180</v>
      </c>
      <c r="C51" s="47"/>
      <c r="D51" s="21"/>
      <c r="E51" s="21"/>
      <c r="F51" s="21">
        <v>5000</v>
      </c>
      <c r="G51" s="21">
        <f t="shared" si="16"/>
        <v>5000</v>
      </c>
      <c r="H51" s="21"/>
      <c r="I51" s="26">
        <f t="shared" si="17"/>
        <v>0</v>
      </c>
      <c r="J51" s="13" t="s">
        <v>93</v>
      </c>
    </row>
    <row r="52" spans="1:10" ht="48" thickBot="1" x14ac:dyDescent="0.3">
      <c r="A52" s="22" t="s">
        <v>31</v>
      </c>
      <c r="B52" s="13" t="s">
        <v>181</v>
      </c>
      <c r="C52" s="47">
        <v>14514.02</v>
      </c>
      <c r="D52" s="21"/>
      <c r="E52" s="21"/>
      <c r="F52" s="21"/>
      <c r="G52" s="21">
        <f t="shared" si="16"/>
        <v>14514.02</v>
      </c>
      <c r="H52" s="21">
        <f>C52*0.3</f>
        <v>4354.2060000000001</v>
      </c>
      <c r="I52" s="26">
        <f t="shared" si="17"/>
        <v>0.3</v>
      </c>
      <c r="J52" s="13" t="s">
        <v>149</v>
      </c>
    </row>
    <row r="53" spans="1:10" ht="16.5" thickBot="1" x14ac:dyDescent="0.3">
      <c r="A53" s="164" t="s">
        <v>32</v>
      </c>
      <c r="B53" s="165"/>
      <c r="C53" s="50">
        <f>SUM(C49+C45)</f>
        <v>14514.02</v>
      </c>
      <c r="D53" s="29">
        <f t="shared" ref="D53:H53" si="20">SUM(D49+D45)</f>
        <v>30000</v>
      </c>
      <c r="E53" s="29">
        <f t="shared" si="20"/>
        <v>0</v>
      </c>
      <c r="F53" s="29">
        <f t="shared" si="20"/>
        <v>282960</v>
      </c>
      <c r="G53" s="29">
        <f t="shared" si="20"/>
        <v>327474.02</v>
      </c>
      <c r="H53" s="29">
        <f t="shared" si="20"/>
        <v>120334.20600000001</v>
      </c>
      <c r="I53" s="26">
        <f t="shared" si="17"/>
        <v>0.36746184017895528</v>
      </c>
      <c r="J53" s="28"/>
    </row>
    <row r="54" spans="1:10" ht="16.5" thickBot="1" x14ac:dyDescent="0.3">
      <c r="A54" s="30"/>
      <c r="B54" s="31"/>
      <c r="C54" s="34"/>
      <c r="D54" s="34"/>
      <c r="E54" s="34"/>
      <c r="F54" s="34"/>
      <c r="G54" s="34"/>
      <c r="H54" s="34"/>
      <c r="I54" s="31"/>
      <c r="J54" s="32"/>
    </row>
    <row r="55" spans="1:10" ht="16.5" thickBot="1" x14ac:dyDescent="0.3">
      <c r="A55" s="168" t="s">
        <v>121</v>
      </c>
      <c r="B55" s="169"/>
      <c r="C55" s="169"/>
      <c r="D55" s="169"/>
      <c r="E55" s="169"/>
      <c r="F55" s="169"/>
      <c r="G55" s="169"/>
      <c r="H55" s="169"/>
      <c r="I55" s="169"/>
      <c r="J55" s="170"/>
    </row>
    <row r="56" spans="1:10" ht="48" thickBot="1" x14ac:dyDescent="0.3">
      <c r="A56" s="27" t="s">
        <v>33</v>
      </c>
      <c r="B56" s="13" t="s">
        <v>122</v>
      </c>
      <c r="C56" s="47">
        <f>SUM(C57:C59)</f>
        <v>85000</v>
      </c>
      <c r="D56" s="21">
        <f t="shared" ref="D56:F56" si="21">SUM(D57:D59)</f>
        <v>0</v>
      </c>
      <c r="E56" s="21">
        <f t="shared" si="21"/>
        <v>0</v>
      </c>
      <c r="F56" s="21">
        <f t="shared" si="21"/>
        <v>0</v>
      </c>
      <c r="G56" s="21">
        <f>SUM(C56:F56)</f>
        <v>85000</v>
      </c>
      <c r="H56" s="21">
        <f>SUM(H57:H59)</f>
        <v>43000</v>
      </c>
      <c r="I56" s="26">
        <f>SUM(H56/G56)</f>
        <v>0.50588235294117645</v>
      </c>
      <c r="J56" s="13"/>
    </row>
    <row r="57" spans="1:10" ht="32.25" thickBot="1" x14ac:dyDescent="0.3">
      <c r="A57" s="22" t="s">
        <v>34</v>
      </c>
      <c r="B57" s="13" t="s">
        <v>182</v>
      </c>
      <c r="C57" s="47">
        <v>10000</v>
      </c>
      <c r="D57" s="21"/>
      <c r="E57" s="21"/>
      <c r="F57" s="21"/>
      <c r="G57" s="21">
        <f t="shared" ref="G57:G63" si="22">SUM(C57:F57)</f>
        <v>10000</v>
      </c>
      <c r="H57" s="21">
        <f>C57*1</f>
        <v>10000</v>
      </c>
      <c r="I57" s="26">
        <f t="shared" ref="I57:I64" si="23">SUM(H57/G57)</f>
        <v>1</v>
      </c>
      <c r="J57" s="13" t="s">
        <v>150</v>
      </c>
    </row>
    <row r="58" spans="1:10" ht="79.5" thickBot="1" x14ac:dyDescent="0.3">
      <c r="A58" s="22" t="s">
        <v>35</v>
      </c>
      <c r="B58" s="13" t="s">
        <v>183</v>
      </c>
      <c r="C58" s="47">
        <v>15000</v>
      </c>
      <c r="D58" s="21"/>
      <c r="E58" s="21"/>
      <c r="F58" s="21"/>
      <c r="G58" s="21">
        <f t="shared" si="22"/>
        <v>15000</v>
      </c>
      <c r="H58" s="21">
        <f>C58*1</f>
        <v>15000</v>
      </c>
      <c r="I58" s="26">
        <f t="shared" si="23"/>
        <v>1</v>
      </c>
      <c r="J58" s="13" t="s">
        <v>151</v>
      </c>
    </row>
    <row r="59" spans="1:10" ht="63.75" thickBot="1" x14ac:dyDescent="0.3">
      <c r="A59" s="22" t="s">
        <v>36</v>
      </c>
      <c r="B59" s="13" t="s">
        <v>184</v>
      </c>
      <c r="C59" s="47">
        <f>60000</f>
        <v>60000</v>
      </c>
      <c r="D59" s="21"/>
      <c r="E59" s="21"/>
      <c r="F59" s="21"/>
      <c r="G59" s="21">
        <f t="shared" si="22"/>
        <v>60000</v>
      </c>
      <c r="H59" s="21">
        <f>C59*0.3</f>
        <v>18000</v>
      </c>
      <c r="I59" s="26">
        <f t="shared" si="23"/>
        <v>0.3</v>
      </c>
      <c r="J59" s="13" t="s">
        <v>152</v>
      </c>
    </row>
    <row r="60" spans="1:10" ht="32.25" thickBot="1" x14ac:dyDescent="0.3">
      <c r="A60" s="27" t="s">
        <v>37</v>
      </c>
      <c r="B60" s="13" t="s">
        <v>185</v>
      </c>
      <c r="C60" s="47">
        <f>SUM(C61:C63)</f>
        <v>9000</v>
      </c>
      <c r="D60" s="21">
        <f>SUM(D61:D63)</f>
        <v>0</v>
      </c>
      <c r="E60" s="21">
        <f t="shared" ref="E60:F60" si="24">SUM(E61:E63)</f>
        <v>0</v>
      </c>
      <c r="F60" s="21">
        <f t="shared" si="24"/>
        <v>0</v>
      </c>
      <c r="G60" s="21">
        <f t="shared" si="22"/>
        <v>9000</v>
      </c>
      <c r="H60" s="21">
        <f>SUM(H61:H63)</f>
        <v>1500</v>
      </c>
      <c r="I60" s="26">
        <f t="shared" si="23"/>
        <v>0.16666666666666666</v>
      </c>
      <c r="J60" s="13"/>
    </row>
    <row r="61" spans="1:10" ht="111" thickBot="1" x14ac:dyDescent="0.3">
      <c r="A61" s="22" t="s">
        <v>38</v>
      </c>
      <c r="B61" s="13" t="s">
        <v>186</v>
      </c>
      <c r="C61" s="47">
        <v>5000</v>
      </c>
      <c r="D61" s="21"/>
      <c r="E61" s="21"/>
      <c r="F61" s="21"/>
      <c r="G61" s="21">
        <f t="shared" si="22"/>
        <v>5000</v>
      </c>
      <c r="H61" s="21">
        <f>C61*0.3</f>
        <v>1500</v>
      </c>
      <c r="I61" s="26">
        <f t="shared" si="23"/>
        <v>0.3</v>
      </c>
      <c r="J61" s="13" t="s">
        <v>153</v>
      </c>
    </row>
    <row r="62" spans="1:10" s="15" customFormat="1" ht="63.75" thickBot="1" x14ac:dyDescent="0.3">
      <c r="A62" s="22" t="s">
        <v>39</v>
      </c>
      <c r="B62" s="13" t="s">
        <v>187</v>
      </c>
      <c r="C62" s="47">
        <v>3000</v>
      </c>
      <c r="D62" s="21"/>
      <c r="E62" s="21"/>
      <c r="F62" s="21"/>
      <c r="G62" s="21">
        <f>SUM(C62:F62)</f>
        <v>3000</v>
      </c>
      <c r="H62" s="21"/>
      <c r="I62" s="26">
        <f t="shared" si="23"/>
        <v>0</v>
      </c>
      <c r="J62" s="13"/>
    </row>
    <row r="63" spans="1:10" ht="32.25" thickBot="1" x14ac:dyDescent="0.3">
      <c r="A63" s="22" t="s">
        <v>40</v>
      </c>
      <c r="B63" s="13" t="s">
        <v>188</v>
      </c>
      <c r="C63" s="47">
        <v>1000</v>
      </c>
      <c r="D63" s="21"/>
      <c r="E63" s="21"/>
      <c r="F63" s="21"/>
      <c r="G63" s="21">
        <f t="shared" si="22"/>
        <v>1000</v>
      </c>
      <c r="H63" s="21"/>
      <c r="I63" s="26">
        <f t="shared" si="23"/>
        <v>0</v>
      </c>
      <c r="J63" s="13" t="s">
        <v>89</v>
      </c>
    </row>
    <row r="64" spans="1:10" ht="16.5" thickBot="1" x14ac:dyDescent="0.3">
      <c r="A64" s="164" t="s">
        <v>74</v>
      </c>
      <c r="B64" s="165"/>
      <c r="C64" s="50">
        <f>SUM(C56+C60)</f>
        <v>94000</v>
      </c>
      <c r="D64" s="29">
        <f t="shared" ref="D64:H64" si="25">SUM(D56+D60)</f>
        <v>0</v>
      </c>
      <c r="E64" s="29">
        <f t="shared" si="25"/>
        <v>0</v>
      </c>
      <c r="F64" s="29">
        <f t="shared" si="25"/>
        <v>0</v>
      </c>
      <c r="G64" s="29">
        <f t="shared" si="25"/>
        <v>94000</v>
      </c>
      <c r="H64" s="29">
        <f t="shared" si="25"/>
        <v>44500</v>
      </c>
      <c r="I64" s="26">
        <f t="shared" si="23"/>
        <v>0.47340425531914893</v>
      </c>
      <c r="J64" s="28"/>
    </row>
    <row r="65" spans="1:10" ht="16.5" thickBot="1" x14ac:dyDescent="0.3">
      <c r="A65" s="35"/>
      <c r="B65" s="36"/>
      <c r="C65" s="51"/>
      <c r="D65" s="37"/>
      <c r="E65" s="37"/>
      <c r="F65" s="37"/>
      <c r="G65" s="37"/>
      <c r="H65" s="37"/>
      <c r="I65" s="36"/>
      <c r="J65" s="33"/>
    </row>
    <row r="66" spans="1:10" ht="16.5" thickBot="1" x14ac:dyDescent="0.3">
      <c r="A66" s="22" t="s">
        <v>41</v>
      </c>
      <c r="B66" s="13"/>
      <c r="C66" s="47">
        <f>SUM(C67:C79)</f>
        <v>426388.05</v>
      </c>
      <c r="D66" s="21">
        <f>SUM(D67:D79)</f>
        <v>160395</v>
      </c>
      <c r="E66" s="21">
        <f>SUM(E67:E79)</f>
        <v>96506.25</v>
      </c>
      <c r="F66" s="21">
        <f>SUM(F67:F79)</f>
        <v>0</v>
      </c>
      <c r="G66" s="21">
        <f>SUM(C66:F66)</f>
        <v>683289.3</v>
      </c>
      <c r="H66" s="21">
        <f>SUM(H67:H79)</f>
        <v>160395</v>
      </c>
      <c r="I66" s="13"/>
      <c r="J66" s="13"/>
    </row>
    <row r="67" spans="1:10" ht="32.25" thickBot="1" x14ac:dyDescent="0.3">
      <c r="A67" s="22" t="s">
        <v>107</v>
      </c>
      <c r="B67" s="13"/>
      <c r="C67" s="47">
        <f>203362</f>
        <v>203362</v>
      </c>
      <c r="D67" s="21"/>
      <c r="E67" s="21"/>
      <c r="F67" s="21"/>
      <c r="G67" s="21">
        <f t="shared" ref="G67:G93" si="26">SUM(C67:F67)</f>
        <v>203362</v>
      </c>
      <c r="H67" s="21"/>
      <c r="I67" s="13"/>
      <c r="J67" s="13"/>
    </row>
    <row r="68" spans="1:10" ht="32.25" thickBot="1" x14ac:dyDescent="0.3">
      <c r="A68" s="22" t="s">
        <v>114</v>
      </c>
      <c r="B68" s="13"/>
      <c r="C68" s="47"/>
      <c r="D68" s="21"/>
      <c r="E68" s="21"/>
      <c r="F68" s="21"/>
      <c r="G68" s="21">
        <f t="shared" si="26"/>
        <v>0</v>
      </c>
      <c r="H68" s="21"/>
      <c r="I68" s="13"/>
      <c r="J68" s="13" t="s">
        <v>109</v>
      </c>
    </row>
    <row r="69" spans="1:10" ht="32.25" thickBot="1" x14ac:dyDescent="0.3">
      <c r="A69" s="22" t="s">
        <v>113</v>
      </c>
      <c r="B69" s="13"/>
      <c r="C69" s="47"/>
      <c r="D69" s="21"/>
      <c r="E69" s="21"/>
      <c r="F69" s="21"/>
      <c r="G69" s="21">
        <f t="shared" si="26"/>
        <v>0</v>
      </c>
      <c r="H69" s="21"/>
      <c r="I69" s="13"/>
      <c r="J69" s="13" t="s">
        <v>109</v>
      </c>
    </row>
    <row r="70" spans="1:10" ht="32.25" thickBot="1" x14ac:dyDescent="0.3">
      <c r="A70" s="22" t="s">
        <v>190</v>
      </c>
      <c r="B70" s="13"/>
      <c r="C70" s="47">
        <f>77205*1.5</f>
        <v>115807.5</v>
      </c>
      <c r="D70" s="21"/>
      <c r="E70" s="21"/>
      <c r="F70" s="21"/>
      <c r="G70" s="21">
        <f t="shared" si="26"/>
        <v>115807.5</v>
      </c>
      <c r="H70" s="21"/>
      <c r="I70" s="13"/>
      <c r="J70" s="13"/>
    </row>
    <row r="71" spans="1:10" ht="16.5" thickBot="1" x14ac:dyDescent="0.3">
      <c r="A71" s="22" t="s">
        <v>191</v>
      </c>
      <c r="B71" s="13"/>
      <c r="C71" s="47">
        <f>17583*1.5</f>
        <v>26374.5</v>
      </c>
      <c r="D71" s="21"/>
      <c r="E71" s="21"/>
      <c r="F71" s="21"/>
      <c r="G71" s="21">
        <f t="shared" si="26"/>
        <v>26374.5</v>
      </c>
      <c r="H71" s="21"/>
      <c r="I71" s="13"/>
      <c r="J71" s="13"/>
    </row>
    <row r="72" spans="1:10" ht="48" thickBot="1" x14ac:dyDescent="0.3">
      <c r="A72" s="22" t="s">
        <v>195</v>
      </c>
      <c r="B72" s="13"/>
      <c r="C72" s="47">
        <f>(77205*0.4)*1.5</f>
        <v>46323</v>
      </c>
      <c r="D72" s="21"/>
      <c r="E72" s="21"/>
      <c r="F72" s="21"/>
      <c r="G72" s="21">
        <f t="shared" si="26"/>
        <v>46323</v>
      </c>
      <c r="H72" s="21"/>
      <c r="I72" s="13"/>
      <c r="J72" s="13" t="s">
        <v>110</v>
      </c>
    </row>
    <row r="73" spans="1:10" s="15" customFormat="1" ht="48" thickBot="1" x14ac:dyDescent="0.3">
      <c r="A73" s="22" t="s">
        <v>101</v>
      </c>
      <c r="B73" s="13"/>
      <c r="C73" s="47">
        <v>11521.05</v>
      </c>
      <c r="D73" s="21"/>
      <c r="E73" s="21"/>
      <c r="F73" s="21"/>
      <c r="G73" s="21">
        <f t="shared" si="26"/>
        <v>11521.05</v>
      </c>
      <c r="H73" s="21"/>
      <c r="I73" s="13"/>
      <c r="J73" s="13" t="s">
        <v>111</v>
      </c>
    </row>
    <row r="74" spans="1:10" s="15" customFormat="1" ht="48" thickBot="1" x14ac:dyDescent="0.3">
      <c r="A74" s="22" t="s">
        <v>196</v>
      </c>
      <c r="B74" s="13"/>
      <c r="C74" s="47">
        <f>46000*0.5</f>
        <v>23000</v>
      </c>
      <c r="D74" s="21"/>
      <c r="E74" s="21"/>
      <c r="F74" s="21"/>
      <c r="G74" s="21">
        <f t="shared" si="26"/>
        <v>23000</v>
      </c>
      <c r="H74" s="21"/>
      <c r="I74" s="13"/>
      <c r="J74" s="13"/>
    </row>
    <row r="75" spans="1:10" s="15" customFormat="1" ht="32.25" thickBot="1" x14ac:dyDescent="0.3">
      <c r="A75" s="22" t="s">
        <v>102</v>
      </c>
      <c r="B75" s="13"/>
      <c r="C75" s="47"/>
      <c r="D75" s="21">
        <f>(59450*0.5)*1.5</f>
        <v>44587.5</v>
      </c>
      <c r="E75" s="21"/>
      <c r="F75" s="21"/>
      <c r="G75" s="21">
        <f t="shared" si="26"/>
        <v>44587.5</v>
      </c>
      <c r="H75" s="21">
        <f>D75</f>
        <v>44587.5</v>
      </c>
      <c r="I75" s="13"/>
      <c r="J75" s="13" t="s">
        <v>70</v>
      </c>
    </row>
    <row r="76" spans="1:10" s="15" customFormat="1" ht="32.25" thickBot="1" x14ac:dyDescent="0.3">
      <c r="A76" s="22" t="s">
        <v>103</v>
      </c>
      <c r="B76" s="13"/>
      <c r="C76" s="47"/>
      <c r="D76" s="21"/>
      <c r="E76" s="21">
        <f>77205*0.75</f>
        <v>57903.75</v>
      </c>
      <c r="F76" s="21"/>
      <c r="G76" s="21">
        <f t="shared" si="26"/>
        <v>57903.75</v>
      </c>
      <c r="H76" s="21"/>
      <c r="I76" s="13"/>
      <c r="J76" s="13" t="s">
        <v>124</v>
      </c>
    </row>
    <row r="77" spans="1:10" ht="32.25" thickBot="1" x14ac:dyDescent="0.3">
      <c r="A77" s="22" t="s">
        <v>104</v>
      </c>
      <c r="B77" s="13"/>
      <c r="C77" s="47"/>
      <c r="D77" s="21"/>
      <c r="E77" s="21">
        <f>77205/4</f>
        <v>19301.25</v>
      </c>
      <c r="F77" s="21"/>
      <c r="G77" s="21">
        <f t="shared" si="26"/>
        <v>19301.25</v>
      </c>
      <c r="H77" s="21"/>
      <c r="I77" s="13"/>
      <c r="J77" s="13" t="s">
        <v>92</v>
      </c>
    </row>
    <row r="78" spans="1:10" s="15" customFormat="1" ht="32.25" thickBot="1" x14ac:dyDescent="0.3">
      <c r="A78" s="13" t="s">
        <v>105</v>
      </c>
      <c r="B78" s="13"/>
      <c r="C78" s="47"/>
      <c r="D78" s="21"/>
      <c r="E78" s="21">
        <f>77205/4</f>
        <v>19301.25</v>
      </c>
      <c r="F78" s="21"/>
      <c r="G78" s="21">
        <f t="shared" si="26"/>
        <v>19301.25</v>
      </c>
      <c r="H78" s="21"/>
      <c r="I78" s="13"/>
      <c r="J78" s="13" t="s">
        <v>92</v>
      </c>
    </row>
    <row r="79" spans="1:10" s="15" customFormat="1" ht="48" thickBot="1" x14ac:dyDescent="0.3">
      <c r="A79" s="13" t="s">
        <v>106</v>
      </c>
      <c r="B79" s="13"/>
      <c r="C79" s="47"/>
      <c r="D79" s="21">
        <f>77205*1.5</f>
        <v>115807.5</v>
      </c>
      <c r="E79" s="21"/>
      <c r="F79" s="21"/>
      <c r="G79" s="21">
        <f t="shared" si="26"/>
        <v>115807.5</v>
      </c>
      <c r="H79" s="21">
        <f>D79</f>
        <v>115807.5</v>
      </c>
      <c r="I79" s="13"/>
      <c r="J79" s="13"/>
    </row>
    <row r="80" spans="1:10" s="15" customFormat="1" ht="32.25" thickBot="1" x14ac:dyDescent="0.3">
      <c r="A80" s="22" t="s">
        <v>42</v>
      </c>
      <c r="B80" s="38"/>
      <c r="C80" s="52">
        <f>SUM(C81:C89)</f>
        <v>129300</v>
      </c>
      <c r="D80" s="39">
        <f t="shared" ref="D80:E80" si="27">SUM(D81:D89)</f>
        <v>4700</v>
      </c>
      <c r="E80" s="39">
        <f t="shared" si="27"/>
        <v>5700</v>
      </c>
      <c r="F80" s="39"/>
      <c r="G80" s="21">
        <f t="shared" si="26"/>
        <v>139700</v>
      </c>
      <c r="H80" s="39"/>
      <c r="I80" s="40"/>
      <c r="J80" s="38"/>
    </row>
    <row r="81" spans="1:10" s="15" customFormat="1" ht="16.5" thickBot="1" x14ac:dyDescent="0.3">
      <c r="A81" s="41" t="s">
        <v>91</v>
      </c>
      <c r="B81" s="42"/>
      <c r="C81" s="49">
        <v>80000</v>
      </c>
      <c r="D81" s="20"/>
      <c r="E81" s="20"/>
      <c r="F81" s="20"/>
      <c r="G81" s="21">
        <f t="shared" si="26"/>
        <v>80000</v>
      </c>
      <c r="H81" s="21"/>
      <c r="I81" s="14"/>
      <c r="J81" s="42"/>
    </row>
    <row r="82" spans="1:10" s="15" customFormat="1" ht="30.75" thickBot="1" x14ac:dyDescent="0.3">
      <c r="A82" s="18" t="s">
        <v>94</v>
      </c>
      <c r="B82" s="42"/>
      <c r="C82" s="49">
        <v>8000</v>
      </c>
      <c r="D82" s="20">
        <v>2000</v>
      </c>
      <c r="E82" s="20">
        <v>3000</v>
      </c>
      <c r="F82" s="20"/>
      <c r="G82" s="21">
        <f t="shared" si="26"/>
        <v>13000</v>
      </c>
      <c r="H82" s="21"/>
      <c r="I82" s="14"/>
      <c r="J82" s="42"/>
    </row>
    <row r="83" spans="1:10" s="15" customFormat="1" ht="30.75" thickBot="1" x14ac:dyDescent="0.3">
      <c r="A83" s="18" t="s">
        <v>95</v>
      </c>
      <c r="B83" s="42"/>
      <c r="C83" s="49">
        <v>600</v>
      </c>
      <c r="D83" s="20"/>
      <c r="E83" s="20"/>
      <c r="F83" s="20"/>
      <c r="G83" s="21">
        <f t="shared" si="26"/>
        <v>600</v>
      </c>
      <c r="H83" s="21"/>
      <c r="I83" s="14"/>
      <c r="J83" s="42"/>
    </row>
    <row r="84" spans="1:10" s="15" customFormat="1" ht="30.75" thickBot="1" x14ac:dyDescent="0.3">
      <c r="A84" s="18" t="s">
        <v>96</v>
      </c>
      <c r="B84" s="42"/>
      <c r="C84" s="49">
        <v>1000</v>
      </c>
      <c r="D84" s="20"/>
      <c r="E84" s="20"/>
      <c r="F84" s="20"/>
      <c r="G84" s="21">
        <f t="shared" si="26"/>
        <v>1000</v>
      </c>
      <c r="H84" s="21"/>
      <c r="I84" s="14"/>
      <c r="J84" s="42"/>
    </row>
    <row r="85" spans="1:10" s="15" customFormat="1" ht="60.75" thickBot="1" x14ac:dyDescent="0.3">
      <c r="A85" s="18" t="s">
        <v>125</v>
      </c>
      <c r="B85" s="42"/>
      <c r="C85" s="49">
        <v>4500</v>
      </c>
      <c r="D85" s="20"/>
      <c r="E85" s="20"/>
      <c r="F85" s="20"/>
      <c r="G85" s="21">
        <f t="shared" si="26"/>
        <v>4500</v>
      </c>
      <c r="H85" s="21"/>
      <c r="I85" s="14"/>
      <c r="J85" s="42"/>
    </row>
    <row r="86" spans="1:10" s="15" customFormat="1" ht="30.75" thickBot="1" x14ac:dyDescent="0.3">
      <c r="A86" s="18" t="s">
        <v>99</v>
      </c>
      <c r="B86" s="42"/>
      <c r="C86" s="49">
        <v>10000</v>
      </c>
      <c r="D86" s="20"/>
      <c r="E86" s="20"/>
      <c r="F86" s="20"/>
      <c r="G86" s="21">
        <f t="shared" si="26"/>
        <v>10000</v>
      </c>
      <c r="H86" s="21"/>
      <c r="I86" s="14"/>
      <c r="J86" s="42"/>
    </row>
    <row r="87" spans="1:10" ht="30.75" thickBot="1" x14ac:dyDescent="0.3">
      <c r="A87" s="18" t="s">
        <v>98</v>
      </c>
      <c r="B87" s="42"/>
      <c r="C87" s="49">
        <f>18*400</f>
        <v>7200</v>
      </c>
      <c r="D87" s="20"/>
      <c r="E87" s="20"/>
      <c r="F87" s="20"/>
      <c r="G87" s="21">
        <f t="shared" si="26"/>
        <v>7200</v>
      </c>
      <c r="H87" s="21"/>
      <c r="I87" s="14"/>
      <c r="J87" s="42"/>
    </row>
    <row r="88" spans="1:10" ht="60.75" thickBot="1" x14ac:dyDescent="0.3">
      <c r="A88" s="18" t="s">
        <v>100</v>
      </c>
      <c r="B88" s="42"/>
      <c r="C88" s="49">
        <f>500*18</f>
        <v>9000</v>
      </c>
      <c r="D88" s="20"/>
      <c r="E88" s="20"/>
      <c r="F88" s="20"/>
      <c r="G88" s="21">
        <f t="shared" si="26"/>
        <v>9000</v>
      </c>
      <c r="H88" s="21"/>
      <c r="I88" s="14"/>
      <c r="J88" s="42"/>
    </row>
    <row r="89" spans="1:10" ht="16.5" thickBot="1" x14ac:dyDescent="0.3">
      <c r="A89" s="41" t="s">
        <v>97</v>
      </c>
      <c r="B89" s="42"/>
      <c r="C89" s="49">
        <f>500*18</f>
        <v>9000</v>
      </c>
      <c r="D89" s="20">
        <f>150*18</f>
        <v>2700</v>
      </c>
      <c r="E89" s="20">
        <f>150*18</f>
        <v>2700</v>
      </c>
      <c r="F89" s="20"/>
      <c r="G89" s="21">
        <f t="shared" si="26"/>
        <v>14400</v>
      </c>
      <c r="H89" s="21"/>
      <c r="I89" s="14"/>
      <c r="J89" s="42"/>
    </row>
    <row r="90" spans="1:10" s="15" customFormat="1" ht="32.25" thickBot="1" x14ac:dyDescent="0.3">
      <c r="A90" s="14" t="s">
        <v>203</v>
      </c>
      <c r="B90" s="46"/>
      <c r="C90" s="49">
        <v>50000</v>
      </c>
      <c r="D90" s="20"/>
      <c r="E90" s="20"/>
      <c r="F90" s="20"/>
      <c r="G90" s="21"/>
      <c r="H90" s="21"/>
      <c r="I90" s="14"/>
      <c r="J90" s="42"/>
    </row>
    <row r="91" spans="1:10" ht="48" thickBot="1" x14ac:dyDescent="0.3">
      <c r="A91" s="164" t="s">
        <v>43</v>
      </c>
      <c r="B91" s="165"/>
      <c r="C91" s="53">
        <f>SUM(C80+C66+C64+C53+C42+C26+C90)</f>
        <v>1573162.07</v>
      </c>
      <c r="D91" s="43">
        <f>SUM(D80+D66+D64+D53+D42+D26)</f>
        <v>300055</v>
      </c>
      <c r="E91" s="43">
        <f>SUM(E80+E66+E64+E53+E42+E26)</f>
        <v>647561.25</v>
      </c>
      <c r="F91" s="43">
        <f>SUM(F80+F66+F64+F53+F42+F26)</f>
        <v>282960</v>
      </c>
      <c r="G91" s="29">
        <f t="shared" si="26"/>
        <v>2803738.3200000003</v>
      </c>
      <c r="H91" s="29">
        <f>SUM(H80+H66+H64+H53+H42+H26)</f>
        <v>1128562.706</v>
      </c>
      <c r="I91" s="44">
        <f>H91/G91</f>
        <v>0.40252069815131675</v>
      </c>
      <c r="J91" s="43" t="s">
        <v>154</v>
      </c>
    </row>
    <row r="92" spans="1:10" ht="16.5" thickBot="1" x14ac:dyDescent="0.3">
      <c r="A92" s="166" t="s">
        <v>44</v>
      </c>
      <c r="B92" s="167"/>
      <c r="C92" s="54">
        <f>C91*0.07</f>
        <v>110121.34490000001</v>
      </c>
      <c r="D92" s="45">
        <f t="shared" ref="D92:F92" si="28">D91*0.07</f>
        <v>21003.850000000002</v>
      </c>
      <c r="E92" s="45">
        <f t="shared" si="28"/>
        <v>45329.287500000006</v>
      </c>
      <c r="F92" s="45">
        <f t="shared" si="28"/>
        <v>19807.2</v>
      </c>
      <c r="G92" s="20">
        <f t="shared" si="26"/>
        <v>196261.68240000002</v>
      </c>
      <c r="H92" s="20"/>
      <c r="I92" s="44"/>
      <c r="J92" s="14"/>
    </row>
    <row r="93" spans="1:10" ht="16.5" thickBot="1" x14ac:dyDescent="0.3">
      <c r="A93" s="164" t="s">
        <v>45</v>
      </c>
      <c r="B93" s="165"/>
      <c r="C93" s="53">
        <f>C91+C92</f>
        <v>1683283.4149</v>
      </c>
      <c r="D93" s="43">
        <f t="shared" ref="D93:F93" si="29">D91+D92</f>
        <v>321058.84999999998</v>
      </c>
      <c r="E93" s="43">
        <f t="shared" si="29"/>
        <v>692890.53749999998</v>
      </c>
      <c r="F93" s="43">
        <f t="shared" si="29"/>
        <v>302767.2</v>
      </c>
      <c r="G93" s="29">
        <f t="shared" si="26"/>
        <v>3000000.0024000001</v>
      </c>
      <c r="H93" s="29"/>
      <c r="I93" s="44"/>
      <c r="J93" s="43"/>
    </row>
    <row r="95" spans="1:10" ht="25.5" customHeight="1" x14ac:dyDescent="0.25"/>
  </sheetData>
  <sheetProtection algorithmName="SHA-512" hashValue="z0/ypfKetc6byrUS4H0RnXoxCJHbpZ2Dq+/IRjtoEJe+nAC1+uMT/rTuHdvXssrmoDfSSHi/icnIRVktxhl1Eg==" saltValue="rVqaPIOaJsYbOeh3PUJ3Dg==" spinCount="100000" sheet="1" objects="1" scenarios="1"/>
  <mergeCells count="11">
    <mergeCell ref="A53:B53"/>
    <mergeCell ref="A8:J8"/>
    <mergeCell ref="A28:J28"/>
    <mergeCell ref="A44:I44"/>
    <mergeCell ref="A26:B26"/>
    <mergeCell ref="A42:B42"/>
    <mergeCell ref="A64:B64"/>
    <mergeCell ref="A91:B91"/>
    <mergeCell ref="A92:B92"/>
    <mergeCell ref="A93:B93"/>
    <mergeCell ref="A55:J55"/>
  </mergeCells>
  <pageMargins left="0.7" right="0.7" top="0.75" bottom="0.75" header="0.3" footer="0.3"/>
  <pageSetup scale="74" orientation="landscape" r:id="rId1"/>
  <rowBreaks count="2" manualBreakCount="2">
    <brk id="40"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DF88F-0093-45E6-9E47-B54432722F48}">
  <dimension ref="A1:M16"/>
  <sheetViews>
    <sheetView topLeftCell="A7" workbookViewId="0">
      <selection activeCell="F10" sqref="F10"/>
    </sheetView>
  </sheetViews>
  <sheetFormatPr defaultColWidth="8.85546875" defaultRowHeight="15" x14ac:dyDescent="0.25"/>
  <cols>
    <col min="1" max="1" width="17.140625" style="15" customWidth="1"/>
    <col min="2" max="2" width="12.140625" style="15" bestFit="1" customWidth="1"/>
    <col min="3" max="4" width="10.85546875" style="15" bestFit="1" customWidth="1"/>
    <col min="5" max="5" width="9.85546875" style="15" bestFit="1" customWidth="1"/>
    <col min="6" max="7" width="10.85546875" style="15" bestFit="1" customWidth="1"/>
    <col min="8" max="8" width="10.85546875" style="15" customWidth="1"/>
    <col min="9" max="9" width="10.85546875" style="15" bestFit="1" customWidth="1"/>
    <col min="10" max="10" width="9.85546875" style="15" bestFit="1" customWidth="1"/>
    <col min="11" max="11" width="12.140625" style="15" bestFit="1" customWidth="1"/>
    <col min="12" max="12" width="10.85546875" style="15" bestFit="1" customWidth="1"/>
    <col min="13" max="13" width="12.140625" style="15" bestFit="1" customWidth="1"/>
    <col min="14" max="14" width="8.85546875" style="15" customWidth="1"/>
    <col min="15" max="16384" width="8.85546875" style="15"/>
  </cols>
  <sheetData>
    <row r="1" spans="1:13" ht="15.75" x14ac:dyDescent="0.25">
      <c r="A1" s="5" t="s">
        <v>48</v>
      </c>
      <c r="B1" s="5"/>
      <c r="C1" s="5"/>
      <c r="D1" s="5"/>
    </row>
    <row r="2" spans="1:13" x14ac:dyDescent="0.25">
      <c r="A2" s="10"/>
      <c r="B2" s="10"/>
      <c r="C2" s="10"/>
      <c r="D2" s="10"/>
    </row>
    <row r="3" spans="1:13" x14ac:dyDescent="0.25">
      <c r="A3" s="10" t="s">
        <v>65</v>
      </c>
      <c r="B3" s="10"/>
      <c r="C3" s="10"/>
      <c r="D3" s="10"/>
    </row>
    <row r="4" spans="1:13" ht="15.75" thickBot="1" x14ac:dyDescent="0.3"/>
    <row r="5" spans="1:13" ht="26.25" thickBot="1" x14ac:dyDescent="0.3">
      <c r="A5" s="174" t="s">
        <v>49</v>
      </c>
      <c r="B5" s="176" t="s">
        <v>71</v>
      </c>
      <c r="C5" s="177"/>
      <c r="D5" s="176" t="s">
        <v>72</v>
      </c>
      <c r="E5" s="177"/>
      <c r="F5" s="176" t="s">
        <v>73</v>
      </c>
      <c r="G5" s="177"/>
      <c r="H5" s="134" t="s">
        <v>220</v>
      </c>
      <c r="I5" s="176" t="s">
        <v>189</v>
      </c>
      <c r="J5" s="177"/>
      <c r="K5" s="9" t="s">
        <v>62</v>
      </c>
      <c r="L5" s="9" t="s">
        <v>64</v>
      </c>
      <c r="M5" s="174" t="s">
        <v>63</v>
      </c>
    </row>
    <row r="6" spans="1:13" ht="26.25" thickBot="1" x14ac:dyDescent="0.3">
      <c r="A6" s="175"/>
      <c r="B6" s="6" t="s">
        <v>51</v>
      </c>
      <c r="C6" s="6" t="s">
        <v>52</v>
      </c>
      <c r="D6" s="6" t="s">
        <v>201</v>
      </c>
      <c r="E6" s="6" t="s">
        <v>202</v>
      </c>
      <c r="F6" s="6" t="s">
        <v>51</v>
      </c>
      <c r="G6" s="6" t="s">
        <v>52</v>
      </c>
      <c r="H6" s="135"/>
      <c r="I6" s="6" t="s">
        <v>201</v>
      </c>
      <c r="J6" s="6" t="s">
        <v>202</v>
      </c>
      <c r="K6" s="6"/>
      <c r="L6" s="6"/>
      <c r="M6" s="175"/>
    </row>
    <row r="7" spans="1:13" ht="26.25" thickBot="1" x14ac:dyDescent="0.3">
      <c r="A7" s="7" t="s">
        <v>53</v>
      </c>
      <c r="B7" s="23">
        <f>SUM([1]Sheet1!C66+[1]Sheet1!C59)*0.7</f>
        <v>340471.63499999995</v>
      </c>
      <c r="C7" s="23">
        <f>SUM([1]Sheet1!C66+[1]Sheet1!C59)*0.3</f>
        <v>145916.41499999998</v>
      </c>
      <c r="D7" s="23">
        <f>SUM([1]Sheet1!D66)*1</f>
        <v>160395</v>
      </c>
      <c r="E7" s="23">
        <f>SUM([1]Sheet1!D66)*0</f>
        <v>0</v>
      </c>
      <c r="F7" s="23">
        <f>SUM([1]Sheet1!E66)*0.7</f>
        <v>67554.375</v>
      </c>
      <c r="G7" s="23">
        <f>SUM([1]Sheet1!E66)*0.3</f>
        <v>28951.875</v>
      </c>
      <c r="H7" s="136">
        <v>52905</v>
      </c>
      <c r="I7" s="23">
        <f>SUM([1]Sheet1!F66)*1</f>
        <v>0</v>
      </c>
      <c r="J7" s="23">
        <f>SUM([1]Sheet1!F66)*0</f>
        <v>0</v>
      </c>
      <c r="K7" s="23">
        <f>SUM(B7+D7+F7+I7)</f>
        <v>568421.01</v>
      </c>
      <c r="L7" s="23">
        <f>SUM(C7+E7+G7+J7)</f>
        <v>174868.28999999998</v>
      </c>
      <c r="M7" s="23">
        <f>SUM(K7+L7)</f>
        <v>743289.3</v>
      </c>
    </row>
    <row r="8" spans="1:13" ht="39" thickBot="1" x14ac:dyDescent="0.3">
      <c r="A8" s="7" t="s">
        <v>54</v>
      </c>
      <c r="B8" s="23">
        <f>SUM([1]Sheet1!C14+[1]Sheet1!C24+[1]Sheet1!C40+[1]Sheet1!C39+[1]Sheet1!C37+[1]Sheet1!C36+[1]Sheet1!C58+[1]Sheet1!C17)*0.7</f>
        <v>177072</v>
      </c>
      <c r="C8" s="23">
        <f>SUM([1]Sheet1!C14+[1]Sheet1!C24+[1]Sheet1!C40+[1]Sheet1!C39+[1]Sheet1!C37+[1]Sheet1!C36+[1]Sheet1!C58+[1]Sheet1!C17)*0.3</f>
        <v>75888</v>
      </c>
      <c r="D8" s="24">
        <f>SUM([1]Sheet1!D14+[1]Sheet1!D24+[1]Sheet1!D40+[1]Sheet1!D37+[1]Sheet1!D36+[1]Sheet1!D58+[1]Sheet1!D17+([1]Sheet1!D48/2)+([1]Sheet1!D15/2))*1</f>
        <v>62960</v>
      </c>
      <c r="E8" s="23">
        <f>SUM([1]Sheet1!D14+[1]Sheet1!D24+[1]Sheet1!D40+[1]Sheet1!D37+[1]Sheet1!D36+[1]Sheet1!D58+[1]Sheet1!D17+([1]Sheet1!D48/2)+([1]Sheet1!D15/2))*0</f>
        <v>0</v>
      </c>
      <c r="F8" s="23">
        <f>SUM([1]Sheet1!E31+[1]Sheet1!E33/2)*0.7</f>
        <v>265898.5</v>
      </c>
      <c r="G8" s="23">
        <f>SUM([1]Sheet1!E31+[1]Sheet1!E33/2)*0.3</f>
        <v>113956.5</v>
      </c>
      <c r="H8" s="136">
        <v>379855</v>
      </c>
      <c r="I8" s="23">
        <f>SUM([1]Sheet1!F47+([1]Sheet1!F50/2))*1</f>
        <v>20460</v>
      </c>
      <c r="J8" s="23">
        <f>SUM([1]Sheet1!F47+([1]Sheet1!F50/2))*0</f>
        <v>0</v>
      </c>
      <c r="K8" s="23">
        <f t="shared" ref="K8:K13" si="0">SUM(B8+D8+F8+I8)</f>
        <v>526390.5</v>
      </c>
      <c r="L8" s="23">
        <f t="shared" ref="L8:L13" si="1">SUM(C8+E8+G8+J8)</f>
        <v>189844.5</v>
      </c>
      <c r="M8" s="23">
        <f t="shared" ref="M8:M13" si="2">SUM(K8+L8)</f>
        <v>716235</v>
      </c>
    </row>
    <row r="9" spans="1:13" ht="51.75" thickBot="1" x14ac:dyDescent="0.3">
      <c r="A9" s="7" t="s">
        <v>55</v>
      </c>
      <c r="B9" s="23">
        <f>SUM([1]Sheet1!C81:C86)*0.7</f>
        <v>72870</v>
      </c>
      <c r="C9" s="23">
        <f>SUM([1]Sheet1!C81:C86)*0.3</f>
        <v>31230</v>
      </c>
      <c r="D9" s="23">
        <f>SUM([1]Sheet1!D81:D86)*1</f>
        <v>2000</v>
      </c>
      <c r="E9" s="23">
        <f>SUM([1]Sheet1!D81:D86)*0</f>
        <v>0</v>
      </c>
      <c r="F9" s="23">
        <f>SUM([1]Sheet1!E81:E86)*0.7</f>
        <v>2100</v>
      </c>
      <c r="G9" s="23">
        <f>SUM([1]Sheet1!E81:E86)*0.3</f>
        <v>900</v>
      </c>
      <c r="H9" s="136">
        <v>3000</v>
      </c>
      <c r="I9" s="23">
        <f>SUM([1]Sheet1!F81:F86)*1</f>
        <v>0</v>
      </c>
      <c r="J9" s="23">
        <f>SUM([1]Sheet1!F81:F86)*0</f>
        <v>0</v>
      </c>
      <c r="K9" s="23">
        <f t="shared" si="0"/>
        <v>76970</v>
      </c>
      <c r="L9" s="23">
        <f t="shared" si="1"/>
        <v>32130</v>
      </c>
      <c r="M9" s="23">
        <f t="shared" si="2"/>
        <v>109100</v>
      </c>
    </row>
    <row r="10" spans="1:13" ht="26.25" thickBot="1" x14ac:dyDescent="0.3">
      <c r="A10" s="7" t="s">
        <v>56</v>
      </c>
      <c r="B10" s="23">
        <f>SUM([1]Sheet1!C10+[1]Sheet1!C19+[1]Sheet1!C20+[1]Sheet1!C41+[1]Sheet1!C38+[1]Sheet1!C61+[1]Sheet1!C63+[1]Sheet1!C90)*0.7</f>
        <v>232399.99999999997</v>
      </c>
      <c r="C10" s="23">
        <f>SUM([1]Sheet1!C10+[1]Sheet1!C19+[1]Sheet1!C20+[1]Sheet1!C41+[1]Sheet1!C38+[1]Sheet1!C61+[1]Sheet1!C63+[1]Sheet1!C90)*0.3</f>
        <v>99600</v>
      </c>
      <c r="D10" s="23">
        <f>SUM([1]Sheet1!D10+[1]Sheet1!D19+[1]Sheet1!D20+[1]Sheet1!D38+[1]Sheet1!D61+[1]Sheet1!D63)*1</f>
        <v>22000</v>
      </c>
      <c r="E10" s="23">
        <f>SUM([1]Sheet1!D10+[1]Sheet1!D19+[1]Sheet1!D20+[1]Sheet1!D38+[1]Sheet1!D61+[1]Sheet1!D63)*0</f>
        <v>0</v>
      </c>
      <c r="F10" s="23">
        <f>SUM([1]Sheet1!E30+[1]Sheet1!E32)*0.7</f>
        <v>110600</v>
      </c>
      <c r="G10" s="23">
        <f>SUM([1]Sheet1!E30+[1]Sheet1!E32)*0.3</f>
        <v>47400</v>
      </c>
      <c r="H10" s="136">
        <v>59948</v>
      </c>
      <c r="I10" s="23"/>
      <c r="J10" s="23"/>
      <c r="K10" s="23">
        <f t="shared" si="0"/>
        <v>365000</v>
      </c>
      <c r="L10" s="23">
        <f t="shared" si="1"/>
        <v>147000</v>
      </c>
      <c r="M10" s="23">
        <f t="shared" si="2"/>
        <v>512000</v>
      </c>
    </row>
    <row r="11" spans="1:13" ht="15.75" thickBot="1" x14ac:dyDescent="0.3">
      <c r="A11" s="7" t="s">
        <v>57</v>
      </c>
      <c r="B11" s="23">
        <f>SUM([1]Sheet1!C11+[1]Sheet1!C12+[1]Sheet1!C25+[1]Sheet1!C57+[1]Sheet1!C62+[1]Sheet1!C21+([1]Sheet1!C35/2))*0.7</f>
        <v>65099.999999999993</v>
      </c>
      <c r="C11" s="23">
        <f>SUM([1]Sheet1!C11+[1]Sheet1!C12+[1]Sheet1!C25+[1]Sheet1!C57+[1]Sheet1!C62+[1]Sheet1!C21+([1]Sheet1!C35/2))*0.3</f>
        <v>27900</v>
      </c>
      <c r="D11" s="23">
        <f>SUM([1]Sheet1!D11+[1]Sheet1!D12+[1]Sheet1!D25+[1]Sheet1!D57+[1]Sheet1!D62+[1]Sheet1!D21+([1]Sheet1!D35/2)+([1]Sheet1!D48/2)+([1]Sheet1!D15/2))*1</f>
        <v>50000</v>
      </c>
      <c r="E11" s="23">
        <f>SUM([1]Sheet1!D11+[1]Sheet1!D12+[1]Sheet1!D25+[1]Sheet1!D57+[1]Sheet1!D62+[1]Sheet1!D21+([1]Sheet1!D35/2)+([1]Sheet1!D48/2)+([1]Sheet1!D15/2))*0</f>
        <v>0</v>
      </c>
      <c r="F11" s="23">
        <f>[1]Sheet1!E33/2*0.7</f>
        <v>5250</v>
      </c>
      <c r="G11" s="23">
        <f>[1]Sheet1!E33/2*0.3</f>
        <v>2250</v>
      </c>
      <c r="H11" s="136">
        <v>38100</v>
      </c>
      <c r="I11" s="23">
        <f>SUM([1]Sheet1!F50/2+[1]Sheet1!F51)*1</f>
        <v>12500</v>
      </c>
      <c r="J11" s="23">
        <f>SUM([1]Sheet1!F50/2+[1]Sheet1!F51)*0</f>
        <v>0</v>
      </c>
      <c r="K11" s="23">
        <f t="shared" si="0"/>
        <v>132850</v>
      </c>
      <c r="L11" s="23">
        <f t="shared" si="1"/>
        <v>30150</v>
      </c>
      <c r="M11" s="23">
        <f t="shared" si="2"/>
        <v>163000</v>
      </c>
    </row>
    <row r="12" spans="1:13" ht="39" thickBot="1" x14ac:dyDescent="0.3">
      <c r="A12" s="7" t="s">
        <v>58</v>
      </c>
      <c r="B12" s="23">
        <f>SUM([1]Sheet1!C16+[1]Sheet1!C23+[1]Sheet1!C52+([1]Sheet1!C35/2))*0.7</f>
        <v>195659.81400000001</v>
      </c>
      <c r="C12" s="23">
        <f>SUM([1]Sheet1!C16+[1]Sheet1!C23+[1]Sheet1!C52+([1]Sheet1!C35/2))*0.3</f>
        <v>83854.206000000006</v>
      </c>
      <c r="D12" s="23"/>
      <c r="E12" s="23"/>
      <c r="F12" s="23"/>
      <c r="G12" s="23"/>
      <c r="H12" s="136">
        <v>55100</v>
      </c>
      <c r="I12" s="23">
        <f>[1]Sheet1!F46*1</f>
        <v>250000</v>
      </c>
      <c r="J12" s="23">
        <f>[1]Sheet1!F46*0</f>
        <v>0</v>
      </c>
      <c r="K12" s="23">
        <f>SUM(B12+D12+F12+I12)</f>
        <v>445659.81400000001</v>
      </c>
      <c r="L12" s="23">
        <f t="shared" si="1"/>
        <v>83854.206000000006</v>
      </c>
      <c r="M12" s="23">
        <f t="shared" si="2"/>
        <v>529514.02</v>
      </c>
    </row>
    <row r="13" spans="1:13" ht="39" thickBot="1" x14ac:dyDescent="0.3">
      <c r="A13" s="7" t="s">
        <v>59</v>
      </c>
      <c r="B13" s="23">
        <f>SUM([1]Sheet1!C87:C89)*0.7</f>
        <v>17640</v>
      </c>
      <c r="C13" s="23">
        <f>SUM([1]Sheet1!C87:C89)*0.3</f>
        <v>7560</v>
      </c>
      <c r="D13" s="23">
        <f>SUM([1]Sheet1!D87:D89)*1</f>
        <v>2700</v>
      </c>
      <c r="E13" s="23">
        <f>SUM([1]Sheet1!D87:D89)*0</f>
        <v>0</v>
      </c>
      <c r="F13" s="23">
        <f>SUM([1]Sheet1!E87:E89)*0.7</f>
        <v>1889.9999999999998</v>
      </c>
      <c r="G13" s="23">
        <f>SUM([1]Sheet1!E87:E89)*0.3</f>
        <v>810</v>
      </c>
      <c r="H13" s="136">
        <v>58653</v>
      </c>
      <c r="I13" s="23">
        <f>SUM([1]Sheet1!F87:F89)*1</f>
        <v>0</v>
      </c>
      <c r="J13" s="23">
        <f>SUM([1]Sheet1!F87:F89)*0</f>
        <v>0</v>
      </c>
      <c r="K13" s="23">
        <f t="shared" si="0"/>
        <v>22230</v>
      </c>
      <c r="L13" s="23">
        <f t="shared" si="1"/>
        <v>8370</v>
      </c>
      <c r="M13" s="23">
        <f t="shared" si="2"/>
        <v>30600</v>
      </c>
    </row>
    <row r="14" spans="1:13" ht="26.25" thickBot="1" x14ac:dyDescent="0.3">
      <c r="A14" s="8" t="s">
        <v>60</v>
      </c>
      <c r="B14" s="25">
        <f t="shared" ref="B14:L14" si="3">SUM(B7:B13)</f>
        <v>1101213.449</v>
      </c>
      <c r="C14" s="25">
        <f t="shared" si="3"/>
        <v>471948.62099999998</v>
      </c>
      <c r="D14" s="25">
        <f t="shared" si="3"/>
        <v>300055</v>
      </c>
      <c r="E14" s="25">
        <f t="shared" si="3"/>
        <v>0</v>
      </c>
      <c r="F14" s="25">
        <f t="shared" si="3"/>
        <v>453292.875</v>
      </c>
      <c r="G14" s="25">
        <f t="shared" si="3"/>
        <v>194268.375</v>
      </c>
      <c r="H14" s="137">
        <f>SUM(H7:H13)</f>
        <v>647561</v>
      </c>
      <c r="I14" s="25">
        <f t="shared" si="3"/>
        <v>282960</v>
      </c>
      <c r="J14" s="25">
        <f t="shared" si="3"/>
        <v>0</v>
      </c>
      <c r="K14" s="25">
        <f t="shared" si="3"/>
        <v>2137521.324</v>
      </c>
      <c r="L14" s="25">
        <f t="shared" si="3"/>
        <v>666216.99600000004</v>
      </c>
      <c r="M14" s="25">
        <f>SUM(M7:M13)</f>
        <v>2803738.32</v>
      </c>
    </row>
    <row r="15" spans="1:13" ht="26.25" thickBot="1" x14ac:dyDescent="0.3">
      <c r="A15" s="7" t="s">
        <v>61</v>
      </c>
      <c r="B15" s="23">
        <f>B14*0.07</f>
        <v>77084.941430000006</v>
      </c>
      <c r="C15" s="23">
        <f t="shared" ref="C15:I15" si="4">C14*0.07</f>
        <v>33036.403470000005</v>
      </c>
      <c r="D15" s="23">
        <f t="shared" si="4"/>
        <v>21003.850000000002</v>
      </c>
      <c r="E15" s="23">
        <f t="shared" si="4"/>
        <v>0</v>
      </c>
      <c r="F15" s="23">
        <f t="shared" si="4"/>
        <v>31730.501250000005</v>
      </c>
      <c r="G15" s="23">
        <f t="shared" si="4"/>
        <v>13598.786250000001</v>
      </c>
      <c r="H15" s="138">
        <f>H14*0.07</f>
        <v>45329.270000000004</v>
      </c>
      <c r="I15" s="23">
        <f t="shared" si="4"/>
        <v>19807.2</v>
      </c>
      <c r="J15" s="23"/>
      <c r="K15" s="23">
        <f>(B15+C15+D15+E15+H15+I15+J15)*0.7</f>
        <v>137383.16543000002</v>
      </c>
      <c r="L15" s="23">
        <f>(B15+C15+D15+E15+H15+I15+J15)*0.3</f>
        <v>58878.49947000001</v>
      </c>
      <c r="M15" s="23">
        <f>K15+L15</f>
        <v>196261.66490000003</v>
      </c>
    </row>
    <row r="16" spans="1:13" ht="15.75" thickBot="1" x14ac:dyDescent="0.3">
      <c r="A16" s="8" t="s">
        <v>50</v>
      </c>
      <c r="B16" s="25">
        <f t="shared" ref="B16:L16" si="5">B14+B15</f>
        <v>1178298.3904300001</v>
      </c>
      <c r="C16" s="25">
        <f t="shared" si="5"/>
        <v>504985.02447</v>
      </c>
      <c r="D16" s="25">
        <f t="shared" si="5"/>
        <v>321058.84999999998</v>
      </c>
      <c r="E16" s="25">
        <f t="shared" si="5"/>
        <v>0</v>
      </c>
      <c r="F16" s="25">
        <f t="shared" si="5"/>
        <v>485023.37625000003</v>
      </c>
      <c r="G16" s="25">
        <f t="shared" si="5"/>
        <v>207867.16125</v>
      </c>
      <c r="H16" s="137">
        <f>H14+H15</f>
        <v>692890.27</v>
      </c>
      <c r="I16" s="25">
        <f t="shared" si="5"/>
        <v>302767.2</v>
      </c>
      <c r="J16" s="25">
        <f t="shared" si="5"/>
        <v>0</v>
      </c>
      <c r="K16" s="25">
        <f t="shared" si="5"/>
        <v>2274904.4894300001</v>
      </c>
      <c r="L16" s="25">
        <f t="shared" si="5"/>
        <v>725095.49547000008</v>
      </c>
      <c r="M16" s="139">
        <f>M14+M15</f>
        <v>2999999.9849</v>
      </c>
    </row>
  </sheetData>
  <sheetProtection algorithmName="SHA-512" hashValue="n4KGdrT1f3wE8yegJuHIPc/w9EYDL5vfwBkHTbbw8I85G7FyiCgAGVJisdKI1J6apmbmGiCSfr7W8So7WE3uUQ==" saltValue="Wz3Aa3DFbprtWYs7KQAP4g==" spinCount="100000" sheet="1" objects="1" scenarios="1"/>
  <mergeCells count="6">
    <mergeCell ref="M5:M6"/>
    <mergeCell ref="A5:A6"/>
    <mergeCell ref="B5:C5"/>
    <mergeCell ref="D5:E5"/>
    <mergeCell ref="F5:G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joint financials</vt:lpstr>
      <vt:lpstr>Lifecycle budget</vt:lpstr>
      <vt:lpstr>FAO budget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SEGUN ADETUNDE</dc:creator>
  <cp:lastModifiedBy>DE</cp:lastModifiedBy>
  <cp:lastPrinted>2019-12-03T14:16:23Z</cp:lastPrinted>
  <dcterms:created xsi:type="dcterms:W3CDTF">2017-11-15T21:17:43Z</dcterms:created>
  <dcterms:modified xsi:type="dcterms:W3CDTF">2020-06-23T11:50:09Z</dcterms:modified>
</cp:coreProperties>
</file>