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carringer\Documents\"/>
    </mc:Choice>
  </mc:AlternateContent>
  <xr:revisionPtr revIDLastSave="0" documentId="8_{12F7E4D4-1005-4F83-A8D9-832D01240B1D}" xr6:coauthVersionLast="44" xr6:coauthVersionMax="44" xr10:uidLastSave="{00000000-0000-0000-0000-000000000000}"/>
  <bookViews>
    <workbookView xWindow="-108" yWindow="-108" windowWidth="23256" windowHeight="12576" xr2:uid="{00000000-000D-0000-FFFF-FFFF00000000}"/>
  </bookViews>
  <sheets>
    <sheet name="Activities" sheetId="1" r:id="rId1"/>
    <sheet name="Categories" sheetId="7" r:id="rId2"/>
    <sheet name="sheet 1 internal" sheetId="4" state="hidden" r:id="rId3"/>
    <sheet name="sheet 2 internal " sheetId="2" state="hidden" r:id="rId4"/>
  </sheets>
  <definedNames>
    <definedName name="_xlnm.Print_Area" localSheetId="0">Activities!$A$1:$G$60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C52" i="1" l="1"/>
  <c r="C28" i="1"/>
  <c r="F58" i="1"/>
  <c r="F49" i="1"/>
  <c r="F48" i="1"/>
  <c r="F44" i="1"/>
  <c r="F35" i="1"/>
  <c r="F34" i="1"/>
  <c r="F33" i="1"/>
  <c r="F22" i="1"/>
  <c r="F10" i="1" l="1"/>
  <c r="F28" i="1" l="1"/>
  <c r="F52" i="1" l="1"/>
  <c r="J6" i="7"/>
  <c r="I5" i="7"/>
  <c r="I6" i="7"/>
  <c r="I7" i="7"/>
  <c r="I8" i="7"/>
  <c r="I9" i="7"/>
  <c r="I11" i="7"/>
  <c r="I10" i="7"/>
  <c r="J10" i="7"/>
  <c r="I4" i="7"/>
  <c r="H5" i="7"/>
  <c r="H6" i="7"/>
  <c r="H7" i="7"/>
  <c r="J7" i="7"/>
  <c r="J11" i="7"/>
  <c r="H8" i="7"/>
  <c r="J8" i="7"/>
  <c r="H9" i="7"/>
  <c r="H10" i="7"/>
  <c r="H4" i="7"/>
  <c r="H11" i="7"/>
  <c r="D11" i="7"/>
  <c r="D12" i="7"/>
  <c r="E11" i="7"/>
  <c r="E12" i="7"/>
  <c r="F11" i="7"/>
  <c r="F12" i="7"/>
  <c r="F13" i="7"/>
  <c r="G11" i="7"/>
  <c r="C11" i="7"/>
  <c r="C12" i="7"/>
  <c r="B11" i="7"/>
  <c r="B12" i="7"/>
  <c r="D52" i="1"/>
  <c r="C53" i="1"/>
  <c r="C7" i="2" s="1"/>
  <c r="I7" i="2" s="1"/>
  <c r="D53" i="1"/>
  <c r="D7" i="2"/>
  <c r="C54" i="1"/>
  <c r="B76" i="1"/>
  <c r="K25" i="2"/>
  <c r="K26" i="2"/>
  <c r="J25" i="2"/>
  <c r="J26" i="2"/>
  <c r="K22" i="2"/>
  <c r="K27" i="2"/>
  <c r="J22" i="2"/>
  <c r="J27" i="2"/>
  <c r="C25" i="2"/>
  <c r="C27" i="2"/>
  <c r="B27" i="2"/>
  <c r="B25" i="2"/>
  <c r="E24" i="2"/>
  <c r="E26" i="2"/>
  <c r="E27" i="2"/>
  <c r="E28" i="2"/>
  <c r="E25" i="2"/>
  <c r="D24" i="1"/>
  <c r="C66" i="1"/>
  <c r="D66" i="1"/>
  <c r="B66" i="1"/>
  <c r="I61" i="1"/>
  <c r="I66" i="1" s="1"/>
  <c r="H61" i="1"/>
  <c r="H66" i="1"/>
  <c r="E69" i="4"/>
  <c r="E70" i="4"/>
  <c r="H63" i="4"/>
  <c r="G63" i="4"/>
  <c r="F63" i="4"/>
  <c r="D63" i="4"/>
  <c r="C63" i="4"/>
  <c r="H44" i="4"/>
  <c r="H68" i="4"/>
  <c r="G44" i="4"/>
  <c r="F44" i="4"/>
  <c r="E44" i="4"/>
  <c r="D44" i="4"/>
  <c r="D68" i="4"/>
  <c r="D70" i="4"/>
  <c r="C44" i="4"/>
  <c r="C68" i="4"/>
  <c r="D29" i="4"/>
  <c r="H24" i="4"/>
  <c r="G24" i="4"/>
  <c r="F24" i="4"/>
  <c r="F68" i="4"/>
  <c r="E24" i="4"/>
  <c r="D24" i="4"/>
  <c r="C24" i="4"/>
  <c r="G68" i="4"/>
  <c r="G69" i="4"/>
  <c r="G70" i="4"/>
  <c r="K24" i="2"/>
  <c r="K28" i="2"/>
  <c r="H9" i="2"/>
  <c r="J9" i="2"/>
  <c r="I9" i="2"/>
  <c r="H11" i="2"/>
  <c r="I11" i="2"/>
  <c r="J11" i="2" s="1"/>
  <c r="F15" i="2"/>
  <c r="F16" i="2"/>
  <c r="F17" i="2"/>
  <c r="G15" i="2"/>
  <c r="G16" i="2"/>
  <c r="G17" i="2"/>
  <c r="E14" i="2"/>
  <c r="E15" i="2" s="1"/>
  <c r="D14" i="2"/>
  <c r="E7" i="2"/>
  <c r="C8" i="2"/>
  <c r="I8" i="2" s="1"/>
  <c r="B8" i="2"/>
  <c r="H8" i="2" s="1"/>
  <c r="C13" i="2"/>
  <c r="I13" i="2" s="1"/>
  <c r="B13" i="2"/>
  <c r="H13" i="2" s="1"/>
  <c r="B14" i="2"/>
  <c r="C12" i="2"/>
  <c r="C28" i="2" s="1"/>
  <c r="B12" i="2"/>
  <c r="B28" i="2" s="1"/>
  <c r="C10" i="2"/>
  <c r="C26" i="2" s="1"/>
  <c r="B10" i="2"/>
  <c r="H10" i="2" s="1"/>
  <c r="B7" i="2"/>
  <c r="J9" i="7"/>
  <c r="J4" i="7"/>
  <c r="J5" i="7"/>
  <c r="G13" i="7"/>
  <c r="G12" i="7"/>
  <c r="D13" i="7"/>
  <c r="D28" i="1"/>
  <c r="C76" i="1" s="1"/>
  <c r="J24" i="2"/>
  <c r="J28" i="2"/>
  <c r="H70" i="4"/>
  <c r="H69" i="4"/>
  <c r="C69" i="4"/>
  <c r="C70" i="4"/>
  <c r="H12" i="7"/>
  <c r="H13" i="7"/>
  <c r="J13" i="7"/>
  <c r="F69" i="4"/>
  <c r="F70" i="4"/>
  <c r="I12" i="7"/>
  <c r="I13" i="7"/>
  <c r="B13" i="7"/>
  <c r="C62" i="1"/>
  <c r="C71" i="1" s="1"/>
  <c r="E13" i="7"/>
  <c r="C13" i="7"/>
  <c r="C65" i="1" l="1"/>
  <c r="C69" i="1" s="1"/>
  <c r="H14" i="2"/>
  <c r="F57" i="1"/>
  <c r="F59" i="1" s="1"/>
  <c r="D57" i="1"/>
  <c r="C14" i="2"/>
  <c r="D15" i="2"/>
  <c r="D16" i="2" s="1"/>
  <c r="C57" i="1"/>
  <c r="B62" i="1"/>
  <c r="D62" i="1"/>
  <c r="I14" i="2"/>
  <c r="J14" i="2" s="1"/>
  <c r="I12" i="2"/>
  <c r="I10" i="2"/>
  <c r="D17" i="2"/>
  <c r="B24" i="2"/>
  <c r="J13" i="2"/>
  <c r="B26" i="2"/>
  <c r="H7" i="2"/>
  <c r="J7" i="2" s="1"/>
  <c r="E16" i="2"/>
  <c r="E17" i="2" s="1"/>
  <c r="J8" i="2"/>
  <c r="H12" i="2"/>
  <c r="J12" i="2" s="1"/>
  <c r="C15" i="2"/>
  <c r="C24" i="2"/>
  <c r="B15" i="2"/>
  <c r="D58" i="1" l="1"/>
  <c r="D59" i="1"/>
  <c r="D71" i="1"/>
  <c r="D65" i="1"/>
  <c r="D69" i="1" s="1"/>
  <c r="I15" i="2"/>
  <c r="B67" i="1"/>
  <c r="B65" i="1"/>
  <c r="B69" i="1" s="1"/>
  <c r="B71" i="1"/>
  <c r="C58" i="1"/>
  <c r="E18" i="2"/>
  <c r="J10" i="2"/>
  <c r="J15" i="2" s="1"/>
  <c r="F22" i="2"/>
  <c r="H15" i="2"/>
  <c r="G22" i="2"/>
  <c r="I16" i="2"/>
  <c r="I17" i="2" s="1"/>
  <c r="C16" i="2" l="1"/>
  <c r="C17" i="2" s="1"/>
  <c r="B16" i="2"/>
  <c r="B17" i="2" s="1"/>
  <c r="C59" i="1"/>
  <c r="E59" i="1" s="1"/>
  <c r="F25" i="2"/>
  <c r="F28" i="2"/>
  <c r="F24" i="2"/>
  <c r="F27" i="2"/>
  <c r="F26" i="2"/>
  <c r="G27" i="2"/>
  <c r="G25" i="2"/>
  <c r="G28" i="2"/>
  <c r="G26" i="2"/>
  <c r="H16" i="2"/>
  <c r="H17" i="2" s="1"/>
  <c r="G24" i="2"/>
  <c r="J16" i="2"/>
  <c r="J17" i="2" s="1"/>
  <c r="C18" i="2" l="1"/>
</calcChain>
</file>

<file path=xl/sharedStrings.xml><?xml version="1.0" encoding="utf-8"?>
<sst xmlns="http://schemas.openxmlformats.org/spreadsheetml/2006/main" count="315" uniqueCount="176">
  <si>
    <t>Annex D - PBF project budget</t>
  </si>
  <si>
    <t>Outcome/ Output number</t>
  </si>
  <si>
    <t>Outcome/ output/ activity formulation:</t>
  </si>
  <si>
    <t>Activity 1.1.1:</t>
  </si>
  <si>
    <t>Activity 1.1.2:</t>
  </si>
  <si>
    <t>Activity 1.2.1:</t>
  </si>
  <si>
    <t>Activity 1.2.2:</t>
  </si>
  <si>
    <t>Activity 1.2.3:</t>
  </si>
  <si>
    <t>Activity 1.3.1:</t>
  </si>
  <si>
    <t>TOTAL $ FOR OUTCOME 1:</t>
  </si>
  <si>
    <t>Activity 2.1.1:</t>
  </si>
  <si>
    <t>Activity 2.1.2:</t>
  </si>
  <si>
    <t>Activity 2.1.3:</t>
  </si>
  <si>
    <t>Activity 2.2.1:</t>
  </si>
  <si>
    <t>Activity 2.2.2:</t>
  </si>
  <si>
    <t>Activity 2.2.3:</t>
  </si>
  <si>
    <t>Activity 2.3.1:</t>
  </si>
  <si>
    <t>Activity 2.3.2:</t>
  </si>
  <si>
    <t>Activity 2.3.3:</t>
  </si>
  <si>
    <t>TOTAL $ FOR OUTCOME 2:</t>
  </si>
  <si>
    <t>Activity 3.1.1:</t>
  </si>
  <si>
    <t>Activity 3.1.2:</t>
  </si>
  <si>
    <t>Activity 3.1.3:</t>
  </si>
  <si>
    <t>Activity 3.2.1:</t>
  </si>
  <si>
    <t>Activity 3.2.2:</t>
  </si>
  <si>
    <t>Activity 3.2.3:</t>
  </si>
  <si>
    <t>Activity 3.3.1:</t>
  </si>
  <si>
    <t>Activity 3.3.2:</t>
  </si>
  <si>
    <t>Activity 3.3.3:</t>
  </si>
  <si>
    <t>TOTAL $ FOR OUTCOME 3:</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</si>
  <si>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</si>
  <si>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</si>
  <si>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</si>
  <si>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</si>
  <si>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</si>
  <si>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</si>
  <si>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</si>
  <si>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</si>
  <si>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</si>
  <si>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</si>
  <si>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</si>
  <si>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</si>
  <si>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</si>
  <si>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</si>
  <si>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</si>
  <si>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</si>
  <si>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Sub-Total Project Costs</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</si>
  <si>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</si>
  <si>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</si>
  <si>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</si>
  <si>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</si>
  <si>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</si>
  <si>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</si>
  <si>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Table 2 - PBF project budget by UN cost category</t>
  </si>
  <si>
    <t>Table 1 - PBF project budget by Outcome, output and activity</t>
  </si>
  <si>
    <t>Level of expenditure/ commitments in USD (to provide at time of project progress reporting):</t>
  </si>
  <si>
    <t>Amount Recipient  
OHCHR</t>
  </si>
  <si>
    <t>Amount Recipient  
UNDP</t>
  </si>
  <si>
    <t>Amount Recipient  UNICEF</t>
  </si>
  <si>
    <t>OUTCOME 1: Juvenile and youth survivors and perpetrators of violence alike become change agents and advocates for peace and local networks are reinforced to access, communicate and work with influential partners and actors operating at the national level</t>
  </si>
  <si>
    <t>Output 1.1: In depth understanding and mapping of existing community networks and coping strategies to deal with the conflict and related trauma is available with identified potential areas of intervention.</t>
  </si>
  <si>
    <t>Output 1.2: Empowered survivors’ networks to engage in truth telling and survivor groups with enhanced capacities to raise accountability/impunity-related issues contribute to local peacebuilding processes.</t>
  </si>
  <si>
    <t>Output 1.3: Local and national justice actors as well as other relevant stakeholders are aware and sensitized to protection needs and concerns in truth telling process</t>
  </si>
  <si>
    <t>Activity 1.4.1:</t>
  </si>
  <si>
    <t>Activity 1.4.2:</t>
  </si>
  <si>
    <t>Activity 1.4.3:</t>
  </si>
  <si>
    <t>Activity 1.4.4:</t>
  </si>
  <si>
    <t>Activity 1.4.5:</t>
  </si>
  <si>
    <t xml:space="preserve">OUTCOME 2: Increased Access to Justice for Vulnerable Populations including children and youth  </t>
  </si>
  <si>
    <t>Output 2.1: Raise public awareness and advocate and support for the rights of children and full implementation of legal provisions relating to children and youth in conflict with the law.</t>
  </si>
  <si>
    <t>Output 2.2: Community networks, groups and institutions have strengthened capacity to access legal services.</t>
  </si>
  <si>
    <t>Provide case management and psychosocial support services for survivors of violence (UNICEF)– this would involve case management (including assessments, alternative care, PSS activities, legal aid for juvenile survivors and offenders)</t>
  </si>
  <si>
    <t xml:space="preserve">Output 2.3: Legal aid and legal representation for extremely vulnerable children who are in contact with law. </t>
  </si>
  <si>
    <t xml:space="preserve">Form a coalition of legal experts to represent juvenile offenders and survivors during court trials and other services (UNICEF) – this would involve both training and payment of salaries, development of guidelines and DSA, follow up and case conferencing </t>
  </si>
  <si>
    <t>Develop a legal aid scheme together with MoJ and MoEG (mapping of legal aid services available within GoSS and other actors)</t>
  </si>
  <si>
    <t>Activity 2.4.1:</t>
  </si>
  <si>
    <t>Activity 2.4.2:</t>
  </si>
  <si>
    <t>Activity 2.4.3:</t>
  </si>
  <si>
    <t>Output 2.4: Social diversion scheme pilot established in one location and diversion justice guidelines developed</t>
  </si>
  <si>
    <t>Establish a pilot social diversion scheme through Government institutions [whereby children who have committed petty crimes are not convicted in customary or law courts and sent to prison but receive community service sentences] (UNICEF CP system building Programme)</t>
  </si>
  <si>
    <t xml:space="preserve">Assessment/ Mapping of diversion schemes /practices in South Sudan  </t>
  </si>
  <si>
    <t>Exposure visit within ESAR where diversion schemes works well</t>
  </si>
  <si>
    <t>Activity 2.4.4:</t>
  </si>
  <si>
    <t>Activity 2.4.5:</t>
  </si>
  <si>
    <t xml:space="preserve">Develop juvenile diversion justice guidelines </t>
  </si>
  <si>
    <t>ToT series for non-formal justice actors on diversions</t>
  </si>
  <si>
    <t>Output 3.1: The capacity of the rule of law sector including the judiciary, prosecutors, police, prisons, social workers, customary courts is strengthened to respond to and support juveniles that come into conflict with the law or customary law.</t>
  </si>
  <si>
    <r>
      <t xml:space="preserve">Budget by recipient organization in USD - </t>
    </r>
    <r>
      <rPr>
        <sz val="12"/>
        <color indexed="10"/>
        <rFont val="Times New Roman"/>
        <family val="1"/>
      </rPr>
      <t>UNDP</t>
    </r>
  </si>
  <si>
    <r>
      <t xml:space="preserve">Budget by recipient organization in USD - </t>
    </r>
    <r>
      <rPr>
        <sz val="12"/>
        <color indexed="10"/>
        <rFont val="Times New Roman"/>
        <family val="1"/>
      </rPr>
      <t>UNICEF</t>
    </r>
  </si>
  <si>
    <r>
      <t xml:space="preserve">Budget by recipient organization in USD - </t>
    </r>
    <r>
      <rPr>
        <sz val="12"/>
        <color indexed="10"/>
        <rFont val="Times New Roman"/>
        <family val="1"/>
      </rPr>
      <t>OHCHR</t>
    </r>
  </si>
  <si>
    <t>OUTCOME 3: Strengthened Justice Sector Institutions to Ensure Accountability</t>
  </si>
  <si>
    <t>Develop training curricula on child rights including child sensitive justice procedures and on the Child Act 2008.</t>
  </si>
  <si>
    <t>Training of judges, prosecutors law enforcement institutions, including social workers, police and prisons officers and traditional leaders on juvenile justice and inmate care .</t>
  </si>
  <si>
    <t>Activity 3.1.4:</t>
  </si>
  <si>
    <t>Activity 3.1.5:</t>
  </si>
  <si>
    <t>Activity 3.1.6:</t>
  </si>
  <si>
    <t>Partner with Juba University to develop a child protection and juvenile justice curriculum and train legal and social work students and professionals and para-legal workers on child rights and how to better protect children who come into conflict/contact with the law.</t>
  </si>
  <si>
    <t>Support community-based policing and community-security force relations for identifying and countering youth violence.</t>
  </si>
  <si>
    <t>Build knowledge base on the nature of crimes by and against children including victomology research and analyses of the cost deprivation of liberty versus alternatives and the impact of detention in creating a safe society.</t>
  </si>
  <si>
    <t>Output 3.2: Juvenile court and reformatory centres are functional to improve conditions for detained juveniles and engage juvenile perpetrators in options and their vision of the future.</t>
  </si>
  <si>
    <t xml:space="preserve">Rehabilitate and furnish one juvenile reformatory centre in Juba with vocational training equipment. </t>
  </si>
  <si>
    <t xml:space="preserve">Furnish two juvenile courts in Juba. </t>
  </si>
  <si>
    <t xml:space="preserve">Construct and furnish one reformatory centre in Aweil with vocational training equipment. </t>
  </si>
  <si>
    <t>Activity 3.2.4:</t>
  </si>
  <si>
    <t>Activity 3.2.5:</t>
  </si>
  <si>
    <t xml:space="preserve">Develop reformatory training curriculum. </t>
  </si>
  <si>
    <t xml:space="preserve">Develop Standard Operating Procedures (SOP) for juvenile court. </t>
  </si>
  <si>
    <t>Output 3.3: Government institutions in the justice sector are strengthened to implement the South Sudan Child Act, 2008 and the Justice for Children Strategic Framework (which provides a comprehensive roadmap that sets out the legislative framework, policies, programmes and services to ensure access to justice for children).</t>
  </si>
  <si>
    <t xml:space="preserve">Provide technical support to Government institutions in the justice sector to implement the Justice for Children Strategic Framework and the South Sudan Child Act, 2008. [one year funding of a legal technical specialist to be seconded into the Ministry of Justice or other relevant Government body] </t>
  </si>
  <si>
    <t xml:space="preserve">Support government to expand social workforce to cover justice for children issues in selected states </t>
  </si>
  <si>
    <t>Output 1.4: Peace mobilizers are able to mobilize people from remote areas to engage with survivor’s groups and authorities and national level stakeholders making survivors’ groups visible in reconciliation dialogue and peace initiatives at national level.</t>
  </si>
  <si>
    <t>Project M&amp;E budget (5%)</t>
  </si>
  <si>
    <t>UNDP Total</t>
  </si>
  <si>
    <t>UNICEF Total</t>
  </si>
  <si>
    <t>OHCHR Total</t>
  </si>
  <si>
    <t xml:space="preserve">Print and disseminate copies of the Child Act and other legal provisions relating to children. </t>
  </si>
  <si>
    <t>Develop IEC materials on children’s rights and juvenile justice for awareness raising.</t>
  </si>
  <si>
    <t>Organize public awareness and sensitization events and carry out community awareness raising to increase awareness on child and legal rights.</t>
  </si>
  <si>
    <t>Develop guidelines for community-based networks, training modules, tools on legal services and support structures through a consultative process together with MoJ MoEG and other actors including CSOs.</t>
  </si>
  <si>
    <t>Form, and build the capacity of children, adult and youth community networks, groups and institutions on their legal rights, referral pathways and the procedures for bringing forward a case.</t>
  </si>
  <si>
    <t>Develop and conduct research with victims and survivors</t>
  </si>
  <si>
    <t xml:space="preserve">Consultations with local population to establish local networks </t>
  </si>
  <si>
    <t>Peace mobilizers are identified and trained to go to remote areas</t>
  </si>
  <si>
    <t>Peace mobilizers are supported to conduct activities in remote areas with young people to raise awareness on issues of accountability, conflict and peace</t>
  </si>
  <si>
    <t xml:space="preserve">Exposure to similar processes in other states through trainings, workshops and visits </t>
  </si>
  <si>
    <t>Two national and local stakeholders go through formal trainings on protection requirements of truth telling and accountability in Juba</t>
  </si>
  <si>
    <t>Trainings on survivors' rights, accountability related issues, leadership and other identified issues</t>
  </si>
  <si>
    <t>Needs for truth telling identified by survivors' networks and their civil society allies are shared with local and national actors through interface between survivor groups and authorities</t>
  </si>
  <si>
    <t>Survivors' groups are trained to use media and to engage with broader audience</t>
  </si>
  <si>
    <t>Survivors' groups present the truth telling stories and realities at local and national level</t>
  </si>
  <si>
    <t>Intensive engagement with and mobilisation of  survivors' groups and their civil society allies</t>
  </si>
  <si>
    <t xml:space="preserve">                                </t>
  </si>
  <si>
    <t>Provide legal representation for juvenile offenders and survivors accessing courts  through CSO Grantees.</t>
  </si>
  <si>
    <t>Train traditional leaders on children’s rights and juvenile justice,</t>
  </si>
  <si>
    <t>Joint Assessment</t>
  </si>
  <si>
    <t xml:space="preserve">This activity will be done by the persone hired by the project without any cost. </t>
  </si>
  <si>
    <t>7. Training</t>
  </si>
  <si>
    <t>8. General Operating and other Direct Costs</t>
  </si>
  <si>
    <t>9. Indirect Support Costs (must be 7%)</t>
  </si>
  <si>
    <t xml:space="preserve">Joint Assessment in the beginning of the project </t>
  </si>
  <si>
    <t>UNICEF budgeted this under Activity 2.4.2</t>
  </si>
  <si>
    <t>OHCHR</t>
  </si>
  <si>
    <t>UNDP</t>
  </si>
  <si>
    <t>UNICEF</t>
  </si>
  <si>
    <t>total per agency  exl project costs</t>
  </si>
  <si>
    <t>total per agency  incl project costs</t>
  </si>
  <si>
    <t xml:space="preserve">total </t>
  </si>
  <si>
    <t>project costs</t>
  </si>
  <si>
    <t>unicef gms</t>
  </si>
  <si>
    <t>undp/ohchr gms</t>
  </si>
  <si>
    <t xml:space="preserve">target </t>
  </si>
  <si>
    <t>jont ptoject costs</t>
  </si>
  <si>
    <t>control</t>
  </si>
  <si>
    <t>gms</t>
  </si>
  <si>
    <t>UNDP = 60000 / OHCHR = 59600</t>
  </si>
  <si>
    <t>7. General Operating and other Direct Costs</t>
  </si>
  <si>
    <t>8. Indirect Support Costs (must be 7%)</t>
  </si>
  <si>
    <t>To be implemented by OHCHR</t>
  </si>
  <si>
    <t>Activity 1.1.3:</t>
  </si>
  <si>
    <t>Activity 1.1.4:</t>
  </si>
  <si>
    <t>Output 2.1: Fair trials/detention provided for children and youth of the target communities in Aweil, Juba, Bor/Pibor and Bentiu.</t>
  </si>
  <si>
    <t>Output 2.2: Enhanced capacity of justice actors in Aweil, Juba, Bor/Pibor and Bentiu.</t>
  </si>
  <si>
    <t xml:space="preserve">OUTCOME 1: The engagement of children and youth in the target communities of Aweil, Bor/Pibor and Bentiu in dialogue and trust building mechanisms has increased and leads to a reduction in violence and conflict. </t>
  </si>
  <si>
    <t>Output 1.1: Strengthened local networks of survivors for peace dialogues with local communities and political elites in the target communities of Aweil, Bor/Pibor, Bentiu and Juba</t>
  </si>
  <si>
    <t>Output 1.2: Improved access to justice in the target communities of Aweil, Bor/Pibor, Bentiu and Juba</t>
  </si>
  <si>
    <t>OUTCOME 2: Target communities in Aweil, Juba, Bor/Pibor and Bentiu have enhanced trust in the formal law enforcement system leading to a stronger social contract between the state and its children and youth</t>
  </si>
  <si>
    <t xml:space="preserve">Amount Recipient  </t>
  </si>
  <si>
    <t>UNDP1</t>
  </si>
  <si>
    <t>Amount Recipient</t>
  </si>
  <si>
    <t>UNDP 2 (OHCHR)</t>
  </si>
  <si>
    <t>Amount Recipient UNICEF</t>
  </si>
  <si>
    <t xml:space="preserve">Table 1 - PBF project budget by Outcome, output and activity  </t>
  </si>
  <si>
    <t>Column 1 represents funds for UNDP and OHCHR</t>
  </si>
  <si>
    <t>Develop and conduct action research and conflict analysis  with victims and survivors</t>
  </si>
  <si>
    <t>Joint Assessment and knowledge generation at beginning of the project supported by RCO</t>
  </si>
  <si>
    <t>UNDP=182100 USD / OHCHR = 176900. RCO Project M&amp;E officer 40% 2 years (50k usd undp/ohchr+25kusd unicef)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</si>
</sst>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quot;£&quot;* #,##0.00_);_(&quot;£&quot;* \(#,##0.00\);_(&quot;£&quot;* &quot;-&quot;??_);_(@_)"/>
    <numFmt numFmtId="165" formatCode="_(* #,##0_);_(* \(#,##0\);_(* &quot;-&quot;??_);_(@_)"/>
    <numFmt numFmtId="166" formatCode="_([$$-409]* #,##0.00_);_([$$-409]* \(#,##0.00\);_([$$-409]* &quot;-&quot;??_);_(@_)"/>
    <numFmt numFmtId="167" formatCode="_(* #,##0.0_);_(* \(#,##0.0\);_(* &quot;-&quot;??_);_(@_)"/>
  </numFmts>
  <fonts count="23" x14ac:knownFonts="1">
    <font>
      <sz val="11"/>
      <color theme="1"/>
      <name val="Calibri"/>
      <family val="2"/>
      <scheme val="minor"/>
    </font>
    <font>
      <sz val="12"/>
      <color indexed="10"/>
      <name val="Times New Roman"/>
      <family val="1"/>
    </font>
    <font>
      <sz val="12"/>
      <name val="Times New Roman"/>
      <family val="1"/>
    </font>
    <font>
      <b/>
      <sz val="12"/>
      <name val="Times New Roman"/>
      <family val="1"/>
    </font>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b/>
      <sz val="12"/>
      <color theme="1"/>
      <name val="Times New Roman"/>
      <family val="1"/>
    </font>
    <font>
      <sz val="12"/>
      <color rgb="FFFF0000"/>
      <name val="Times New Roman"/>
      <family val="1"/>
    </font>
    <font>
      <sz val="10"/>
      <color theme="1"/>
      <name val="Times New Roman"/>
      <family val="1"/>
    </font>
    <font>
      <b/>
      <sz val="10"/>
      <color theme="1"/>
      <name val="Times New Roman"/>
      <family val="1"/>
    </font>
    <font>
      <sz val="12"/>
      <color rgb="FF000000"/>
      <name val="Times New Roman"/>
      <family val="1"/>
    </font>
    <font>
      <b/>
      <sz val="11"/>
      <color rgb="FF000000"/>
      <name val="Arial"/>
      <family val="2"/>
    </font>
    <font>
      <b/>
      <sz val="11"/>
      <color theme="1"/>
      <name val="Arial"/>
      <family val="2"/>
    </font>
    <font>
      <sz val="11"/>
      <color theme="1"/>
      <name val="Arial"/>
      <family val="2"/>
    </font>
    <font>
      <b/>
      <sz val="10"/>
      <color rgb="FF000000"/>
      <name val="Arial"/>
      <family val="2"/>
    </font>
    <font>
      <sz val="11"/>
      <color rgb="FF000000"/>
      <name val="Arial"/>
      <family val="2"/>
    </font>
    <font>
      <sz val="10"/>
      <color rgb="FF000000"/>
      <name val="Arial"/>
      <family val="2"/>
    </font>
    <font>
      <b/>
      <sz val="12"/>
      <color rgb="FF0070C0"/>
      <name val="Times New Roman"/>
      <family val="1"/>
    </font>
    <font>
      <sz val="12"/>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2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43"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cellStyleXfs>
  <cellXfs count="126">
    <xf numFmtId="0" fontId="0" fillId="0" borderId="0" xfId="0"/>
    <xf numFmtId="0" fontId="6" fillId="0" borderId="1" xfId="0" applyFont="1" applyBorder="1" applyAlignment="1">
      <alignment vertical="center" wrapText="1"/>
    </xf>
    <xf numFmtId="0" fontId="7" fillId="0" borderId="0" xfId="0" applyFont="1"/>
    <xf numFmtId="0" fontId="5" fillId="0" borderId="0" xfId="0" applyFont="1"/>
    <xf numFmtId="0" fontId="8" fillId="0" borderId="0" xfId="0" applyFont="1"/>
    <xf numFmtId="0" fontId="9" fillId="0" borderId="0" xfId="0" applyFont="1"/>
    <xf numFmtId="0" fontId="10" fillId="0" borderId="2" xfId="0" applyFont="1" applyBorder="1" applyAlignment="1">
      <alignment vertical="center" wrapText="1"/>
    </xf>
    <xf numFmtId="0" fontId="10" fillId="0" borderId="3" xfId="0" applyFont="1" applyBorder="1" applyAlignment="1">
      <alignment vertical="center"/>
    </xf>
    <xf numFmtId="0" fontId="10" fillId="0" borderId="4"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0" borderId="13" xfId="0" applyFont="1" applyBorder="1" applyAlignment="1">
      <alignment vertical="center" wrapText="1"/>
    </xf>
    <xf numFmtId="0" fontId="10" fillId="0" borderId="12" xfId="0" applyFont="1" applyBorder="1" applyAlignment="1">
      <alignment vertical="center" wrapText="1"/>
    </xf>
    <xf numFmtId="165" fontId="2" fillId="2" borderId="2" xfId="1" applyNumberFormat="1" applyFont="1" applyFill="1" applyBorder="1" applyAlignment="1">
      <alignment vertical="center" wrapText="1"/>
    </xf>
    <xf numFmtId="0" fontId="10" fillId="0" borderId="1" xfId="0" applyFont="1" applyBorder="1" applyAlignment="1">
      <alignment vertical="center" wrapText="1"/>
    </xf>
    <xf numFmtId="0" fontId="10" fillId="0" borderId="9" xfId="0" applyFont="1" applyBorder="1" applyAlignment="1">
      <alignment vertical="center" wrapText="1"/>
    </xf>
    <xf numFmtId="165" fontId="6" fillId="0" borderId="1" xfId="1" applyNumberFormat="1" applyFont="1" applyBorder="1" applyAlignment="1">
      <alignment vertical="center" wrapText="1"/>
    </xf>
    <xf numFmtId="165" fontId="10" fillId="0" borderId="4" xfId="1" applyNumberFormat="1" applyFont="1" applyBorder="1" applyAlignment="1">
      <alignment vertical="center"/>
    </xf>
    <xf numFmtId="165" fontId="10" fillId="0" borderId="3" xfId="1" applyNumberFormat="1" applyFont="1" applyBorder="1" applyAlignment="1">
      <alignment vertical="center"/>
    </xf>
    <xf numFmtId="165" fontId="10" fillId="0" borderId="1" xfId="1" applyNumberFormat="1" applyFont="1" applyBorder="1" applyAlignment="1">
      <alignment vertical="center" wrapText="1"/>
    </xf>
    <xf numFmtId="165" fontId="2" fillId="0" borderId="2" xfId="1" applyNumberFormat="1" applyFont="1" applyBorder="1" applyAlignment="1">
      <alignment vertical="center" wrapText="1"/>
    </xf>
    <xf numFmtId="165" fontId="0" fillId="0" borderId="0" xfId="0" applyNumberFormat="1"/>
    <xf numFmtId="43" fontId="0" fillId="0" borderId="0" xfId="0" applyNumberFormat="1"/>
    <xf numFmtId="0" fontId="6" fillId="0" borderId="0" xfId="0" applyFont="1" applyBorder="1" applyAlignment="1">
      <alignment vertical="center" wrapText="1"/>
    </xf>
    <xf numFmtId="43" fontId="10" fillId="0" borderId="3" xfId="1" applyNumberFormat="1" applyFont="1" applyBorder="1" applyAlignment="1">
      <alignment vertical="center"/>
    </xf>
    <xf numFmtId="165" fontId="11" fillId="0" borderId="2" xfId="1" applyNumberFormat="1" applyFont="1" applyBorder="1" applyAlignment="1">
      <alignment vertical="center" wrapText="1"/>
    </xf>
    <xf numFmtId="165" fontId="11" fillId="0" borderId="1" xfId="1" applyNumberFormat="1" applyFont="1" applyBorder="1" applyAlignment="1">
      <alignment vertical="center" wrapText="1"/>
    </xf>
    <xf numFmtId="165" fontId="11" fillId="0" borderId="1" xfId="1" applyNumberFormat="1" applyFont="1" applyBorder="1" applyAlignment="1">
      <alignment horizontal="right" vertical="center" wrapText="1"/>
    </xf>
    <xf numFmtId="165" fontId="4" fillId="0" borderId="0" xfId="1" applyNumberFormat="1" applyFont="1"/>
    <xf numFmtId="43" fontId="4" fillId="0" borderId="0" xfId="1" applyFont="1"/>
    <xf numFmtId="165" fontId="3" fillId="0" borderId="3" xfId="1" applyNumberFormat="1" applyFont="1" applyBorder="1" applyAlignment="1">
      <alignment vertical="center"/>
    </xf>
    <xf numFmtId="165" fontId="2" fillId="2" borderId="14" xfId="1" applyNumberFormat="1" applyFont="1" applyFill="1" applyBorder="1" applyAlignment="1">
      <alignment vertical="center" wrapText="1"/>
    </xf>
    <xf numFmtId="165" fontId="2" fillId="0" borderId="1" xfId="1" applyNumberFormat="1" applyFont="1" applyBorder="1" applyAlignment="1">
      <alignment vertical="center" wrapText="1"/>
    </xf>
    <xf numFmtId="43" fontId="3" fillId="0" borderId="3" xfId="1" applyNumberFormat="1" applyFont="1" applyBorder="1" applyAlignment="1">
      <alignment vertical="center"/>
    </xf>
    <xf numFmtId="0" fontId="12" fillId="0" borderId="0" xfId="0" applyFont="1"/>
    <xf numFmtId="165" fontId="2" fillId="2" borderId="1" xfId="1" applyNumberFormat="1" applyFont="1" applyFill="1" applyBorder="1" applyAlignment="1">
      <alignment vertical="center" wrapText="1"/>
    </xf>
    <xf numFmtId="0" fontId="13" fillId="3" borderId="1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2" fillId="0" borderId="15" xfId="0" applyFont="1" applyBorder="1" applyAlignment="1">
      <alignment vertical="center" wrapText="1"/>
    </xf>
    <xf numFmtId="165" fontId="12" fillId="0" borderId="15" xfId="0" applyNumberFormat="1" applyFont="1" applyBorder="1" applyAlignment="1">
      <alignment horizontal="right" vertical="center" wrapText="1"/>
    </xf>
    <xf numFmtId="165" fontId="12" fillId="0" borderId="15" xfId="1" applyNumberFormat="1" applyFont="1" applyBorder="1" applyAlignment="1">
      <alignment horizontal="right" vertical="center" wrapText="1"/>
    </xf>
    <xf numFmtId="0" fontId="13" fillId="5" borderId="15" xfId="0" applyFont="1" applyFill="1" applyBorder="1" applyAlignment="1">
      <alignment vertical="center" wrapText="1"/>
    </xf>
    <xf numFmtId="0" fontId="12" fillId="6" borderId="15" xfId="0" applyFont="1" applyFill="1" applyBorder="1" applyAlignment="1">
      <alignment vertical="center" wrapText="1"/>
    </xf>
    <xf numFmtId="165" fontId="12" fillId="0" borderId="15" xfId="1" applyNumberFormat="1" applyFont="1" applyBorder="1" applyAlignment="1">
      <alignment vertical="center"/>
    </xf>
    <xf numFmtId="165" fontId="12" fillId="2" borderId="15" xfId="1" applyNumberFormat="1" applyFont="1" applyFill="1" applyBorder="1" applyAlignment="1">
      <alignment vertical="center"/>
    </xf>
    <xf numFmtId="165" fontId="12" fillId="0" borderId="15" xfId="0" applyNumberFormat="1" applyFont="1" applyBorder="1" applyAlignment="1">
      <alignment vertical="center"/>
    </xf>
    <xf numFmtId="0" fontId="12" fillId="0" borderId="0" xfId="0" applyFont="1" applyAlignment="1">
      <alignment vertical="center"/>
    </xf>
    <xf numFmtId="165" fontId="13" fillId="0" borderId="0" xfId="0" applyNumberFormat="1" applyFont="1" applyAlignment="1">
      <alignment vertical="center"/>
    </xf>
    <xf numFmtId="165" fontId="12" fillId="0" borderId="15" xfId="1" applyNumberFormat="1" applyFont="1" applyBorder="1" applyAlignment="1">
      <alignment vertical="center" wrapText="1"/>
    </xf>
    <xf numFmtId="165" fontId="13" fillId="5" borderId="15" xfId="1" applyNumberFormat="1" applyFont="1" applyFill="1" applyBorder="1" applyAlignment="1">
      <alignment vertical="center" wrapText="1"/>
    </xf>
    <xf numFmtId="165" fontId="13" fillId="5" borderId="15" xfId="0" applyNumberFormat="1" applyFont="1" applyFill="1" applyBorder="1" applyAlignment="1">
      <alignment vertical="center" wrapText="1"/>
    </xf>
    <xf numFmtId="165" fontId="13" fillId="0" borderId="16" xfId="0" applyNumberFormat="1" applyFont="1" applyFill="1" applyBorder="1" applyAlignment="1">
      <alignment horizontal="right" vertical="center" wrapText="1"/>
    </xf>
    <xf numFmtId="9" fontId="4" fillId="0" borderId="0" xfId="3" applyFont="1"/>
    <xf numFmtId="166" fontId="4" fillId="0" borderId="0" xfId="2" applyNumberFormat="1" applyFont="1"/>
    <xf numFmtId="0" fontId="6" fillId="0" borderId="2" xfId="0" applyFont="1" applyBorder="1" applyAlignment="1">
      <alignment vertical="center" wrapText="1"/>
    </xf>
    <xf numFmtId="9" fontId="6" fillId="0" borderId="2" xfId="0" applyNumberFormat="1" applyFont="1" applyBorder="1" applyAlignment="1">
      <alignment vertical="center" wrapText="1"/>
    </xf>
    <xf numFmtId="167" fontId="0" fillId="0" borderId="0" xfId="0" applyNumberFormat="1"/>
    <xf numFmtId="0" fontId="15" fillId="4" borderId="17" xfId="0" applyFont="1" applyFill="1" applyBorder="1" applyAlignment="1">
      <alignment horizontal="right" vertical="center" wrapText="1"/>
    </xf>
    <xf numFmtId="0" fontId="16" fillId="4" borderId="17" xfId="0" applyFont="1" applyFill="1" applyBorder="1" applyAlignment="1">
      <alignment horizontal="right" vertical="center" wrapText="1"/>
    </xf>
    <xf numFmtId="0" fontId="15" fillId="4" borderId="17" xfId="0" applyFont="1" applyFill="1" applyBorder="1" applyAlignment="1">
      <alignment horizontal="center" vertical="center" wrapText="1"/>
    </xf>
    <xf numFmtId="0" fontId="15" fillId="5" borderId="2" xfId="0" applyFont="1" applyFill="1" applyBorder="1" applyAlignment="1">
      <alignment horizontal="center" vertical="center" wrapText="1"/>
    </xf>
    <xf numFmtId="43" fontId="17" fillId="0" borderId="15" xfId="1" applyFont="1" applyBorder="1" applyAlignment="1">
      <alignment horizontal="right" vertical="center"/>
    </xf>
    <xf numFmtId="43" fontId="17" fillId="7" borderId="15" xfId="1" applyFont="1" applyFill="1" applyBorder="1" applyAlignment="1">
      <alignment horizontal="right" vertical="center"/>
    </xf>
    <xf numFmtId="43" fontId="17" fillId="0" borderId="18" xfId="1" applyFont="1" applyBorder="1" applyAlignment="1">
      <alignment horizontal="right" vertical="center"/>
    </xf>
    <xf numFmtId="43" fontId="16" fillId="7" borderId="18" xfId="1" applyFont="1" applyFill="1" applyBorder="1" applyAlignment="1">
      <alignment horizontal="right" vertical="center"/>
    </xf>
    <xf numFmtId="43" fontId="16" fillId="7" borderId="19" xfId="1" applyFont="1" applyFill="1" applyBorder="1" applyAlignment="1">
      <alignment horizontal="right" vertical="center"/>
    </xf>
    <xf numFmtId="43" fontId="16" fillId="7" borderId="5" xfId="1" applyFont="1" applyFill="1" applyBorder="1" applyAlignment="1">
      <alignment horizontal="right" vertical="center"/>
    </xf>
    <xf numFmtId="43" fontId="17" fillId="0" borderId="20" xfId="1" applyFont="1" applyBorder="1" applyAlignment="1">
      <alignment horizontal="right" vertical="center"/>
    </xf>
    <xf numFmtId="43" fontId="17" fillId="7" borderId="20" xfId="1" applyFont="1" applyFill="1" applyBorder="1" applyAlignment="1">
      <alignment horizontal="right" vertical="center"/>
    </xf>
    <xf numFmtId="43" fontId="16" fillId="7" borderId="7" xfId="1" applyFont="1" applyFill="1" applyBorder="1" applyAlignment="1">
      <alignment horizontal="right" vertical="center"/>
    </xf>
    <xf numFmtId="0" fontId="18" fillId="5"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20" fillId="0" borderId="2" xfId="0" applyFont="1" applyBorder="1" applyAlignment="1">
      <alignment horizontal="left" vertical="center" wrapText="1"/>
    </xf>
    <xf numFmtId="43" fontId="4" fillId="0" borderId="0" xfId="1" applyFont="1"/>
    <xf numFmtId="43" fontId="6" fillId="0" borderId="2" xfId="1" applyFont="1" applyBorder="1" applyAlignment="1">
      <alignment vertical="center" wrapText="1"/>
    </xf>
    <xf numFmtId="0" fontId="22" fillId="0" borderId="0" xfId="0" applyFont="1" applyAlignment="1">
      <alignment vertical="center" wrapText="1"/>
    </xf>
    <xf numFmtId="9" fontId="22" fillId="0" borderId="0" xfId="3" applyFont="1" applyAlignment="1">
      <alignment vertical="center" wrapText="1"/>
    </xf>
    <xf numFmtId="166" fontId="22" fillId="0" borderId="0" xfId="2" applyNumberFormat="1" applyFont="1" applyAlignment="1">
      <alignment vertical="center" wrapText="1"/>
    </xf>
    <xf numFmtId="166" fontId="22" fillId="0" borderId="0" xfId="0" applyNumberFormat="1" applyFont="1" applyAlignment="1">
      <alignment vertical="center" wrapText="1"/>
    </xf>
    <xf numFmtId="0" fontId="0" fillId="0" borderId="0" xfId="0" applyAlignment="1">
      <alignment horizontal="center"/>
    </xf>
    <xf numFmtId="0" fontId="6" fillId="0" borderId="0" xfId="0" applyFont="1" applyFill="1" applyBorder="1" applyAlignment="1">
      <alignment horizontal="center" vertical="center" wrapText="1"/>
    </xf>
    <xf numFmtId="43" fontId="0" fillId="0" borderId="0" xfId="0" applyNumberFormat="1" applyAlignment="1">
      <alignment horizontal="center"/>
    </xf>
    <xf numFmtId="3" fontId="0" fillId="0" borderId="0" xfId="0" applyNumberFormat="1" applyAlignment="1">
      <alignment horizontal="center"/>
    </xf>
    <xf numFmtId="9" fontId="4" fillId="0" borderId="0" xfId="3" applyFont="1" applyAlignment="1">
      <alignment horizontal="center"/>
    </xf>
    <xf numFmtId="166" fontId="4" fillId="0" borderId="0" xfId="2" applyNumberFormat="1" applyFont="1" applyAlignment="1">
      <alignment horizontal="center"/>
    </xf>
    <xf numFmtId="166" fontId="0" fillId="0" borderId="0" xfId="0" applyNumberFormat="1" applyAlignment="1">
      <alignment horizontal="center"/>
    </xf>
    <xf numFmtId="43" fontId="22" fillId="0" borderId="0" xfId="0" applyNumberFormat="1" applyFont="1" applyAlignment="1">
      <alignment vertical="center" wrapText="1"/>
    </xf>
    <xf numFmtId="0" fontId="21" fillId="8" borderId="0" xfId="0" applyFont="1" applyFill="1" applyBorder="1" applyAlignment="1">
      <alignment horizontal="center" vertical="center" wrapText="1"/>
    </xf>
    <xf numFmtId="0" fontId="22" fillId="0" borderId="0" xfId="0" applyFont="1" applyBorder="1" applyAlignment="1">
      <alignment vertical="center" wrapText="1"/>
    </xf>
    <xf numFmtId="165" fontId="6" fillId="0" borderId="2" xfId="1" applyNumberFormat="1" applyFont="1" applyBorder="1" applyAlignment="1">
      <alignment vertical="center" wrapText="1"/>
    </xf>
    <xf numFmtId="43" fontId="6" fillId="0" borderId="2" xfId="1" applyFont="1" applyFill="1" applyBorder="1" applyAlignment="1">
      <alignment vertical="center" wrapText="1"/>
    </xf>
    <xf numFmtId="165" fontId="6" fillId="0" borderId="2" xfId="1" applyNumberFormat="1" applyFont="1" applyBorder="1" applyAlignment="1">
      <alignment horizontal="right" vertical="center" wrapText="1"/>
    </xf>
    <xf numFmtId="43" fontId="6" fillId="2" borderId="2" xfId="1" applyFont="1" applyFill="1" applyBorder="1" applyAlignment="1">
      <alignment vertical="center" wrapText="1"/>
    </xf>
    <xf numFmtId="0" fontId="10" fillId="0" borderId="2" xfId="0" applyFont="1" applyBorder="1" applyAlignment="1">
      <alignment vertical="center"/>
    </xf>
    <xf numFmtId="165" fontId="10" fillId="0" borderId="2" xfId="1" applyNumberFormat="1" applyFont="1" applyBorder="1" applyAlignment="1">
      <alignment vertical="center"/>
    </xf>
    <xf numFmtId="43" fontId="10" fillId="0" borderId="2" xfId="1" applyFont="1" applyBorder="1" applyAlignment="1">
      <alignment vertical="center"/>
    </xf>
    <xf numFmtId="165" fontId="3" fillId="0" borderId="2" xfId="1" applyNumberFormat="1" applyFont="1" applyBorder="1" applyAlignment="1">
      <alignment vertical="center"/>
    </xf>
    <xf numFmtId="43" fontId="3" fillId="0" borderId="2" xfId="1" applyFont="1" applyBorder="1" applyAlignment="1">
      <alignment vertical="center"/>
    </xf>
    <xf numFmtId="9" fontId="14" fillId="0" borderId="2" xfId="0" applyNumberFormat="1" applyFont="1" applyBorder="1" applyAlignment="1">
      <alignment vertical="center" wrapText="1"/>
    </xf>
    <xf numFmtId="43" fontId="14" fillId="0" borderId="2" xfId="1" applyFont="1" applyBorder="1" applyAlignment="1">
      <alignment vertical="center" wrapText="1"/>
    </xf>
    <xf numFmtId="43" fontId="3" fillId="0" borderId="2" xfId="1" applyNumberFormat="1" applyFont="1" applyBorder="1" applyAlignment="1">
      <alignment vertical="center"/>
    </xf>
    <xf numFmtId="43" fontId="10" fillId="0" borderId="2" xfId="1" applyFont="1" applyBorder="1" applyAlignment="1">
      <alignment vertical="center" wrapText="1"/>
    </xf>
    <xf numFmtId="43" fontId="10" fillId="0" borderId="2" xfId="1" applyNumberFormat="1" applyFont="1" applyBorder="1" applyAlignment="1">
      <alignment vertical="center"/>
    </xf>
    <xf numFmtId="43" fontId="10" fillId="0" borderId="2" xfId="0" applyNumberFormat="1" applyFont="1" applyBorder="1" applyAlignment="1">
      <alignment vertical="center" wrapText="1"/>
    </xf>
    <xf numFmtId="165" fontId="0" fillId="0" borderId="0" xfId="0" applyNumberFormat="1" applyAlignment="1">
      <alignment horizontal="center" vertical="center"/>
    </xf>
    <xf numFmtId="0" fontId="0" fillId="0" borderId="0" xfId="0"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49" fontId="10" fillId="0" borderId="2" xfId="0" applyNumberFormat="1" applyFont="1" applyBorder="1" applyAlignment="1">
      <alignment horizontal="left" vertical="center" wrapText="1"/>
    </xf>
    <xf numFmtId="0" fontId="15" fillId="3" borderId="21"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1" xfId="0" applyFont="1" applyFill="1" applyBorder="1" applyAlignment="1">
      <alignment horizontal="right" vertical="center" wrapText="1"/>
    </xf>
    <xf numFmtId="0" fontId="15" fillId="3" borderId="14" xfId="0" applyFont="1" applyFill="1" applyBorder="1" applyAlignment="1">
      <alignment horizontal="right" vertical="center" wrapText="1"/>
    </xf>
    <xf numFmtId="0" fontId="15" fillId="3" borderId="23" xfId="0" applyFont="1" applyFill="1" applyBorder="1" applyAlignment="1">
      <alignment horizontal="right"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3" fillId="3" borderId="15"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view="pageBreakPreview" topLeftCell="A15" zoomScale="90" zoomScaleNormal="90" zoomScaleSheetLayoutView="90" workbookViewId="0">
      <selection activeCell="F18" sqref="F18"/>
    </sheetView>
  </sheetViews>
  <sheetFormatPr defaultColWidth="10.88671875" defaultRowHeight="15.6" outlineLevelRow="1" x14ac:dyDescent="0.3"/>
  <cols>
    <col min="1" max="1" width="27" customWidth="1"/>
    <col min="2" max="2" width="50.44140625" customWidth="1"/>
    <col min="3" max="3" width="19.21875" customWidth="1"/>
    <col min="4" max="4" width="19.44140625" customWidth="1"/>
    <col min="5" max="5" width="22" customWidth="1"/>
    <col min="6" max="6" width="19.33203125" style="79" customWidth="1"/>
    <col min="7" max="7" width="24.33203125" customWidth="1"/>
    <col min="8" max="8" width="43.21875" style="81" customWidth="1"/>
    <col min="9" max="9" width="12.6640625" style="85" customWidth="1"/>
    <col min="10" max="11" width="28.44140625" customWidth="1"/>
    <col min="12" max="12" width="34.21875" customWidth="1"/>
    <col min="13" max="254" width="8.77734375" customWidth="1"/>
  </cols>
  <sheetData>
    <row r="1" spans="1:9" ht="21" x14ac:dyDescent="0.4">
      <c r="A1" s="5" t="s">
        <v>0</v>
      </c>
      <c r="B1" s="4"/>
    </row>
    <row r="2" spans="1:9" x14ac:dyDescent="0.3">
      <c r="A2" s="2"/>
      <c r="B2" s="2"/>
    </row>
    <row r="3" spans="1:9" x14ac:dyDescent="0.3">
      <c r="A3" s="2" t="s">
        <v>50</v>
      </c>
      <c r="B3" s="2"/>
    </row>
    <row r="5" spans="1:9" x14ac:dyDescent="0.3">
      <c r="A5" s="2" t="s">
        <v>171</v>
      </c>
    </row>
    <row r="6" spans="1:9" ht="16.2" thickBot="1" x14ac:dyDescent="0.35"/>
    <row r="7" spans="1:9" ht="138.75" customHeight="1" thickBot="1" x14ac:dyDescent="0.35">
      <c r="A7" s="60" t="s">
        <v>1</v>
      </c>
      <c r="B7" s="60" t="s">
        <v>2</v>
      </c>
      <c r="C7" s="60" t="s">
        <v>87</v>
      </c>
      <c r="D7" s="60" t="s">
        <v>88</v>
      </c>
      <c r="E7" s="60" t="s">
        <v>34</v>
      </c>
      <c r="F7" s="80" t="s">
        <v>55</v>
      </c>
      <c r="G7" s="60" t="s">
        <v>35</v>
      </c>
      <c r="H7" s="93"/>
      <c r="I7" s="86"/>
    </row>
    <row r="8" spans="1:9" ht="49.95" customHeight="1" thickBot="1" x14ac:dyDescent="0.35">
      <c r="A8" s="112" t="s">
        <v>162</v>
      </c>
      <c r="B8" s="112"/>
      <c r="C8" s="112"/>
      <c r="D8" s="112"/>
      <c r="E8" s="112"/>
      <c r="F8" s="112"/>
      <c r="G8" s="112"/>
    </row>
    <row r="9" spans="1:9" ht="49.95" customHeight="1" thickBot="1" x14ac:dyDescent="0.35">
      <c r="A9" s="114" t="s">
        <v>163</v>
      </c>
      <c r="B9" s="114"/>
      <c r="C9" s="114"/>
      <c r="D9" s="114"/>
      <c r="E9" s="114"/>
      <c r="F9" s="114"/>
      <c r="G9" s="114"/>
    </row>
    <row r="10" spans="1:9" ht="31.8" thickBot="1" x14ac:dyDescent="0.35">
      <c r="A10" s="60" t="s">
        <v>3</v>
      </c>
      <c r="B10" s="60" t="s">
        <v>173</v>
      </c>
      <c r="C10" s="95">
        <v>90000</v>
      </c>
      <c r="D10" s="95"/>
      <c r="E10" s="61">
        <v>0.5</v>
      </c>
      <c r="F10" s="96">
        <f>38000+94545+234</f>
        <v>132779</v>
      </c>
      <c r="G10" s="60" t="s">
        <v>157</v>
      </c>
      <c r="I10" s="87"/>
    </row>
    <row r="11" spans="1:9" ht="40.049999999999997" customHeight="1" thickBot="1" x14ac:dyDescent="0.35">
      <c r="A11" s="60" t="s">
        <v>4</v>
      </c>
      <c r="B11" s="60" t="s">
        <v>121</v>
      </c>
      <c r="C11" s="95">
        <v>30000</v>
      </c>
      <c r="D11" s="95"/>
      <c r="E11" s="61">
        <v>0.5</v>
      </c>
      <c r="F11" s="96">
        <v>22438</v>
      </c>
      <c r="G11" s="60" t="s">
        <v>157</v>
      </c>
      <c r="H11" s="94"/>
      <c r="I11" s="87"/>
    </row>
    <row r="12" spans="1:9" ht="40.049999999999997" customHeight="1" thickBot="1" x14ac:dyDescent="0.35">
      <c r="A12" s="60" t="s">
        <v>4</v>
      </c>
      <c r="B12" s="60" t="s">
        <v>130</v>
      </c>
      <c r="C12" s="95">
        <v>20000</v>
      </c>
      <c r="D12" s="95"/>
      <c r="E12" s="61">
        <v>0.5</v>
      </c>
      <c r="F12" s="96">
        <v>29037</v>
      </c>
      <c r="G12" s="60" t="s">
        <v>157</v>
      </c>
      <c r="H12" s="94"/>
      <c r="I12" s="87"/>
    </row>
    <row r="13" spans="1:9" ht="40.049999999999997" customHeight="1" thickBot="1" x14ac:dyDescent="0.35">
      <c r="A13" s="60" t="s">
        <v>4</v>
      </c>
      <c r="B13" s="60" t="s">
        <v>126</v>
      </c>
      <c r="C13" s="95">
        <v>40000</v>
      </c>
      <c r="D13" s="95"/>
      <c r="E13" s="61">
        <v>0.5</v>
      </c>
      <c r="F13" s="96">
        <v>20895</v>
      </c>
      <c r="G13" s="60" t="s">
        <v>157</v>
      </c>
      <c r="H13" s="94"/>
      <c r="I13" s="87"/>
    </row>
    <row r="14" spans="1:9" ht="40.049999999999997" customHeight="1" thickBot="1" x14ac:dyDescent="0.35">
      <c r="A14" s="60" t="s">
        <v>4</v>
      </c>
      <c r="B14" s="60" t="s">
        <v>124</v>
      </c>
      <c r="C14" s="95">
        <v>55000</v>
      </c>
      <c r="D14" s="95"/>
      <c r="E14" s="61">
        <v>0.5</v>
      </c>
      <c r="F14" s="80">
        <v>0</v>
      </c>
      <c r="G14" s="60" t="s">
        <v>157</v>
      </c>
      <c r="H14" s="94"/>
      <c r="I14" s="87"/>
    </row>
    <row r="15" spans="1:9" ht="47.4" thickBot="1" x14ac:dyDescent="0.35">
      <c r="A15" s="60" t="s">
        <v>4</v>
      </c>
      <c r="B15" s="60" t="s">
        <v>125</v>
      </c>
      <c r="C15" s="95">
        <v>40000</v>
      </c>
      <c r="D15" s="95"/>
      <c r="E15" s="61">
        <v>0.5</v>
      </c>
      <c r="F15" s="80">
        <v>0</v>
      </c>
      <c r="G15" s="60" t="s">
        <v>157</v>
      </c>
      <c r="H15" s="94"/>
      <c r="I15" s="87"/>
    </row>
    <row r="16" spans="1:9" ht="63" thickBot="1" x14ac:dyDescent="0.35">
      <c r="A16" s="60" t="s">
        <v>158</v>
      </c>
      <c r="B16" s="60" t="s">
        <v>127</v>
      </c>
      <c r="C16" s="95">
        <v>50000</v>
      </c>
      <c r="D16" s="95"/>
      <c r="E16" s="61">
        <v>0.5</v>
      </c>
      <c r="F16" s="96">
        <v>30180</v>
      </c>
      <c r="G16" s="60" t="s">
        <v>157</v>
      </c>
      <c r="H16" s="94"/>
      <c r="I16" s="87"/>
    </row>
    <row r="17" spans="1:9" ht="40.049999999999997" customHeight="1" thickBot="1" x14ac:dyDescent="0.35">
      <c r="A17" s="60" t="s">
        <v>158</v>
      </c>
      <c r="B17" s="60" t="s">
        <v>128</v>
      </c>
      <c r="C17" s="97">
        <v>30000</v>
      </c>
      <c r="D17" s="95"/>
      <c r="E17" s="61">
        <v>0.5</v>
      </c>
      <c r="F17" s="98">
        <v>0</v>
      </c>
      <c r="G17" s="60" t="s">
        <v>157</v>
      </c>
      <c r="I17" s="87"/>
    </row>
    <row r="18" spans="1:9" ht="40.049999999999997" customHeight="1" thickBot="1" x14ac:dyDescent="0.35">
      <c r="A18" s="60" t="s">
        <v>159</v>
      </c>
      <c r="B18" s="60" t="s">
        <v>129</v>
      </c>
      <c r="C18" s="97">
        <v>83000</v>
      </c>
      <c r="D18" s="95"/>
      <c r="E18" s="61">
        <v>0.5</v>
      </c>
      <c r="F18" s="96">
        <v>32628.53</v>
      </c>
      <c r="G18" s="60" t="s">
        <v>157</v>
      </c>
      <c r="H18" s="94"/>
      <c r="I18" s="87"/>
    </row>
    <row r="19" spans="1:9" ht="39" customHeight="1" thickBot="1" x14ac:dyDescent="0.35">
      <c r="A19" s="60" t="s">
        <v>159</v>
      </c>
      <c r="B19" s="60" t="s">
        <v>122</v>
      </c>
      <c r="C19" s="97">
        <v>60000</v>
      </c>
      <c r="D19" s="95"/>
      <c r="E19" s="61">
        <v>0.5</v>
      </c>
      <c r="F19" s="80">
        <v>0</v>
      </c>
      <c r="G19" s="60" t="s">
        <v>157</v>
      </c>
      <c r="I19" s="87"/>
    </row>
    <row r="20" spans="1:9" ht="47.4" thickBot="1" x14ac:dyDescent="0.35">
      <c r="A20" s="60" t="s">
        <v>159</v>
      </c>
      <c r="B20" s="60" t="s">
        <v>123</v>
      </c>
      <c r="C20" s="95">
        <v>100000</v>
      </c>
      <c r="D20" s="95"/>
      <c r="E20" s="61">
        <v>0.5</v>
      </c>
      <c r="F20" s="80">
        <v>0</v>
      </c>
      <c r="G20" s="60" t="s">
        <v>157</v>
      </c>
      <c r="I20" s="87"/>
    </row>
    <row r="21" spans="1:9" ht="49.95" customHeight="1" thickBot="1" x14ac:dyDescent="0.35">
      <c r="A21" s="99" t="s">
        <v>164</v>
      </c>
      <c r="B21" s="99"/>
      <c r="C21" s="100"/>
      <c r="D21" s="100"/>
      <c r="E21" s="99"/>
      <c r="F21" s="101"/>
      <c r="G21" s="99"/>
      <c r="I21" s="87"/>
    </row>
    <row r="22" spans="1:9" ht="40.049999999999997" customHeight="1" thickBot="1" x14ac:dyDescent="0.35">
      <c r="A22" s="60" t="s">
        <v>5</v>
      </c>
      <c r="B22" s="60" t="s">
        <v>115</v>
      </c>
      <c r="C22" s="19">
        <v>10000</v>
      </c>
      <c r="D22" s="95"/>
      <c r="E22" s="61">
        <v>0.5</v>
      </c>
      <c r="F22" s="80">
        <f>7430</f>
        <v>7430</v>
      </c>
      <c r="G22" s="60"/>
      <c r="I22" s="87"/>
    </row>
    <row r="23" spans="1:9" ht="40.049999999999997" customHeight="1" thickBot="1" x14ac:dyDescent="0.35">
      <c r="A23" s="60" t="s">
        <v>5</v>
      </c>
      <c r="B23" s="60" t="s">
        <v>116</v>
      </c>
      <c r="C23" s="26">
        <v>10000</v>
      </c>
      <c r="D23" s="95">
        <v>10000</v>
      </c>
      <c r="E23" s="61">
        <v>0.5</v>
      </c>
      <c r="F23" s="80">
        <f>4901.5</f>
        <v>4901.5</v>
      </c>
      <c r="G23" s="60"/>
      <c r="I23" s="87"/>
    </row>
    <row r="24" spans="1:9" ht="47.4" thickBot="1" x14ac:dyDescent="0.35">
      <c r="A24" s="60" t="s">
        <v>5</v>
      </c>
      <c r="B24" s="60" t="s">
        <v>117</v>
      </c>
      <c r="C24" s="95"/>
      <c r="D24" s="95">
        <f>40000-3421</f>
        <v>36579</v>
      </c>
      <c r="E24" s="61">
        <v>0.5</v>
      </c>
      <c r="F24" s="80">
        <v>15000</v>
      </c>
      <c r="G24" s="60"/>
      <c r="I24" s="87"/>
    </row>
    <row r="25" spans="1:9" ht="63" thickBot="1" x14ac:dyDescent="0.35">
      <c r="A25" s="60" t="s">
        <v>5</v>
      </c>
      <c r="B25" s="60" t="s">
        <v>118</v>
      </c>
      <c r="C25" s="95"/>
      <c r="D25" s="19">
        <v>10000</v>
      </c>
      <c r="E25" s="61">
        <v>0.3</v>
      </c>
      <c r="F25" s="80">
        <v>7000</v>
      </c>
      <c r="G25" s="60"/>
      <c r="I25" s="87"/>
    </row>
    <row r="26" spans="1:9" ht="63" thickBot="1" x14ac:dyDescent="0.35">
      <c r="A26" s="60" t="s">
        <v>6</v>
      </c>
      <c r="B26" s="60" t="s">
        <v>119</v>
      </c>
      <c r="C26" s="95"/>
      <c r="D26" s="19">
        <v>40000</v>
      </c>
      <c r="E26" s="61">
        <v>0.5</v>
      </c>
      <c r="F26" s="80">
        <v>28000</v>
      </c>
      <c r="G26" s="60"/>
      <c r="I26" s="87"/>
    </row>
    <row r="27" spans="1:9" ht="78.599999999999994" thickBot="1" x14ac:dyDescent="0.35">
      <c r="A27" s="60" t="s">
        <v>7</v>
      </c>
      <c r="B27" s="60" t="s">
        <v>71</v>
      </c>
      <c r="C27" s="95"/>
      <c r="D27" s="19">
        <v>75000</v>
      </c>
      <c r="E27" s="61">
        <v>0.5</v>
      </c>
      <c r="F27" s="80">
        <v>55000</v>
      </c>
      <c r="G27" s="60"/>
      <c r="I27" s="87"/>
    </row>
    <row r="28" spans="1:9" ht="40.049999999999997" customHeight="1" thickBot="1" x14ac:dyDescent="0.35">
      <c r="A28" s="99" t="s">
        <v>9</v>
      </c>
      <c r="B28" s="99"/>
      <c r="C28" s="102">
        <f>SUM(C10:C27)</f>
        <v>618000</v>
      </c>
      <c r="D28" s="102">
        <f>SUM(D10:D27)</f>
        <v>171579</v>
      </c>
      <c r="E28" s="60"/>
      <c r="F28" s="103">
        <f>SUM(F10:F27)</f>
        <v>385289.03</v>
      </c>
      <c r="G28" s="60"/>
      <c r="H28" s="92"/>
      <c r="I28" s="87"/>
    </row>
    <row r="29" spans="1:9" ht="49.95" customHeight="1" thickBot="1" x14ac:dyDescent="0.35">
      <c r="A29" s="112" t="s">
        <v>165</v>
      </c>
      <c r="B29" s="112"/>
      <c r="C29" s="112"/>
      <c r="D29" s="112"/>
      <c r="E29" s="112"/>
      <c r="F29" s="112"/>
      <c r="G29" s="112"/>
      <c r="I29" s="87"/>
    </row>
    <row r="30" spans="1:9" ht="49.95" customHeight="1" thickBot="1" x14ac:dyDescent="0.35">
      <c r="A30" s="113" t="s">
        <v>160</v>
      </c>
      <c r="B30" s="113"/>
      <c r="C30" s="113"/>
      <c r="D30" s="113"/>
      <c r="E30" s="113"/>
      <c r="F30" s="113"/>
      <c r="G30" s="113"/>
      <c r="I30" s="87"/>
    </row>
    <row r="31" spans="1:9" ht="78.599999999999994" thickBot="1" x14ac:dyDescent="0.35">
      <c r="A31" s="60" t="s">
        <v>10</v>
      </c>
      <c r="B31" s="60" t="s">
        <v>73</v>
      </c>
      <c r="C31" s="95"/>
      <c r="D31" s="19">
        <v>30000</v>
      </c>
      <c r="E31" s="61">
        <v>0.5</v>
      </c>
      <c r="F31" s="80">
        <v>0</v>
      </c>
      <c r="G31" s="60"/>
      <c r="I31" s="87"/>
    </row>
    <row r="32" spans="1:9" ht="47.4" thickBot="1" x14ac:dyDescent="0.35">
      <c r="A32" s="60" t="s">
        <v>10</v>
      </c>
      <c r="B32" s="60" t="s">
        <v>74</v>
      </c>
      <c r="C32" s="95"/>
      <c r="D32" s="19">
        <v>10000</v>
      </c>
      <c r="E32" s="61">
        <v>0.5</v>
      </c>
      <c r="F32" s="80">
        <v>0</v>
      </c>
      <c r="G32" s="60"/>
      <c r="I32" s="87"/>
    </row>
    <row r="33" spans="1:9" ht="40.049999999999997" customHeight="1" thickBot="1" x14ac:dyDescent="0.35">
      <c r="A33" s="60" t="s">
        <v>10</v>
      </c>
      <c r="B33" s="60" t="s">
        <v>132</v>
      </c>
      <c r="C33" s="19">
        <v>30000</v>
      </c>
      <c r="D33" s="19">
        <v>30000</v>
      </c>
      <c r="E33" s="61">
        <v>0.5</v>
      </c>
      <c r="F33" s="80">
        <f>25000</f>
        <v>25000</v>
      </c>
      <c r="G33" s="60"/>
      <c r="I33" s="87"/>
    </row>
    <row r="34" spans="1:9" ht="40.049999999999997" customHeight="1" thickBot="1" x14ac:dyDescent="0.35">
      <c r="A34" s="60" t="s">
        <v>11</v>
      </c>
      <c r="B34" s="60" t="s">
        <v>100</v>
      </c>
      <c r="C34" s="19">
        <v>182000</v>
      </c>
      <c r="D34" s="95"/>
      <c r="E34" s="61">
        <v>0.2</v>
      </c>
      <c r="F34" s="80">
        <f>94052.62</f>
        <v>94052.62</v>
      </c>
      <c r="G34" s="60"/>
      <c r="I34" s="87"/>
    </row>
    <row r="35" spans="1:9" ht="40.049999999999997" customHeight="1" thickBot="1" x14ac:dyDescent="0.35">
      <c r="A35" s="60" t="s">
        <v>11</v>
      </c>
      <c r="B35" s="60" t="s">
        <v>101</v>
      </c>
      <c r="C35" s="19">
        <v>30000</v>
      </c>
      <c r="D35" s="95"/>
      <c r="E35" s="61">
        <v>0.2</v>
      </c>
      <c r="F35" s="96">
        <f>3643.2+18413.57</f>
        <v>22056.77</v>
      </c>
      <c r="G35" s="60"/>
      <c r="I35" s="87"/>
    </row>
    <row r="36" spans="1:9" ht="40.049999999999997" customHeight="1" thickBot="1" x14ac:dyDescent="0.35">
      <c r="A36" s="60" t="s">
        <v>11</v>
      </c>
      <c r="B36" s="60" t="s">
        <v>102</v>
      </c>
      <c r="C36" s="19">
        <v>200000</v>
      </c>
      <c r="D36" s="95"/>
      <c r="E36" s="61">
        <v>0.2</v>
      </c>
      <c r="F36" s="80">
        <v>5634.74</v>
      </c>
      <c r="G36" s="60"/>
      <c r="I36" s="87"/>
    </row>
    <row r="37" spans="1:9" ht="40.049999999999997" customHeight="1" thickBot="1" x14ac:dyDescent="0.35">
      <c r="A37" s="60" t="s">
        <v>11</v>
      </c>
      <c r="B37" s="60" t="s">
        <v>105</v>
      </c>
      <c r="C37" s="19">
        <v>15000</v>
      </c>
      <c r="D37" s="95"/>
      <c r="E37" s="61">
        <v>0.3</v>
      </c>
      <c r="F37" s="80">
        <v>0</v>
      </c>
      <c r="G37" s="60"/>
      <c r="I37" s="87"/>
    </row>
    <row r="38" spans="1:9" ht="40.049999999999997" customHeight="1" thickBot="1" x14ac:dyDescent="0.35">
      <c r="A38" s="60" t="s">
        <v>11</v>
      </c>
      <c r="B38" s="60" t="s">
        <v>106</v>
      </c>
      <c r="C38" s="19">
        <v>15000</v>
      </c>
      <c r="D38" s="95"/>
      <c r="E38" s="61">
        <v>0.3</v>
      </c>
      <c r="F38" s="80">
        <v>0</v>
      </c>
      <c r="G38" s="60"/>
      <c r="I38" s="87"/>
    </row>
    <row r="39" spans="1:9" ht="94.2" thickBot="1" x14ac:dyDescent="0.35">
      <c r="A39" s="60" t="s">
        <v>12</v>
      </c>
      <c r="B39" s="60" t="s">
        <v>79</v>
      </c>
      <c r="C39" s="95"/>
      <c r="D39" s="19">
        <v>30000</v>
      </c>
      <c r="E39" s="61">
        <v>0.25</v>
      </c>
      <c r="F39" s="80">
        <v>0</v>
      </c>
      <c r="G39" s="60"/>
      <c r="I39" s="87"/>
    </row>
    <row r="40" spans="1:9" ht="40.049999999999997" customHeight="1" thickBot="1" x14ac:dyDescent="0.35">
      <c r="A40" s="60" t="s">
        <v>12</v>
      </c>
      <c r="B40" s="60" t="s">
        <v>80</v>
      </c>
      <c r="C40" s="95"/>
      <c r="D40" s="19">
        <v>5000</v>
      </c>
      <c r="E40" s="61">
        <v>0.5</v>
      </c>
      <c r="F40" s="80">
        <v>0</v>
      </c>
      <c r="G40" s="60"/>
      <c r="I40" s="87"/>
    </row>
    <row r="41" spans="1:9" ht="40.049999999999997" customHeight="1" thickBot="1" x14ac:dyDescent="0.35">
      <c r="A41" s="60" t="s">
        <v>12</v>
      </c>
      <c r="B41" s="60" t="s">
        <v>81</v>
      </c>
      <c r="C41" s="95"/>
      <c r="D41" s="19">
        <v>15000</v>
      </c>
      <c r="E41" s="61">
        <v>0.5</v>
      </c>
      <c r="F41" s="80">
        <v>0</v>
      </c>
      <c r="G41" s="60"/>
      <c r="I41" s="87"/>
    </row>
    <row r="42" spans="1:9" ht="40.049999999999997" customHeight="1" thickBot="1" x14ac:dyDescent="0.35">
      <c r="A42" s="60" t="s">
        <v>12</v>
      </c>
      <c r="B42" s="60" t="s">
        <v>85</v>
      </c>
      <c r="C42" s="95"/>
      <c r="D42" s="95">
        <v>30000</v>
      </c>
      <c r="E42" s="61">
        <v>0.3</v>
      </c>
      <c r="F42" s="80">
        <v>0</v>
      </c>
      <c r="G42" s="60"/>
      <c r="I42" s="87"/>
    </row>
    <row r="43" spans="1:9" ht="49.95" customHeight="1" thickBot="1" x14ac:dyDescent="0.35">
      <c r="A43" s="113" t="s">
        <v>161</v>
      </c>
      <c r="B43" s="113"/>
      <c r="C43" s="113"/>
      <c r="D43" s="113"/>
      <c r="E43" s="113"/>
      <c r="F43" s="113"/>
      <c r="G43" s="113"/>
      <c r="I43" s="87"/>
    </row>
    <row r="44" spans="1:9" ht="47.4" thickBot="1" x14ac:dyDescent="0.35">
      <c r="A44" s="60" t="s">
        <v>13</v>
      </c>
      <c r="B44" s="60" t="s">
        <v>91</v>
      </c>
      <c r="C44" s="19">
        <v>15000</v>
      </c>
      <c r="D44" s="19">
        <v>20000</v>
      </c>
      <c r="E44" s="61">
        <v>0.5</v>
      </c>
      <c r="F44" s="80">
        <f>364+273+10020+15000</f>
        <v>25657</v>
      </c>
      <c r="G44" s="60"/>
      <c r="I44" s="87"/>
    </row>
    <row r="45" spans="1:9" ht="63" thickBot="1" x14ac:dyDescent="0.35">
      <c r="A45" s="60" t="s">
        <v>14</v>
      </c>
      <c r="B45" s="60" t="s">
        <v>92</v>
      </c>
      <c r="C45" s="19">
        <v>30559</v>
      </c>
      <c r="D45" s="19">
        <v>20000</v>
      </c>
      <c r="E45" s="61">
        <v>0.5</v>
      </c>
      <c r="F45" s="80">
        <v>31983</v>
      </c>
      <c r="G45" s="60"/>
      <c r="I45" s="87"/>
    </row>
    <row r="46" spans="1:9" ht="40.049999999999997" customHeight="1" thickBot="1" x14ac:dyDescent="0.35">
      <c r="A46" s="60" t="s">
        <v>14</v>
      </c>
      <c r="B46" s="60" t="s">
        <v>133</v>
      </c>
      <c r="C46" s="19">
        <v>25000</v>
      </c>
      <c r="D46" s="19">
        <v>25000</v>
      </c>
      <c r="E46" s="61">
        <v>0.2</v>
      </c>
      <c r="F46" s="80">
        <v>22000</v>
      </c>
      <c r="G46" s="60"/>
      <c r="I46" s="87"/>
    </row>
    <row r="47" spans="1:9" ht="100.5" customHeight="1" thickBot="1" x14ac:dyDescent="0.35">
      <c r="A47" s="60" t="s">
        <v>14</v>
      </c>
      <c r="B47" s="60" t="s">
        <v>96</v>
      </c>
      <c r="C47" s="19"/>
      <c r="D47" s="19">
        <v>20000</v>
      </c>
      <c r="E47" s="104">
        <v>0.5</v>
      </c>
      <c r="F47" s="80">
        <v>14000</v>
      </c>
      <c r="G47" s="60"/>
      <c r="I47" s="87"/>
    </row>
    <row r="48" spans="1:9" ht="47.4" thickBot="1" x14ac:dyDescent="0.35">
      <c r="A48" s="60" t="s">
        <v>14</v>
      </c>
      <c r="B48" s="60" t="s">
        <v>97</v>
      </c>
      <c r="C48" s="19">
        <v>10000</v>
      </c>
      <c r="D48" s="95"/>
      <c r="E48" s="104">
        <v>0.5</v>
      </c>
      <c r="F48" s="80">
        <f>10000</f>
        <v>10000</v>
      </c>
      <c r="G48" s="60"/>
      <c r="I48" s="87"/>
    </row>
    <row r="49" spans="1:9" ht="78.599999999999994" thickBot="1" x14ac:dyDescent="0.35">
      <c r="A49" s="60" t="s">
        <v>14</v>
      </c>
      <c r="B49" s="60" t="s">
        <v>98</v>
      </c>
      <c r="C49" s="19">
        <v>15000</v>
      </c>
      <c r="D49" s="95"/>
      <c r="E49" s="61">
        <v>0.2</v>
      </c>
      <c r="F49" s="80">
        <f>15000</f>
        <v>15000</v>
      </c>
      <c r="G49" s="60"/>
      <c r="I49" s="87"/>
    </row>
    <row r="50" spans="1:9" ht="94.2" thickBot="1" x14ac:dyDescent="0.35">
      <c r="A50" s="60" t="s">
        <v>15</v>
      </c>
      <c r="B50" s="60" t="s">
        <v>108</v>
      </c>
      <c r="C50" s="26"/>
      <c r="D50" s="19">
        <v>40000</v>
      </c>
      <c r="E50" s="61">
        <v>0.2</v>
      </c>
      <c r="F50" s="80">
        <v>28000</v>
      </c>
      <c r="G50" s="60"/>
      <c r="I50" s="87"/>
    </row>
    <row r="51" spans="1:9" ht="58.5" customHeight="1" thickBot="1" x14ac:dyDescent="0.35">
      <c r="A51" s="60" t="s">
        <v>15</v>
      </c>
      <c r="B51" s="60" t="s">
        <v>109</v>
      </c>
      <c r="C51" s="26"/>
      <c r="D51" s="19">
        <v>20000</v>
      </c>
      <c r="E51" s="104">
        <v>0.5</v>
      </c>
      <c r="F51" s="105">
        <v>10000</v>
      </c>
      <c r="G51" s="60"/>
      <c r="I51" s="87"/>
    </row>
    <row r="52" spans="1:9" ht="40.049999999999997" customHeight="1" thickBot="1" x14ac:dyDescent="0.35">
      <c r="A52" s="99" t="s">
        <v>19</v>
      </c>
      <c r="B52" s="99"/>
      <c r="C52" s="102">
        <f>SUM(C31:C51)</f>
        <v>567559</v>
      </c>
      <c r="D52" s="102">
        <f>SUM(D31:D51)</f>
        <v>295000</v>
      </c>
      <c r="E52" s="60"/>
      <c r="F52" s="103">
        <f>SUM(F31:F51)</f>
        <v>303384.13</v>
      </c>
      <c r="G52" s="60"/>
      <c r="I52" s="87"/>
    </row>
    <row r="53" spans="1:9" ht="47.4" thickBot="1" x14ac:dyDescent="0.35">
      <c r="A53" s="60" t="s">
        <v>51</v>
      </c>
      <c r="B53" s="60" t="s">
        <v>175</v>
      </c>
      <c r="C53" s="26">
        <f>182100+176900+50000</f>
        <v>409000</v>
      </c>
      <c r="D53" s="26">
        <f>190000+25000</f>
        <v>215000</v>
      </c>
      <c r="E53" s="61">
        <v>0.3</v>
      </c>
      <c r="F53" s="80">
        <v>300954.09000000003</v>
      </c>
      <c r="G53" s="6" t="s">
        <v>172</v>
      </c>
      <c r="H53" s="82"/>
      <c r="I53" s="87"/>
    </row>
    <row r="54" spans="1:9" ht="47.4" thickBot="1" x14ac:dyDescent="0.35">
      <c r="A54" s="60" t="s">
        <v>52</v>
      </c>
      <c r="B54" s="60" t="s">
        <v>154</v>
      </c>
      <c r="C54" s="26">
        <f>65000+59600</f>
        <v>124600</v>
      </c>
      <c r="D54" s="26">
        <v>178000</v>
      </c>
      <c r="E54" s="61">
        <v>0.3</v>
      </c>
      <c r="F54" s="80">
        <v>227077.18</v>
      </c>
      <c r="G54" s="6" t="s">
        <v>172</v>
      </c>
      <c r="I54" s="87"/>
    </row>
    <row r="55" spans="1:9" ht="63" thickBot="1" x14ac:dyDescent="0.35">
      <c r="A55" s="60" t="s">
        <v>174</v>
      </c>
      <c r="B55" s="6"/>
      <c r="C55" s="26">
        <v>50000</v>
      </c>
      <c r="D55" s="95">
        <v>25000</v>
      </c>
      <c r="E55" s="61">
        <v>0.3</v>
      </c>
      <c r="F55" s="80">
        <v>67145</v>
      </c>
      <c r="G55" s="6" t="s">
        <v>172</v>
      </c>
      <c r="I55" s="87"/>
    </row>
    <row r="56" spans="1:9" ht="40.049999999999997" customHeight="1" thickBot="1" x14ac:dyDescent="0.35">
      <c r="A56" s="60" t="s">
        <v>111</v>
      </c>
      <c r="B56" s="60" t="s">
        <v>30</v>
      </c>
      <c r="C56" s="26">
        <v>100000</v>
      </c>
      <c r="D56" s="95">
        <v>50000</v>
      </c>
      <c r="E56" s="6"/>
      <c r="F56" s="80">
        <v>428</v>
      </c>
      <c r="G56" s="60"/>
      <c r="I56" s="87"/>
    </row>
    <row r="57" spans="1:9" ht="40.049999999999997" customHeight="1" thickBot="1" x14ac:dyDescent="0.35">
      <c r="A57" s="99" t="s">
        <v>31</v>
      </c>
      <c r="B57" s="99"/>
      <c r="C57" s="106">
        <f>C28+C52+C53+C54+C55+C56</f>
        <v>1869159</v>
      </c>
      <c r="D57" s="106">
        <f>D28+D52+D53+D54+D55+D56</f>
        <v>934579</v>
      </c>
      <c r="E57" s="6"/>
      <c r="F57" s="103">
        <f>F28+F52+F53+F54+F55+F56</f>
        <v>1284277.43</v>
      </c>
      <c r="G57" s="60"/>
      <c r="I57" s="88"/>
    </row>
    <row r="58" spans="1:9" ht="40.049999999999997" customHeight="1" thickBot="1" x14ac:dyDescent="0.35">
      <c r="A58" s="99" t="s">
        <v>32</v>
      </c>
      <c r="B58" s="99"/>
      <c r="C58" s="106">
        <f>C57*7%</f>
        <v>130841.13000000002</v>
      </c>
      <c r="D58" s="106">
        <f>D57*7%</f>
        <v>65420.530000000006</v>
      </c>
      <c r="E58" s="6"/>
      <c r="F58" s="107">
        <f>997.72+2626.4+1407.43*0+2565.44+14241.28</f>
        <v>20430.84</v>
      </c>
      <c r="G58" s="60"/>
      <c r="I58" s="89"/>
    </row>
    <row r="59" spans="1:9" ht="40.049999999999997" customHeight="1" thickBot="1" x14ac:dyDescent="0.35">
      <c r="A59" s="99" t="s">
        <v>33</v>
      </c>
      <c r="B59" s="99"/>
      <c r="C59" s="106">
        <f>C57+C58</f>
        <v>2000000.1300000001</v>
      </c>
      <c r="D59" s="108">
        <f>D57+D58</f>
        <v>999999.53</v>
      </c>
      <c r="E59" s="109">
        <f>C59+D59</f>
        <v>2999999.66</v>
      </c>
      <c r="F59" s="103">
        <f>F57+F58</f>
        <v>1304708.27</v>
      </c>
      <c r="G59" s="60"/>
    </row>
    <row r="60" spans="1:9" hidden="1" outlineLevel="1" x14ac:dyDescent="0.3">
      <c r="H60" s="81" t="s">
        <v>149</v>
      </c>
      <c r="I60" s="85" t="s">
        <v>148</v>
      </c>
    </row>
    <row r="61" spans="1:9" ht="31.2" hidden="1" outlineLevel="1" x14ac:dyDescent="0.3">
      <c r="A61" s="29" t="s">
        <v>144</v>
      </c>
      <c r="B61" t="s">
        <v>142</v>
      </c>
      <c r="C61" s="28" t="s">
        <v>141</v>
      </c>
      <c r="D61" s="28" t="s">
        <v>143</v>
      </c>
      <c r="H61" s="83">
        <f>2000000/1.07</f>
        <v>1869158.8785046728</v>
      </c>
      <c r="I61" s="90">
        <f>1000000/1.07</f>
        <v>934579.43925233639</v>
      </c>
    </row>
    <row r="62" spans="1:9" hidden="1" outlineLevel="1" x14ac:dyDescent="0.3">
      <c r="B62" s="27">
        <f>C52+182100+65000+25000</f>
        <v>839659</v>
      </c>
      <c r="C62" s="27">
        <f>C28+176900+59600+25000</f>
        <v>879500</v>
      </c>
      <c r="D62" s="27">
        <f>D28+D52+(D53)+D54</f>
        <v>859579</v>
      </c>
      <c r="H62" s="81">
        <v>2000000</v>
      </c>
      <c r="I62" s="85">
        <v>100000</v>
      </c>
    </row>
    <row r="63" spans="1:9" hidden="1" outlineLevel="1" x14ac:dyDescent="0.3">
      <c r="A63" t="s">
        <v>151</v>
      </c>
      <c r="B63" s="27">
        <v>25000</v>
      </c>
      <c r="C63" s="27">
        <v>25000</v>
      </c>
      <c r="D63" s="27">
        <v>25000</v>
      </c>
    </row>
    <row r="64" spans="1:9" hidden="1" outlineLevel="1" x14ac:dyDescent="0.3">
      <c r="B64" s="27">
        <v>50000</v>
      </c>
      <c r="C64" s="27">
        <v>50000</v>
      </c>
      <c r="D64" s="27">
        <v>50000</v>
      </c>
    </row>
    <row r="65" spans="1:9" hidden="1" outlineLevel="1" x14ac:dyDescent="0.3">
      <c r="A65" t="s">
        <v>152</v>
      </c>
      <c r="B65" s="27">
        <f>SUM(B62:B64)</f>
        <v>914659</v>
      </c>
      <c r="C65" s="27">
        <f>SUM(C62:C64)</f>
        <v>954500</v>
      </c>
      <c r="D65" s="27">
        <f>SUM(D62:D64)</f>
        <v>934579</v>
      </c>
    </row>
    <row r="66" spans="1:9" hidden="1" outlineLevel="1" x14ac:dyDescent="0.3">
      <c r="A66" t="s">
        <v>150</v>
      </c>
      <c r="B66" s="59">
        <f>1000000/1.07</f>
        <v>934579.43925233639</v>
      </c>
      <c r="C66" s="59">
        <f>1000000/1.07</f>
        <v>934579.43925233639</v>
      </c>
      <c r="D66" s="59">
        <f>1000000/1.07</f>
        <v>934579.43925233639</v>
      </c>
      <c r="H66" s="84">
        <f>H62-H61</f>
        <v>130841.12149532721</v>
      </c>
      <c r="I66" s="91">
        <f>I62-I61</f>
        <v>-834579.43925233639</v>
      </c>
    </row>
    <row r="67" spans="1:9" hidden="1" outlineLevel="1" x14ac:dyDescent="0.3">
      <c r="A67" t="s">
        <v>146</v>
      </c>
      <c r="B67" s="110">
        <f>SUM(B62:D62)</f>
        <v>2578738</v>
      </c>
      <c r="C67" s="111"/>
      <c r="D67" s="111"/>
    </row>
    <row r="68" spans="1:9" ht="25.5" hidden="1" customHeight="1" outlineLevel="1" x14ac:dyDescent="0.3">
      <c r="A68" t="s">
        <v>153</v>
      </c>
      <c r="B68">
        <v>65420</v>
      </c>
      <c r="C68">
        <v>65420</v>
      </c>
      <c r="D68">
        <v>65420</v>
      </c>
    </row>
    <row r="69" spans="1:9" hidden="1" outlineLevel="1" x14ac:dyDescent="0.3">
      <c r="A69" t="s">
        <v>145</v>
      </c>
      <c r="B69" s="27">
        <f>B68+B65</f>
        <v>980079</v>
      </c>
      <c r="C69" s="27">
        <f>C68+C65</f>
        <v>1019920</v>
      </c>
      <c r="D69" s="27">
        <f>D68+D65</f>
        <v>999999</v>
      </c>
    </row>
    <row r="70" spans="1:9" ht="31.2" hidden="1" outlineLevel="1" x14ac:dyDescent="0.3">
      <c r="A70" s="29" t="s">
        <v>145</v>
      </c>
      <c r="B70" t="s">
        <v>142</v>
      </c>
      <c r="C70" s="28" t="s">
        <v>141</v>
      </c>
      <c r="D70" s="28" t="s">
        <v>143</v>
      </c>
    </row>
    <row r="71" spans="1:9" hidden="1" outlineLevel="1" x14ac:dyDescent="0.3">
      <c r="B71" s="27">
        <f>B62</f>
        <v>839659</v>
      </c>
      <c r="C71" s="27">
        <f>C62</f>
        <v>879500</v>
      </c>
      <c r="D71" s="27">
        <f>D62</f>
        <v>859579</v>
      </c>
    </row>
    <row r="72" spans="1:9" hidden="1" outlineLevel="1" x14ac:dyDescent="0.3">
      <c r="A72" t="s">
        <v>147</v>
      </c>
    </row>
    <row r="73" spans="1:9" hidden="1" outlineLevel="1" x14ac:dyDescent="0.3"/>
    <row r="74" spans="1:9" hidden="1" outlineLevel="1" x14ac:dyDescent="0.3">
      <c r="A74" t="s">
        <v>146</v>
      </c>
    </row>
    <row r="75" spans="1:9" hidden="1" outlineLevel="1" x14ac:dyDescent="0.3"/>
    <row r="76" spans="1:9" hidden="1" outlineLevel="1" x14ac:dyDescent="0.3">
      <c r="B76" s="27">
        <f>C55+C56+C52+C28</f>
        <v>1335559</v>
      </c>
      <c r="C76" s="27">
        <f>D55+D56+D52+D28</f>
        <v>541579</v>
      </c>
    </row>
    <row r="77" spans="1:9" collapsed="1" x14ac:dyDescent="0.3">
      <c r="C77" s="28"/>
      <c r="D77" s="28"/>
    </row>
    <row r="79" spans="1:9" x14ac:dyDescent="0.3">
      <c r="C79" s="28"/>
      <c r="D79" s="28"/>
    </row>
    <row r="80" spans="1:9" x14ac:dyDescent="0.3">
      <c r="C80" s="28"/>
      <c r="D80" s="28"/>
    </row>
    <row r="85" spans="5:6" x14ac:dyDescent="0.3">
      <c r="E85" s="62"/>
      <c r="F85" s="35"/>
    </row>
    <row r="86" spans="5:6" x14ac:dyDescent="0.3">
      <c r="E86" s="27"/>
    </row>
  </sheetData>
  <mergeCells count="6">
    <mergeCell ref="B67:D67"/>
    <mergeCell ref="A8:G8"/>
    <mergeCell ref="A43:G43"/>
    <mergeCell ref="A9:G9"/>
    <mergeCell ref="A29:G29"/>
    <mergeCell ref="A30:G30"/>
  </mergeCells>
  <pageMargins left="0.7" right="0.7" top="0.75" bottom="0.75" header="0.3" footer="0.3"/>
  <pageSetup scale="62" orientation="landscape" r:id="rId1"/>
  <rowBreaks count="3" manualBreakCount="3">
    <brk id="16" max="6" man="1"/>
    <brk id="26" max="6"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view="pageBreakPreview" zoomScale="118" zoomScaleNormal="70" workbookViewId="0">
      <selection activeCell="D11" sqref="D11"/>
    </sheetView>
  </sheetViews>
  <sheetFormatPr defaultColWidth="10.88671875" defaultRowHeight="14.4" x14ac:dyDescent="0.3"/>
  <cols>
    <col min="1" max="1" width="19.44140625" customWidth="1"/>
    <col min="2" max="2" width="17" bestFit="1" customWidth="1"/>
    <col min="3" max="3" width="15.6640625" bestFit="1" customWidth="1"/>
    <col min="4" max="4" width="17" bestFit="1" customWidth="1"/>
    <col min="5" max="5" width="15.6640625" bestFit="1" customWidth="1"/>
    <col min="6" max="7" width="17" bestFit="1" customWidth="1"/>
    <col min="8" max="8" width="18.6640625" bestFit="1" customWidth="1"/>
    <col min="9" max="9" width="16.33203125" bestFit="1" customWidth="1"/>
    <col min="10" max="10" width="19.33203125" bestFit="1" customWidth="1"/>
    <col min="11" max="11" width="8.77734375" customWidth="1"/>
    <col min="12" max="12" width="11.44140625" bestFit="1" customWidth="1"/>
    <col min="13" max="256" width="8.77734375" customWidth="1"/>
  </cols>
  <sheetData>
    <row r="1" spans="1:12" x14ac:dyDescent="0.3">
      <c r="A1" s="119" t="s">
        <v>36</v>
      </c>
      <c r="B1" s="122" t="s">
        <v>166</v>
      </c>
      <c r="C1" s="123"/>
      <c r="D1" s="122" t="s">
        <v>168</v>
      </c>
      <c r="E1" s="123"/>
      <c r="F1" s="122" t="s">
        <v>170</v>
      </c>
      <c r="G1" s="123"/>
      <c r="H1" s="115" t="s">
        <v>47</v>
      </c>
      <c r="I1" s="115" t="s">
        <v>49</v>
      </c>
      <c r="J1" s="115" t="s">
        <v>48</v>
      </c>
    </row>
    <row r="2" spans="1:12" ht="15" thickBot="1" x14ac:dyDescent="0.35">
      <c r="A2" s="120"/>
      <c r="B2" s="117" t="s">
        <v>167</v>
      </c>
      <c r="C2" s="118"/>
      <c r="D2" s="117" t="s">
        <v>169</v>
      </c>
      <c r="E2" s="118"/>
      <c r="F2" s="117"/>
      <c r="G2" s="118"/>
      <c r="H2" s="124"/>
      <c r="I2" s="124"/>
      <c r="J2" s="116"/>
    </row>
    <row r="3" spans="1:12" ht="28.2" thickBot="1" x14ac:dyDescent="0.35">
      <c r="A3" s="121"/>
      <c r="B3" s="63" t="s">
        <v>38</v>
      </c>
      <c r="C3" s="63" t="s">
        <v>39</v>
      </c>
      <c r="D3" s="64" t="s">
        <v>38</v>
      </c>
      <c r="E3" s="64" t="s">
        <v>39</v>
      </c>
      <c r="F3" s="65" t="s">
        <v>38</v>
      </c>
      <c r="G3" s="65" t="s">
        <v>39</v>
      </c>
      <c r="H3" s="65" t="s">
        <v>38</v>
      </c>
      <c r="I3" s="65" t="s">
        <v>39</v>
      </c>
      <c r="J3" s="116"/>
    </row>
    <row r="4" spans="1:12" ht="28.2" thickBot="1" x14ac:dyDescent="0.35">
      <c r="A4" s="77" t="s">
        <v>40</v>
      </c>
      <c r="B4" s="73">
        <v>143150</v>
      </c>
      <c r="C4" s="67">
        <v>61350</v>
      </c>
      <c r="D4" s="67">
        <v>143150</v>
      </c>
      <c r="E4" s="67">
        <v>61350</v>
      </c>
      <c r="F4" s="67">
        <v>150500</v>
      </c>
      <c r="G4" s="67">
        <v>64500</v>
      </c>
      <c r="H4" s="67">
        <f>+B4+D4+F4</f>
        <v>436800</v>
      </c>
      <c r="I4" s="67">
        <f>+C4+E4+G4</f>
        <v>187200</v>
      </c>
      <c r="J4" s="69">
        <f>+H4+I4</f>
        <v>624000</v>
      </c>
      <c r="L4" s="28"/>
    </row>
    <row r="5" spans="1:12" ht="42" thickBot="1" x14ac:dyDescent="0.35">
      <c r="A5" s="77" t="s">
        <v>41</v>
      </c>
      <c r="B5" s="73">
        <v>19120.5</v>
      </c>
      <c r="C5" s="67">
        <v>8100</v>
      </c>
      <c r="D5" s="67">
        <v>19120.5</v>
      </c>
      <c r="E5" s="67">
        <v>8100</v>
      </c>
      <c r="F5" s="67">
        <v>28491</v>
      </c>
      <c r="G5" s="67">
        <v>12210</v>
      </c>
      <c r="H5" s="67">
        <f t="shared" ref="H5:H10" si="0">+B5+D5+F5</f>
        <v>66732</v>
      </c>
      <c r="I5" s="67">
        <f t="shared" ref="I5:I10" si="1">+C5+E5+G5</f>
        <v>28410</v>
      </c>
      <c r="J5" s="69">
        <f t="shared" ref="J5:J10" si="2">+H5+I5</f>
        <v>95142</v>
      </c>
      <c r="L5" s="28"/>
    </row>
    <row r="6" spans="1:12" ht="78.75" customHeight="1" thickBot="1" x14ac:dyDescent="0.35">
      <c r="A6" s="77" t="s">
        <v>42</v>
      </c>
      <c r="B6" s="73">
        <v>15721</v>
      </c>
      <c r="C6" s="67">
        <v>6760</v>
      </c>
      <c r="D6" s="67">
        <v>15721</v>
      </c>
      <c r="E6" s="67">
        <v>6760</v>
      </c>
      <c r="F6" s="67">
        <v>37488</v>
      </c>
      <c r="G6" s="67">
        <v>16066</v>
      </c>
      <c r="H6" s="67">
        <f t="shared" si="0"/>
        <v>68930</v>
      </c>
      <c r="I6" s="67">
        <f t="shared" si="1"/>
        <v>29586</v>
      </c>
      <c r="J6" s="69">
        <f t="shared" si="2"/>
        <v>98516</v>
      </c>
      <c r="L6" s="28"/>
    </row>
    <row r="7" spans="1:12" ht="31.5" customHeight="1" thickBot="1" x14ac:dyDescent="0.35">
      <c r="A7" s="78" t="s">
        <v>43</v>
      </c>
      <c r="B7" s="73">
        <v>323011</v>
      </c>
      <c r="C7" s="67">
        <v>134000</v>
      </c>
      <c r="D7" s="67">
        <v>323011</v>
      </c>
      <c r="E7" s="67">
        <v>134000</v>
      </c>
      <c r="F7" s="67">
        <v>50710</v>
      </c>
      <c r="G7" s="67">
        <v>21732</v>
      </c>
      <c r="H7" s="67">
        <f t="shared" si="0"/>
        <v>696732</v>
      </c>
      <c r="I7" s="67">
        <f t="shared" si="1"/>
        <v>289732</v>
      </c>
      <c r="J7" s="69">
        <f t="shared" si="2"/>
        <v>986464</v>
      </c>
      <c r="L7" s="28"/>
    </row>
    <row r="8" spans="1:12" ht="23.25" customHeight="1" thickBot="1" x14ac:dyDescent="0.35">
      <c r="A8" s="78" t="s">
        <v>44</v>
      </c>
      <c r="B8" s="73">
        <v>22342</v>
      </c>
      <c r="C8" s="67">
        <v>10500</v>
      </c>
      <c r="D8" s="67">
        <v>22342</v>
      </c>
      <c r="E8" s="67">
        <v>10500</v>
      </c>
      <c r="F8" s="67">
        <v>29990</v>
      </c>
      <c r="G8" s="67">
        <v>12853</v>
      </c>
      <c r="H8" s="67">
        <f t="shared" si="0"/>
        <v>74674</v>
      </c>
      <c r="I8" s="67">
        <f t="shared" si="1"/>
        <v>33853</v>
      </c>
      <c r="J8" s="69">
        <f t="shared" si="2"/>
        <v>108527</v>
      </c>
      <c r="L8" s="28"/>
    </row>
    <row r="9" spans="1:12" ht="40.200000000000003" thickBot="1" x14ac:dyDescent="0.35">
      <c r="A9" s="78" t="s">
        <v>45</v>
      </c>
      <c r="B9" s="73">
        <v>126500</v>
      </c>
      <c r="C9" s="67">
        <v>57800</v>
      </c>
      <c r="D9" s="67">
        <v>126500</v>
      </c>
      <c r="E9" s="67">
        <v>57800</v>
      </c>
      <c r="F9" s="67">
        <v>232426</v>
      </c>
      <c r="G9" s="67">
        <v>99611</v>
      </c>
      <c r="H9" s="67">
        <f t="shared" si="0"/>
        <v>485426</v>
      </c>
      <c r="I9" s="67">
        <f t="shared" si="1"/>
        <v>215211</v>
      </c>
      <c r="J9" s="69">
        <f t="shared" si="2"/>
        <v>700637</v>
      </c>
      <c r="L9" s="28"/>
    </row>
    <row r="10" spans="1:12" ht="27" thickBot="1" x14ac:dyDescent="0.35">
      <c r="A10" s="78" t="s">
        <v>155</v>
      </c>
      <c r="B10" s="73">
        <v>4362</v>
      </c>
      <c r="C10" s="67">
        <v>1864</v>
      </c>
      <c r="D10" s="67">
        <v>4362</v>
      </c>
      <c r="E10" s="67">
        <v>1864</v>
      </c>
      <c r="F10" s="67">
        <v>124600</v>
      </c>
      <c r="G10" s="67">
        <v>53400</v>
      </c>
      <c r="H10" s="67">
        <f t="shared" si="0"/>
        <v>133324</v>
      </c>
      <c r="I10" s="67">
        <f t="shared" si="1"/>
        <v>57128</v>
      </c>
      <c r="J10" s="69">
        <f t="shared" si="2"/>
        <v>190452</v>
      </c>
      <c r="L10" s="28"/>
    </row>
    <row r="11" spans="1:12" ht="45.75" customHeight="1" thickBot="1" x14ac:dyDescent="0.35">
      <c r="A11" s="76" t="s">
        <v>46</v>
      </c>
      <c r="B11" s="74">
        <f>SUM(B4:B10)</f>
        <v>654206.5</v>
      </c>
      <c r="C11" s="68">
        <f>SUM(C4:C10)</f>
        <v>280374</v>
      </c>
      <c r="D11" s="68">
        <f t="shared" ref="D11:I11" si="3">SUM(D4:D10)</f>
        <v>654206.5</v>
      </c>
      <c r="E11" s="68">
        <f t="shared" si="3"/>
        <v>280374</v>
      </c>
      <c r="F11" s="68">
        <f t="shared" si="3"/>
        <v>654205</v>
      </c>
      <c r="G11" s="68">
        <f t="shared" si="3"/>
        <v>280372</v>
      </c>
      <c r="H11" s="68">
        <f t="shared" si="3"/>
        <v>1962618</v>
      </c>
      <c r="I11" s="68">
        <f t="shared" si="3"/>
        <v>841120</v>
      </c>
      <c r="J11" s="70">
        <f>SUM(J4:J10)</f>
        <v>2803738</v>
      </c>
    </row>
    <row r="12" spans="1:12" ht="46.5" customHeight="1" thickBot="1" x14ac:dyDescent="0.35">
      <c r="A12" s="78" t="s">
        <v>156</v>
      </c>
      <c r="B12" s="73">
        <f>B11*7%</f>
        <v>45794.455000000002</v>
      </c>
      <c r="C12" s="67">
        <f t="shared" ref="C12:I12" si="4">C11*7%</f>
        <v>19626.18</v>
      </c>
      <c r="D12" s="67">
        <f t="shared" si="4"/>
        <v>45794.455000000002</v>
      </c>
      <c r="E12" s="67">
        <f t="shared" si="4"/>
        <v>19626.18</v>
      </c>
      <c r="F12" s="67">
        <f t="shared" si="4"/>
        <v>45794.350000000006</v>
      </c>
      <c r="G12" s="67">
        <f t="shared" si="4"/>
        <v>19626.04</v>
      </c>
      <c r="H12" s="67">
        <f t="shared" si="4"/>
        <v>137383.26</v>
      </c>
      <c r="I12" s="67">
        <f t="shared" si="4"/>
        <v>58878.400000000009</v>
      </c>
      <c r="J12" s="69">
        <v>196261.66</v>
      </c>
    </row>
    <row r="13" spans="1:12" ht="15" thickBot="1" x14ac:dyDescent="0.35">
      <c r="A13" s="66" t="s">
        <v>37</v>
      </c>
      <c r="B13" s="75">
        <f t="shared" ref="B13:I13" si="5">SUM(B11:B12)</f>
        <v>700000.95499999996</v>
      </c>
      <c r="C13" s="71">
        <f t="shared" si="5"/>
        <v>300000.18</v>
      </c>
      <c r="D13" s="71">
        <f t="shared" si="5"/>
        <v>700000.95499999996</v>
      </c>
      <c r="E13" s="71">
        <f t="shared" si="5"/>
        <v>300000.18</v>
      </c>
      <c r="F13" s="71">
        <f t="shared" si="5"/>
        <v>699999.35</v>
      </c>
      <c r="G13" s="71">
        <f t="shared" si="5"/>
        <v>299998.03999999998</v>
      </c>
      <c r="H13" s="71">
        <f t="shared" si="5"/>
        <v>2100001.2599999998</v>
      </c>
      <c r="I13" s="71">
        <f t="shared" si="5"/>
        <v>899998.4</v>
      </c>
      <c r="J13" s="72">
        <f>H13+I13</f>
        <v>2999999.6599999997</v>
      </c>
    </row>
  </sheetData>
  <mergeCells count="9">
    <mergeCell ref="J1:J3"/>
    <mergeCell ref="B2:C2"/>
    <mergeCell ref="D2:E2"/>
    <mergeCell ref="A1:A3"/>
    <mergeCell ref="B1:C1"/>
    <mergeCell ref="D1:E1"/>
    <mergeCell ref="F1:G2"/>
    <mergeCell ref="H1:H2"/>
    <mergeCell ref="I1:I2"/>
  </mergeCells>
  <pageMargins left="0.7" right="0.7"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zoomScale="90" zoomScaleNormal="90" zoomScaleSheetLayoutView="100" workbookViewId="0">
      <selection activeCell="C14" sqref="C14"/>
    </sheetView>
  </sheetViews>
  <sheetFormatPr defaultColWidth="10.88671875" defaultRowHeight="14.4" x14ac:dyDescent="0.3"/>
  <cols>
    <col min="1" max="1" width="27" customWidth="1"/>
    <col min="2" max="2" width="29.21875" customWidth="1"/>
    <col min="3" max="5" width="25.44140625" customWidth="1"/>
    <col min="6" max="7" width="22.44140625" customWidth="1"/>
    <col min="8" max="8" width="23.44140625" customWidth="1"/>
    <col min="9" max="9" width="22.44140625" customWidth="1"/>
    <col min="10" max="12" width="28.44140625" customWidth="1"/>
    <col min="13" max="13" width="34.21875" customWidth="1"/>
    <col min="14" max="256" width="8.77734375" customWidth="1"/>
  </cols>
  <sheetData>
    <row r="1" spans="1:8" ht="21" x14ac:dyDescent="0.4">
      <c r="A1" s="5" t="s">
        <v>0</v>
      </c>
      <c r="B1" s="4"/>
    </row>
    <row r="2" spans="1:8" ht="15.6" x14ac:dyDescent="0.3">
      <c r="A2" s="2"/>
      <c r="B2" s="2"/>
    </row>
    <row r="3" spans="1:8" ht="15.6" x14ac:dyDescent="0.3">
      <c r="A3" s="2" t="s">
        <v>50</v>
      </c>
      <c r="B3" s="2"/>
    </row>
    <row r="5" spans="1:8" ht="15.6" x14ac:dyDescent="0.3">
      <c r="A5" s="2" t="s">
        <v>54</v>
      </c>
    </row>
    <row r="7" spans="1:8" ht="138.75" customHeight="1" thickBot="1" x14ac:dyDescent="0.35">
      <c r="A7" s="9" t="s">
        <v>1</v>
      </c>
      <c r="B7" s="10" t="s">
        <v>2</v>
      </c>
      <c r="C7" s="10" t="s">
        <v>87</v>
      </c>
      <c r="D7" s="10" t="s">
        <v>88</v>
      </c>
      <c r="E7" s="10" t="s">
        <v>89</v>
      </c>
      <c r="F7" s="10" t="s">
        <v>34</v>
      </c>
      <c r="G7" s="10" t="s">
        <v>55</v>
      </c>
      <c r="H7" s="11" t="s">
        <v>35</v>
      </c>
    </row>
    <row r="8" spans="1:8" ht="33.75" customHeight="1" thickBot="1" x14ac:dyDescent="0.35">
      <c r="A8" s="14" t="s">
        <v>59</v>
      </c>
      <c r="B8" s="8"/>
      <c r="C8" s="8"/>
      <c r="D8" s="8"/>
      <c r="E8" s="8"/>
      <c r="F8" s="8"/>
      <c r="G8" s="8"/>
      <c r="H8" s="15"/>
    </row>
    <row r="9" spans="1:8" ht="19.5" customHeight="1" thickBot="1" x14ac:dyDescent="0.35">
      <c r="A9" s="14" t="s">
        <v>60</v>
      </c>
      <c r="B9" s="8"/>
      <c r="C9" s="8"/>
      <c r="D9" s="8"/>
      <c r="E9" s="8"/>
      <c r="F9" s="8"/>
      <c r="G9" s="8"/>
      <c r="H9" s="15"/>
    </row>
    <row r="10" spans="1:8" ht="31.8" thickBot="1" x14ac:dyDescent="0.35">
      <c r="A10" s="12" t="s">
        <v>3</v>
      </c>
      <c r="B10" s="1" t="s">
        <v>120</v>
      </c>
      <c r="C10" s="22"/>
      <c r="D10" s="22"/>
      <c r="E10" s="32">
        <v>120000</v>
      </c>
      <c r="F10" s="1"/>
      <c r="G10" s="1"/>
      <c r="H10" s="13"/>
    </row>
    <row r="11" spans="1:8" ht="47.4" thickBot="1" x14ac:dyDescent="0.35">
      <c r="A11" s="12" t="s">
        <v>4</v>
      </c>
      <c r="B11" s="1" t="s">
        <v>121</v>
      </c>
      <c r="C11" s="22"/>
      <c r="D11" s="22"/>
      <c r="E11" s="32">
        <v>40000</v>
      </c>
      <c r="F11" s="1"/>
      <c r="G11" s="1"/>
      <c r="H11" s="13"/>
    </row>
    <row r="12" spans="1:8" ht="18.75" customHeight="1" thickBot="1" x14ac:dyDescent="0.35">
      <c r="A12" s="14" t="s">
        <v>61</v>
      </c>
      <c r="B12" s="8"/>
      <c r="C12" s="23"/>
      <c r="D12" s="23"/>
      <c r="E12" s="23"/>
      <c r="F12" s="8"/>
      <c r="G12" s="8"/>
      <c r="H12" s="15"/>
    </row>
    <row r="13" spans="1:8" ht="77.25" customHeight="1" thickBot="1" x14ac:dyDescent="0.35">
      <c r="A13" s="12" t="s">
        <v>5</v>
      </c>
      <c r="B13" s="1" t="s">
        <v>130</v>
      </c>
      <c r="C13" s="22"/>
      <c r="D13" s="22"/>
      <c r="E13" s="32">
        <v>20000</v>
      </c>
      <c r="F13" s="1"/>
      <c r="G13" s="1"/>
      <c r="H13" s="13"/>
    </row>
    <row r="14" spans="1:8" ht="78" customHeight="1" thickBot="1" x14ac:dyDescent="0.35">
      <c r="A14" s="12" t="s">
        <v>6</v>
      </c>
      <c r="B14" s="1" t="s">
        <v>126</v>
      </c>
      <c r="C14" s="22"/>
      <c r="D14" s="22"/>
      <c r="E14" s="32">
        <v>40000</v>
      </c>
      <c r="F14" s="1"/>
      <c r="G14" s="1"/>
      <c r="H14" s="13"/>
    </row>
    <row r="15" spans="1:8" ht="75" customHeight="1" thickBot="1" x14ac:dyDescent="0.35">
      <c r="A15" s="12" t="s">
        <v>7</v>
      </c>
      <c r="B15" s="1" t="s">
        <v>124</v>
      </c>
      <c r="C15" s="22"/>
      <c r="D15" s="22"/>
      <c r="E15" s="32">
        <v>60000</v>
      </c>
      <c r="F15" s="1"/>
      <c r="G15" s="1"/>
      <c r="H15" s="13"/>
    </row>
    <row r="16" spans="1:8" ht="15.75" customHeight="1" thickBot="1" x14ac:dyDescent="0.35">
      <c r="A16" s="14" t="s">
        <v>62</v>
      </c>
      <c r="B16" s="8"/>
      <c r="C16" s="23"/>
      <c r="D16" s="23"/>
      <c r="E16" s="23"/>
      <c r="F16" s="8"/>
      <c r="G16" s="8"/>
      <c r="H16" s="15"/>
    </row>
    <row r="17" spans="1:8" ht="97.5" customHeight="1" thickBot="1" x14ac:dyDescent="0.35">
      <c r="A17" s="12" t="s">
        <v>8</v>
      </c>
      <c r="B17" s="1" t="s">
        <v>125</v>
      </c>
      <c r="C17" s="22"/>
      <c r="D17" s="22"/>
      <c r="E17" s="32">
        <v>40000</v>
      </c>
      <c r="F17" s="1"/>
      <c r="G17" s="1"/>
      <c r="H17" s="13"/>
    </row>
    <row r="18" spans="1:8" ht="16.2" thickBot="1" x14ac:dyDescent="0.35">
      <c r="A18" s="14" t="s">
        <v>110</v>
      </c>
      <c r="B18" s="8"/>
      <c r="C18" s="23"/>
      <c r="D18" s="23"/>
      <c r="E18" s="23"/>
      <c r="F18" s="8"/>
      <c r="G18" s="8"/>
      <c r="H18" s="15"/>
    </row>
    <row r="19" spans="1:8" ht="109.8" thickBot="1" x14ac:dyDescent="0.35">
      <c r="A19" s="12" t="s">
        <v>63</v>
      </c>
      <c r="B19" s="1" t="s">
        <v>127</v>
      </c>
      <c r="C19" s="22"/>
      <c r="D19" s="22"/>
      <c r="E19" s="32">
        <v>50000</v>
      </c>
      <c r="F19" s="1"/>
      <c r="G19" s="1"/>
      <c r="H19" s="13"/>
    </row>
    <row r="20" spans="1:8" ht="60.75" customHeight="1" thickBot="1" x14ac:dyDescent="0.35">
      <c r="A20" s="12" t="s">
        <v>64</v>
      </c>
      <c r="B20" s="1" t="s">
        <v>128</v>
      </c>
      <c r="C20" s="22"/>
      <c r="D20" s="22"/>
      <c r="E20" s="33">
        <v>30000</v>
      </c>
      <c r="F20" s="1"/>
      <c r="G20" s="1"/>
      <c r="H20" s="13"/>
    </row>
    <row r="21" spans="1:8" ht="63" thickBot="1" x14ac:dyDescent="0.35">
      <c r="A21" s="12" t="s">
        <v>65</v>
      </c>
      <c r="B21" s="1" t="s">
        <v>129</v>
      </c>
      <c r="C21" s="22"/>
      <c r="D21" s="22"/>
      <c r="E21" s="33">
        <v>90000</v>
      </c>
      <c r="F21" s="1"/>
      <c r="G21" s="1"/>
      <c r="H21" s="13"/>
    </row>
    <row r="22" spans="1:8" ht="47.4" thickBot="1" x14ac:dyDescent="0.35">
      <c r="A22" s="12" t="s">
        <v>66</v>
      </c>
      <c r="B22" s="1" t="s">
        <v>122</v>
      </c>
      <c r="C22" s="22"/>
      <c r="D22" s="22"/>
      <c r="E22" s="33">
        <v>60000</v>
      </c>
      <c r="F22" s="1"/>
      <c r="G22" s="1"/>
      <c r="H22" s="13"/>
    </row>
    <row r="23" spans="1:8" ht="110.25" customHeight="1" thickBot="1" x14ac:dyDescent="0.35">
      <c r="A23" s="12" t="s">
        <v>67</v>
      </c>
      <c r="B23" s="1" t="s">
        <v>123</v>
      </c>
      <c r="C23" s="22"/>
      <c r="D23" s="22"/>
      <c r="E23" s="32">
        <v>110000</v>
      </c>
      <c r="F23" s="1"/>
      <c r="G23" s="1"/>
      <c r="H23" s="13"/>
    </row>
    <row r="24" spans="1:8" ht="15.75" customHeight="1" thickBot="1" x14ac:dyDescent="0.35">
      <c r="A24" s="14" t="s">
        <v>9</v>
      </c>
      <c r="B24" s="8"/>
      <c r="C24" s="23">
        <f t="shared" ref="C24:H24" si="0">SUM(C10:C23)</f>
        <v>0</v>
      </c>
      <c r="D24" s="23">
        <f t="shared" si="0"/>
        <v>0</v>
      </c>
      <c r="E24" s="23">
        <f t="shared" si="0"/>
        <v>660000</v>
      </c>
      <c r="F24" s="8">
        <f t="shared" si="0"/>
        <v>0</v>
      </c>
      <c r="G24" s="8">
        <f t="shared" si="0"/>
        <v>0</v>
      </c>
      <c r="H24" s="8">
        <f t="shared" si="0"/>
        <v>0</v>
      </c>
    </row>
    <row r="25" spans="1:8" ht="15.75" customHeight="1" thickBot="1" x14ac:dyDescent="0.35">
      <c r="A25" s="14" t="s">
        <v>68</v>
      </c>
      <c r="B25" s="8"/>
      <c r="C25" s="23"/>
      <c r="D25" s="23"/>
      <c r="E25" s="23"/>
      <c r="F25" s="8"/>
      <c r="G25" s="8"/>
      <c r="H25" s="15"/>
    </row>
    <row r="26" spans="1:8" ht="15.75" customHeight="1" thickBot="1" x14ac:dyDescent="0.35">
      <c r="A26" s="14" t="s">
        <v>69</v>
      </c>
      <c r="B26" s="8"/>
      <c r="C26" s="23"/>
      <c r="D26" s="23"/>
      <c r="E26" s="23"/>
      <c r="F26" s="8"/>
      <c r="G26" s="8"/>
      <c r="H26" s="15"/>
    </row>
    <row r="27" spans="1:8" ht="47.4" thickBot="1" x14ac:dyDescent="0.35">
      <c r="A27" s="12" t="s">
        <v>10</v>
      </c>
      <c r="B27" s="1" t="s">
        <v>115</v>
      </c>
      <c r="C27" s="19">
        <v>10000</v>
      </c>
      <c r="D27" s="22"/>
      <c r="E27" s="22"/>
      <c r="F27" s="1"/>
      <c r="G27" s="1"/>
      <c r="H27" s="13"/>
    </row>
    <row r="28" spans="1:8" ht="47.4" thickBot="1" x14ac:dyDescent="0.35">
      <c r="A28" s="12" t="s">
        <v>11</v>
      </c>
      <c r="B28" s="1" t="s">
        <v>116</v>
      </c>
      <c r="C28" s="38">
        <v>10000</v>
      </c>
      <c r="D28" s="22">
        <v>10000</v>
      </c>
      <c r="E28" s="22"/>
      <c r="F28" s="1"/>
      <c r="G28" s="1"/>
      <c r="H28" s="13"/>
    </row>
    <row r="29" spans="1:8" ht="78.599999999999994" thickBot="1" x14ac:dyDescent="0.35">
      <c r="A29" s="12" t="s">
        <v>12</v>
      </c>
      <c r="B29" s="1" t="s">
        <v>117</v>
      </c>
      <c r="C29" s="22"/>
      <c r="D29" s="22">
        <f>40000+11931</f>
        <v>51931</v>
      </c>
      <c r="E29" s="22"/>
      <c r="F29" s="1"/>
      <c r="G29" s="1"/>
      <c r="H29" s="13"/>
    </row>
    <row r="30" spans="1:8" ht="15.75" customHeight="1" thickBot="1" x14ac:dyDescent="0.35">
      <c r="A30" s="14" t="s">
        <v>70</v>
      </c>
      <c r="B30" s="7"/>
      <c r="C30" s="24"/>
      <c r="D30" s="24"/>
      <c r="E30" s="24"/>
      <c r="F30" s="7"/>
      <c r="G30" s="7"/>
      <c r="H30" s="16"/>
    </row>
    <row r="31" spans="1:8" ht="109.8" thickBot="1" x14ac:dyDescent="0.35">
      <c r="A31" s="12" t="s">
        <v>13</v>
      </c>
      <c r="B31" s="1" t="s">
        <v>118</v>
      </c>
      <c r="C31" s="22"/>
      <c r="D31" s="19">
        <v>10000</v>
      </c>
      <c r="E31" s="22"/>
      <c r="F31" s="1"/>
      <c r="G31" s="1"/>
      <c r="H31" s="13"/>
    </row>
    <row r="32" spans="1:8" ht="109.8" thickBot="1" x14ac:dyDescent="0.35">
      <c r="A32" s="12" t="s">
        <v>14</v>
      </c>
      <c r="B32" s="1" t="s">
        <v>119</v>
      </c>
      <c r="C32" s="22"/>
      <c r="D32" s="19">
        <v>40000</v>
      </c>
      <c r="E32" s="22"/>
      <c r="F32" s="1"/>
      <c r="G32" s="1"/>
      <c r="H32" s="13"/>
    </row>
    <row r="33" spans="1:8" ht="141" thickBot="1" x14ac:dyDescent="0.35">
      <c r="A33" s="12" t="s">
        <v>15</v>
      </c>
      <c r="B33" s="1" t="s">
        <v>71</v>
      </c>
      <c r="C33" s="22"/>
      <c r="D33" s="19">
        <v>80000</v>
      </c>
      <c r="E33" s="22"/>
      <c r="F33" s="1"/>
      <c r="G33" s="1"/>
      <c r="H33" s="13"/>
    </row>
    <row r="34" spans="1:8" ht="15.75" customHeight="1" thickBot="1" x14ac:dyDescent="0.35">
      <c r="A34" s="14" t="s">
        <v>72</v>
      </c>
      <c r="B34" s="8"/>
      <c r="C34" s="23"/>
      <c r="D34" s="23"/>
      <c r="E34" s="23"/>
      <c r="F34" s="8"/>
      <c r="G34" s="8"/>
      <c r="H34" s="15"/>
    </row>
    <row r="35" spans="1:8" ht="174" customHeight="1" thickBot="1" x14ac:dyDescent="0.35">
      <c r="A35" s="12" t="s">
        <v>16</v>
      </c>
      <c r="B35" s="1" t="s">
        <v>73</v>
      </c>
      <c r="C35" s="22"/>
      <c r="D35" s="19">
        <v>30000</v>
      </c>
      <c r="E35" s="22"/>
      <c r="F35" s="1"/>
      <c r="G35" s="1"/>
      <c r="H35" s="13"/>
    </row>
    <row r="36" spans="1:8" ht="99" customHeight="1" thickBot="1" x14ac:dyDescent="0.35">
      <c r="A36" s="12" t="s">
        <v>17</v>
      </c>
      <c r="B36" s="1" t="s">
        <v>74</v>
      </c>
      <c r="C36" s="22"/>
      <c r="D36" s="19">
        <v>10000</v>
      </c>
      <c r="E36" s="22"/>
      <c r="F36" s="1"/>
      <c r="G36" s="1"/>
      <c r="H36" s="13"/>
    </row>
    <row r="37" spans="1:8" ht="72.75" customHeight="1" thickBot="1" x14ac:dyDescent="0.35">
      <c r="A37" s="12" t="s">
        <v>18</v>
      </c>
      <c r="B37" s="1" t="s">
        <v>132</v>
      </c>
      <c r="C37" s="19">
        <v>30000</v>
      </c>
      <c r="D37" s="19">
        <v>30000</v>
      </c>
      <c r="E37" s="22"/>
      <c r="F37" s="1"/>
      <c r="G37" s="1"/>
      <c r="H37" s="13"/>
    </row>
    <row r="38" spans="1:8" ht="15.75" customHeight="1" thickBot="1" x14ac:dyDescent="0.35">
      <c r="A38" s="14" t="s">
        <v>78</v>
      </c>
      <c r="B38" s="8"/>
      <c r="C38" s="23"/>
      <c r="D38" s="23"/>
      <c r="E38" s="23"/>
      <c r="F38" s="8"/>
      <c r="G38" s="8"/>
      <c r="H38" s="15"/>
    </row>
    <row r="39" spans="1:8" ht="156.6" thickBot="1" x14ac:dyDescent="0.35">
      <c r="A39" s="12" t="s">
        <v>75</v>
      </c>
      <c r="B39" s="1" t="s">
        <v>79</v>
      </c>
      <c r="C39" s="22"/>
      <c r="D39" s="19">
        <v>30000</v>
      </c>
      <c r="E39" s="22"/>
      <c r="F39" s="1"/>
      <c r="G39" s="1"/>
      <c r="H39" s="13"/>
    </row>
    <row r="40" spans="1:8" ht="47.4" thickBot="1" x14ac:dyDescent="0.35">
      <c r="A40" s="12" t="s">
        <v>76</v>
      </c>
      <c r="B40" s="1" t="s">
        <v>80</v>
      </c>
      <c r="C40" s="22"/>
      <c r="D40" s="19">
        <v>30000</v>
      </c>
      <c r="E40" s="22"/>
      <c r="F40" s="1"/>
      <c r="G40" s="1"/>
      <c r="H40" s="13" t="s">
        <v>134</v>
      </c>
    </row>
    <row r="41" spans="1:8" ht="47.4" thickBot="1" x14ac:dyDescent="0.35">
      <c r="A41" s="12" t="s">
        <v>77</v>
      </c>
      <c r="B41" s="1" t="s">
        <v>81</v>
      </c>
      <c r="C41" s="22"/>
      <c r="D41" s="19">
        <v>15000</v>
      </c>
      <c r="E41" s="22"/>
      <c r="F41" s="1"/>
      <c r="G41" s="1"/>
      <c r="H41" s="13"/>
    </row>
    <row r="42" spans="1:8" ht="63" thickBot="1" x14ac:dyDescent="0.35">
      <c r="A42" s="12" t="s">
        <v>82</v>
      </c>
      <c r="B42" s="1" t="s">
        <v>84</v>
      </c>
      <c r="C42" s="22"/>
      <c r="D42" s="19">
        <v>0</v>
      </c>
      <c r="E42" s="22"/>
      <c r="F42" s="1"/>
      <c r="G42" s="1"/>
      <c r="H42" s="13" t="s">
        <v>135</v>
      </c>
    </row>
    <row r="43" spans="1:8" ht="44.25" customHeight="1" thickBot="1" x14ac:dyDescent="0.35">
      <c r="A43" s="12" t="s">
        <v>83</v>
      </c>
      <c r="B43" s="1" t="s">
        <v>85</v>
      </c>
      <c r="C43" s="22"/>
      <c r="D43" s="22">
        <v>30000</v>
      </c>
      <c r="E43" s="22"/>
      <c r="F43" s="1"/>
      <c r="G43" s="1"/>
      <c r="H43" s="13"/>
    </row>
    <row r="44" spans="1:8" ht="15.75" customHeight="1" thickBot="1" x14ac:dyDescent="0.35">
      <c r="A44" s="14" t="s">
        <v>19</v>
      </c>
      <c r="B44" s="7"/>
      <c r="C44" s="24">
        <f t="shared" ref="C44:H44" si="1">SUM(C27:C43)</f>
        <v>50000</v>
      </c>
      <c r="D44" s="24">
        <f t="shared" si="1"/>
        <v>366931</v>
      </c>
      <c r="E44" s="24">
        <f t="shared" si="1"/>
        <v>0</v>
      </c>
      <c r="F44" s="7">
        <f t="shared" si="1"/>
        <v>0</v>
      </c>
      <c r="G44" s="7">
        <f t="shared" si="1"/>
        <v>0</v>
      </c>
      <c r="H44" s="7">
        <f t="shared" si="1"/>
        <v>0</v>
      </c>
    </row>
    <row r="45" spans="1:8" ht="16.5" customHeight="1" thickBot="1" x14ac:dyDescent="0.35">
      <c r="A45" s="14" t="s">
        <v>90</v>
      </c>
      <c r="B45" s="7"/>
      <c r="C45" s="24"/>
      <c r="D45" s="24"/>
      <c r="E45" s="24"/>
      <c r="F45" s="7"/>
      <c r="G45" s="7"/>
      <c r="H45" s="16"/>
    </row>
    <row r="46" spans="1:8" ht="15.75" customHeight="1" thickBot="1" x14ac:dyDescent="0.35">
      <c r="A46" s="14" t="s">
        <v>86</v>
      </c>
      <c r="B46" s="7"/>
      <c r="C46" s="24"/>
      <c r="D46" s="24"/>
      <c r="E46" s="24"/>
      <c r="F46" s="7"/>
      <c r="G46" s="7"/>
      <c r="H46" s="16"/>
    </row>
    <row r="47" spans="1:8" ht="63" thickBot="1" x14ac:dyDescent="0.35">
      <c r="A47" s="12" t="s">
        <v>20</v>
      </c>
      <c r="B47" s="1" t="s">
        <v>91</v>
      </c>
      <c r="C47" s="19">
        <v>15000</v>
      </c>
      <c r="D47" s="19">
        <v>20000</v>
      </c>
      <c r="E47" s="22"/>
      <c r="F47" s="1"/>
      <c r="G47" s="1"/>
      <c r="H47" s="13"/>
    </row>
    <row r="48" spans="1:8" ht="94.2" thickBot="1" x14ac:dyDescent="0.35">
      <c r="A48" s="12" t="s">
        <v>21</v>
      </c>
      <c r="B48" s="1" t="s">
        <v>92</v>
      </c>
      <c r="C48" s="19">
        <v>35000</v>
      </c>
      <c r="D48" s="19">
        <v>20000</v>
      </c>
      <c r="E48" s="22"/>
      <c r="F48" s="1"/>
      <c r="G48" s="1"/>
      <c r="H48" s="13"/>
    </row>
    <row r="49" spans="1:8" ht="47.4" thickBot="1" x14ac:dyDescent="0.35">
      <c r="A49" s="12" t="s">
        <v>22</v>
      </c>
      <c r="B49" s="1" t="s">
        <v>133</v>
      </c>
      <c r="C49" s="19">
        <v>25000</v>
      </c>
      <c r="D49" s="19">
        <v>25069</v>
      </c>
      <c r="E49" s="22"/>
      <c r="F49" s="1"/>
      <c r="G49" s="1"/>
      <c r="H49" s="13"/>
    </row>
    <row r="50" spans="1:8" ht="141" thickBot="1" x14ac:dyDescent="0.35">
      <c r="A50" s="12" t="s">
        <v>93</v>
      </c>
      <c r="B50" s="1" t="s">
        <v>96</v>
      </c>
      <c r="C50" s="19"/>
      <c r="D50" s="19">
        <v>20000</v>
      </c>
      <c r="E50" s="22"/>
      <c r="F50" s="1"/>
      <c r="G50" s="1"/>
      <c r="H50" s="13"/>
    </row>
    <row r="51" spans="1:8" ht="78.599999999999994" thickBot="1" x14ac:dyDescent="0.35">
      <c r="A51" s="12" t="s">
        <v>94</v>
      </c>
      <c r="B51" s="1" t="s">
        <v>97</v>
      </c>
      <c r="C51" s="19">
        <v>10000</v>
      </c>
      <c r="D51" s="22"/>
      <c r="E51" s="22"/>
      <c r="F51" s="1"/>
      <c r="G51" s="1"/>
      <c r="H51" s="13"/>
    </row>
    <row r="52" spans="1:8" ht="125.4" thickBot="1" x14ac:dyDescent="0.35">
      <c r="A52" s="12" t="s">
        <v>95</v>
      </c>
      <c r="B52" s="1" t="s">
        <v>98</v>
      </c>
      <c r="C52" s="41">
        <v>15000</v>
      </c>
      <c r="D52" s="22"/>
      <c r="E52" s="22"/>
      <c r="F52" s="1"/>
      <c r="G52" s="1"/>
      <c r="H52" s="13"/>
    </row>
    <row r="53" spans="1:8" ht="15.75" customHeight="1" thickBot="1" x14ac:dyDescent="0.35">
      <c r="A53" s="14" t="s">
        <v>99</v>
      </c>
      <c r="B53" s="7"/>
      <c r="C53" s="36"/>
      <c r="D53" s="24"/>
      <c r="E53" s="24"/>
      <c r="F53" s="7"/>
      <c r="G53" s="7"/>
      <c r="H53" s="16"/>
    </row>
    <row r="54" spans="1:8" ht="92.25" customHeight="1" thickBot="1" x14ac:dyDescent="0.35">
      <c r="A54" s="12" t="s">
        <v>23</v>
      </c>
      <c r="B54" s="1" t="s">
        <v>100</v>
      </c>
      <c r="C54" s="19">
        <v>182000</v>
      </c>
      <c r="D54" s="22"/>
      <c r="E54" s="22"/>
      <c r="F54" s="1"/>
      <c r="G54" s="1"/>
      <c r="H54" s="13"/>
    </row>
    <row r="55" spans="1:8" ht="31.8" thickBot="1" x14ac:dyDescent="0.35">
      <c r="A55" s="12" t="s">
        <v>24</v>
      </c>
      <c r="B55" s="1" t="s">
        <v>101</v>
      </c>
      <c r="C55" s="37">
        <v>30000</v>
      </c>
      <c r="D55" s="22"/>
      <c r="E55" s="22"/>
      <c r="F55" s="1"/>
      <c r="G55" s="1"/>
      <c r="H55" s="13"/>
    </row>
    <row r="56" spans="1:8" ht="63" thickBot="1" x14ac:dyDescent="0.35">
      <c r="A56" s="12" t="s">
        <v>25</v>
      </c>
      <c r="B56" s="1" t="s">
        <v>102</v>
      </c>
      <c r="C56" s="19">
        <v>220000</v>
      </c>
      <c r="D56" s="22"/>
      <c r="E56" s="22"/>
      <c r="F56" s="1"/>
      <c r="G56" s="1"/>
      <c r="H56" s="13"/>
    </row>
    <row r="57" spans="1:8" ht="31.8" thickBot="1" x14ac:dyDescent="0.35">
      <c r="A57" s="12" t="s">
        <v>103</v>
      </c>
      <c r="B57" s="1" t="s">
        <v>105</v>
      </c>
      <c r="C57" s="19">
        <v>15000</v>
      </c>
      <c r="D57" s="22"/>
      <c r="E57" s="22"/>
      <c r="F57" s="1"/>
      <c r="G57" s="1"/>
      <c r="H57" s="13"/>
    </row>
    <row r="58" spans="1:8" ht="47.4" thickBot="1" x14ac:dyDescent="0.35">
      <c r="A58" s="12" t="s">
        <v>104</v>
      </c>
      <c r="B58" s="1" t="s">
        <v>106</v>
      </c>
      <c r="C58" s="19">
        <v>15000</v>
      </c>
      <c r="D58" s="22"/>
      <c r="E58" s="22"/>
      <c r="F58" s="1"/>
      <c r="G58" s="1"/>
      <c r="H58" s="13"/>
    </row>
    <row r="59" spans="1:8" ht="21" customHeight="1" thickBot="1" x14ac:dyDescent="0.35">
      <c r="A59" s="14" t="s">
        <v>107</v>
      </c>
      <c r="B59" s="7"/>
      <c r="C59" s="36"/>
      <c r="D59" s="24"/>
      <c r="E59" s="24"/>
      <c r="F59" s="7"/>
      <c r="G59" s="7"/>
      <c r="H59" s="16"/>
    </row>
    <row r="60" spans="1:8" ht="172.2" thickBot="1" x14ac:dyDescent="0.35">
      <c r="A60" s="12" t="s">
        <v>26</v>
      </c>
      <c r="B60" s="1" t="s">
        <v>108</v>
      </c>
      <c r="C60" s="38"/>
      <c r="D60" s="19">
        <v>40000</v>
      </c>
      <c r="E60" s="22"/>
      <c r="F60" s="1"/>
      <c r="G60" s="1"/>
      <c r="H60" s="13"/>
    </row>
    <row r="61" spans="1:8" ht="63" thickBot="1" x14ac:dyDescent="0.35">
      <c r="A61" s="12" t="s">
        <v>27</v>
      </c>
      <c r="B61" s="1" t="s">
        <v>109</v>
      </c>
      <c r="C61" s="38"/>
      <c r="D61" s="19">
        <v>20000</v>
      </c>
      <c r="E61" s="22"/>
      <c r="F61" s="1"/>
      <c r="G61" s="1"/>
      <c r="H61" s="13"/>
    </row>
    <row r="62" spans="1:8" ht="16.2" thickBot="1" x14ac:dyDescent="0.35">
      <c r="A62" s="12" t="s">
        <v>28</v>
      </c>
      <c r="B62" s="1"/>
      <c r="C62" s="38"/>
      <c r="D62" s="22"/>
      <c r="E62" s="22"/>
      <c r="F62" s="1"/>
      <c r="G62" s="1"/>
      <c r="H62" s="13"/>
    </row>
    <row r="63" spans="1:8" ht="15.75" customHeight="1" thickBot="1" x14ac:dyDescent="0.35">
      <c r="A63" s="14" t="s">
        <v>29</v>
      </c>
      <c r="B63" s="7"/>
      <c r="C63" s="36">
        <f>SUM(C47:C62)</f>
        <v>562000</v>
      </c>
      <c r="D63" s="24">
        <f>SUM(D47:D62)</f>
        <v>145069</v>
      </c>
      <c r="E63" s="24">
        <v>620000</v>
      </c>
      <c r="F63" s="7">
        <f>SUM(F47:F62)</f>
        <v>0</v>
      </c>
      <c r="G63" s="7">
        <f>SUM(G47:G62)</f>
        <v>0</v>
      </c>
      <c r="H63" s="7">
        <f>SUM(H47:H62)</f>
        <v>0</v>
      </c>
    </row>
    <row r="64" spans="1:8" ht="51.75" customHeight="1" thickBot="1" x14ac:dyDescent="0.35">
      <c r="A64" s="17" t="s">
        <v>51</v>
      </c>
      <c r="B64" s="6"/>
      <c r="C64" s="26">
        <v>182929</v>
      </c>
      <c r="D64" s="26">
        <v>190000</v>
      </c>
      <c r="E64" s="31">
        <v>176970</v>
      </c>
      <c r="F64" s="6"/>
      <c r="G64" s="6"/>
      <c r="H64" s="18"/>
    </row>
    <row r="65" spans="1:8" ht="50.25" customHeight="1" thickBot="1" x14ac:dyDescent="0.35">
      <c r="A65" s="17" t="s">
        <v>52</v>
      </c>
      <c r="B65" s="6"/>
      <c r="C65" s="26">
        <v>60000</v>
      </c>
      <c r="D65" s="26">
        <v>178000</v>
      </c>
      <c r="E65" s="31">
        <v>100030</v>
      </c>
      <c r="F65" s="6"/>
      <c r="G65" s="6"/>
      <c r="H65" s="18"/>
    </row>
    <row r="66" spans="1:8" ht="50.25" customHeight="1" thickBot="1" x14ac:dyDescent="0.35">
      <c r="A66" s="12" t="s">
        <v>139</v>
      </c>
      <c r="B66" s="20"/>
      <c r="C66" s="26">
        <v>30000</v>
      </c>
      <c r="D66" s="25"/>
      <c r="E66" s="32" t="s">
        <v>131</v>
      </c>
      <c r="F66" s="20"/>
      <c r="G66" s="20"/>
      <c r="H66" s="21" t="s">
        <v>140</v>
      </c>
    </row>
    <row r="67" spans="1:8" ht="16.2" thickBot="1" x14ac:dyDescent="0.35">
      <c r="A67" s="12" t="s">
        <v>111</v>
      </c>
      <c r="B67" s="1" t="s">
        <v>30</v>
      </c>
      <c r="C67" s="38">
        <v>50000</v>
      </c>
      <c r="D67" s="22">
        <v>50000</v>
      </c>
      <c r="E67" s="22">
        <v>44850</v>
      </c>
      <c r="F67" s="1"/>
      <c r="G67" s="1"/>
      <c r="H67" s="13"/>
    </row>
    <row r="68" spans="1:8" ht="15.75" customHeight="1" thickBot="1" x14ac:dyDescent="0.35">
      <c r="A68" s="14" t="s">
        <v>31</v>
      </c>
      <c r="B68" s="7"/>
      <c r="C68" s="36">
        <f>C63+C44+C24+C64+C65+C66+C67</f>
        <v>934929</v>
      </c>
      <c r="D68" s="24">
        <f>D63+D44+D24+D64+D65+D66+D67</f>
        <v>930000</v>
      </c>
      <c r="E68" s="24">
        <v>941850</v>
      </c>
      <c r="F68" s="7">
        <f>F63+F44+F24</f>
        <v>0</v>
      </c>
      <c r="G68" s="7">
        <f>G63+G44+G24</f>
        <v>0</v>
      </c>
      <c r="H68" s="7">
        <f>H63+H44+H24</f>
        <v>0</v>
      </c>
    </row>
    <row r="69" spans="1:8" ht="16.5" customHeight="1" thickBot="1" x14ac:dyDescent="0.35">
      <c r="A69" s="14" t="s">
        <v>32</v>
      </c>
      <c r="B69" s="7"/>
      <c r="C69" s="39">
        <f>C68*7%</f>
        <v>65445.030000000006</v>
      </c>
      <c r="D69" s="30">
        <v>70000</v>
      </c>
      <c r="E69" s="30">
        <f>E68*7%</f>
        <v>65929.5</v>
      </c>
      <c r="F69" s="7">
        <f>F68*7%</f>
        <v>0</v>
      </c>
      <c r="G69" s="7">
        <f>G68*7%</f>
        <v>0</v>
      </c>
      <c r="H69" s="7">
        <f>H68*7%</f>
        <v>0</v>
      </c>
    </row>
    <row r="70" spans="1:8" ht="15" customHeight="1" thickBot="1" x14ac:dyDescent="0.35">
      <c r="A70" s="14" t="s">
        <v>33</v>
      </c>
      <c r="B70" s="7"/>
      <c r="C70" s="36">
        <f t="shared" ref="C70:H70" si="2">C68+C69</f>
        <v>1000374.03</v>
      </c>
      <c r="D70" s="24">
        <f t="shared" si="2"/>
        <v>1000000</v>
      </c>
      <c r="E70" s="24">
        <f t="shared" si="2"/>
        <v>1007779.5</v>
      </c>
      <c r="F70" s="7">
        <f t="shared" si="2"/>
        <v>0</v>
      </c>
      <c r="G70" s="7">
        <f t="shared" si="2"/>
        <v>0</v>
      </c>
      <c r="H70" s="7">
        <f t="shared" si="2"/>
        <v>0</v>
      </c>
    </row>
    <row r="72" spans="1:8" ht="15.6" x14ac:dyDescent="0.3">
      <c r="A72" s="29"/>
      <c r="C72" s="28"/>
      <c r="D72" s="28"/>
      <c r="E72" s="28"/>
    </row>
    <row r="76" spans="1:8" ht="25.5" customHeight="1" x14ac:dyDescent="0.3"/>
  </sheetData>
  <pageMargins left="0.7" right="0.7" top="0.75" bottom="0.75" header="0.3" footer="0.3"/>
  <pageSetup scale="74" orientation="landscape"/>
  <rowBreaks count="2" manualBreakCount="2">
    <brk id="44" max="16383" man="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zoomScale="106" zoomScaleNormal="106" workbookViewId="0">
      <selection activeCell="B10" sqref="B10"/>
    </sheetView>
  </sheetViews>
  <sheetFormatPr defaultColWidth="10.88671875" defaultRowHeight="14.4" x14ac:dyDescent="0.3"/>
  <cols>
    <col min="1" max="1" width="27.33203125" customWidth="1"/>
    <col min="2" max="2" width="12.44140625" bestFit="1" customWidth="1"/>
    <col min="3" max="6" width="12.33203125" customWidth="1"/>
    <col min="7" max="7" width="8.77734375" bestFit="1" customWidth="1"/>
    <col min="8" max="10" width="9.44140625" bestFit="1" customWidth="1"/>
    <col min="11" max="11" width="22.44140625" customWidth="1"/>
    <col min="12" max="13" width="11.44140625" customWidth="1"/>
    <col min="14" max="256" width="8.77734375" customWidth="1"/>
  </cols>
  <sheetData>
    <row r="1" spans="1:10" ht="15.6" x14ac:dyDescent="0.3">
      <c r="A1" s="2" t="s">
        <v>53</v>
      </c>
      <c r="B1" s="2"/>
      <c r="F1" s="2"/>
      <c r="G1" s="2"/>
    </row>
    <row r="2" spans="1:10" x14ac:dyDescent="0.3">
      <c r="A2" s="3"/>
      <c r="B2" s="3"/>
      <c r="F2" s="3"/>
      <c r="G2" s="3"/>
    </row>
    <row r="3" spans="1:10" x14ac:dyDescent="0.3">
      <c r="A3" s="3" t="s">
        <v>50</v>
      </c>
      <c r="B3" s="3"/>
      <c r="F3" s="3"/>
      <c r="G3" s="3"/>
    </row>
    <row r="5" spans="1:10" ht="26.4" x14ac:dyDescent="0.3">
      <c r="A5" s="125" t="s">
        <v>36</v>
      </c>
      <c r="B5" s="125" t="s">
        <v>57</v>
      </c>
      <c r="C5" s="125"/>
      <c r="D5" s="125" t="s">
        <v>58</v>
      </c>
      <c r="E5" s="125"/>
      <c r="F5" s="125" t="s">
        <v>56</v>
      </c>
      <c r="G5" s="125"/>
      <c r="H5" s="42" t="s">
        <v>47</v>
      </c>
      <c r="I5" s="42" t="s">
        <v>49</v>
      </c>
      <c r="J5" s="125" t="s">
        <v>48</v>
      </c>
    </row>
    <row r="6" spans="1:10" ht="26.4" x14ac:dyDescent="0.3">
      <c r="A6" s="125"/>
      <c r="B6" s="43" t="s">
        <v>38</v>
      </c>
      <c r="C6" s="43" t="s">
        <v>39</v>
      </c>
      <c r="D6" s="43" t="s">
        <v>38</v>
      </c>
      <c r="E6" s="43" t="s">
        <v>39</v>
      </c>
      <c r="F6" s="43" t="s">
        <v>38</v>
      </c>
      <c r="G6" s="43" t="s">
        <v>39</v>
      </c>
      <c r="H6" s="43"/>
      <c r="I6" s="43"/>
      <c r="J6" s="125"/>
    </row>
    <row r="7" spans="1:10" x14ac:dyDescent="0.3">
      <c r="A7" s="44" t="s">
        <v>40</v>
      </c>
      <c r="B7" s="49">
        <f>70/100*Activities!C53</f>
        <v>286300</v>
      </c>
      <c r="C7" s="49">
        <f>30/100*Activities!C53</f>
        <v>122700</v>
      </c>
      <c r="D7" s="49">
        <f>Activities!D53*70%</f>
        <v>150500</v>
      </c>
      <c r="E7" s="49">
        <f>Activities!D53*30%</f>
        <v>64500</v>
      </c>
      <c r="F7" s="49">
        <v>123879</v>
      </c>
      <c r="G7" s="49">
        <v>53091</v>
      </c>
      <c r="H7" s="45">
        <f>B7+D7+F7</f>
        <v>560679</v>
      </c>
      <c r="I7" s="45">
        <f>C7+E7+G7</f>
        <v>240291</v>
      </c>
      <c r="J7" s="45">
        <f>H7+I7</f>
        <v>800970</v>
      </c>
    </row>
    <row r="8" spans="1:10" ht="26.4" x14ac:dyDescent="0.3">
      <c r="A8" s="44" t="s">
        <v>41</v>
      </c>
      <c r="B8" s="49">
        <f>70/100*(Activities!C22+Activities!C23)</f>
        <v>14000</v>
      </c>
      <c r="C8" s="49">
        <f>30/100*(Activities!C22+Activities!C23)</f>
        <v>6000</v>
      </c>
      <c r="D8" s="49">
        <v>26600</v>
      </c>
      <c r="E8" s="49">
        <v>11400</v>
      </c>
      <c r="F8" s="49">
        <v>17500</v>
      </c>
      <c r="G8" s="49">
        <v>7500</v>
      </c>
      <c r="H8" s="45">
        <f t="shared" ref="H8:H14" si="0">B8+D8+F8</f>
        <v>58100</v>
      </c>
      <c r="I8" s="45">
        <f t="shared" ref="I8:I14" si="1">C8+E8+G8</f>
        <v>24900</v>
      </c>
      <c r="J8" s="45">
        <f t="shared" ref="J8:J14" si="2">H8+I8</f>
        <v>83000</v>
      </c>
    </row>
    <row r="9" spans="1:10" ht="39.6" x14ac:dyDescent="0.3">
      <c r="A9" s="44" t="s">
        <v>42</v>
      </c>
      <c r="B9" s="50"/>
      <c r="C9" s="50"/>
      <c r="D9" s="50">
        <v>35000</v>
      </c>
      <c r="E9" s="50">
        <v>15000</v>
      </c>
      <c r="F9" s="50">
        <v>25900</v>
      </c>
      <c r="G9" s="50">
        <v>11100</v>
      </c>
      <c r="H9" s="45">
        <f t="shared" si="0"/>
        <v>60900</v>
      </c>
      <c r="I9" s="45">
        <f t="shared" si="1"/>
        <v>26100</v>
      </c>
      <c r="J9" s="45">
        <f t="shared" si="2"/>
        <v>87000</v>
      </c>
    </row>
    <row r="10" spans="1:10" x14ac:dyDescent="0.3">
      <c r="A10" s="44" t="s">
        <v>43</v>
      </c>
      <c r="B10" s="49">
        <f>70/100*(Activities!C44+Activities!C49+Activities!C34+Activities!C35+Activities!C36+Activities!C37+Activities!C38)</f>
        <v>330400</v>
      </c>
      <c r="C10" s="49">
        <f>30/100*(Activities!C44+Activities!C49+Activities!C34+Activities!C35+Activities!C36+Activities!C37+Activities!C38)</f>
        <v>141600</v>
      </c>
      <c r="D10" s="49">
        <v>47344</v>
      </c>
      <c r="E10" s="49">
        <v>20290</v>
      </c>
      <c r="F10" s="49">
        <v>168800</v>
      </c>
      <c r="G10" s="49">
        <v>71200</v>
      </c>
      <c r="H10" s="45">
        <f t="shared" si="0"/>
        <v>546544</v>
      </c>
      <c r="I10" s="45">
        <f t="shared" si="1"/>
        <v>233090</v>
      </c>
      <c r="J10" s="45">
        <f t="shared" si="2"/>
        <v>779634</v>
      </c>
    </row>
    <row r="11" spans="1:10" ht="19.5" customHeight="1" x14ac:dyDescent="0.3">
      <c r="A11" s="44" t="s">
        <v>44</v>
      </c>
      <c r="B11" s="50"/>
      <c r="C11" s="50"/>
      <c r="D11" s="50">
        <v>28000</v>
      </c>
      <c r="E11" s="50">
        <v>12000</v>
      </c>
      <c r="F11" s="50">
        <v>38500</v>
      </c>
      <c r="G11" s="50">
        <v>16500</v>
      </c>
      <c r="H11" s="45">
        <f t="shared" si="0"/>
        <v>66500</v>
      </c>
      <c r="I11" s="45">
        <f t="shared" si="1"/>
        <v>28500</v>
      </c>
      <c r="J11" s="45">
        <f t="shared" si="2"/>
        <v>95000</v>
      </c>
    </row>
    <row r="12" spans="1:10" ht="26.4" x14ac:dyDescent="0.3">
      <c r="A12" s="44" t="s">
        <v>45</v>
      </c>
      <c r="B12" s="54">
        <f>70/100*Activities!C33</f>
        <v>21000</v>
      </c>
      <c r="C12" s="54">
        <f>30/100*Activities!C33</f>
        <v>9000</v>
      </c>
      <c r="D12" s="54">
        <v>217000</v>
      </c>
      <c r="E12" s="54">
        <v>93000</v>
      </c>
      <c r="F12" s="46">
        <v>154000</v>
      </c>
      <c r="G12" s="46">
        <v>66000</v>
      </c>
      <c r="H12" s="45">
        <f t="shared" si="0"/>
        <v>392000</v>
      </c>
      <c r="I12" s="45">
        <f t="shared" si="1"/>
        <v>168000</v>
      </c>
      <c r="J12" s="45">
        <f t="shared" si="2"/>
        <v>560000</v>
      </c>
    </row>
    <row r="13" spans="1:10" x14ac:dyDescent="0.3">
      <c r="A13" s="48" t="s">
        <v>136</v>
      </c>
      <c r="B13" s="54">
        <f>70/100*(Activities!C45+Activities!C46+Activities!C48)</f>
        <v>45891.299999999996</v>
      </c>
      <c r="C13" s="54">
        <f>30/100*(Activities!C45+Activities!C46+Activities!C48)</f>
        <v>19667.7</v>
      </c>
      <c r="D13" s="54">
        <v>42662</v>
      </c>
      <c r="E13" s="54">
        <v>18284</v>
      </c>
      <c r="F13" s="46"/>
      <c r="G13" s="46"/>
      <c r="H13" s="45">
        <f t="shared" si="0"/>
        <v>88553.299999999988</v>
      </c>
      <c r="I13" s="45">
        <f t="shared" si="1"/>
        <v>37951.699999999997</v>
      </c>
      <c r="J13" s="45">
        <f t="shared" si="2"/>
        <v>126504.99999999999</v>
      </c>
    </row>
    <row r="14" spans="1:10" ht="26.4" x14ac:dyDescent="0.3">
      <c r="A14" s="44" t="s">
        <v>137</v>
      </c>
      <c r="B14" s="54">
        <f>70/100*(Activities!C54+Activities!C55+Activities!C56)</f>
        <v>192220</v>
      </c>
      <c r="C14" s="54">
        <f>30/100*(Activities!C54+Activities!C55+Activities!C56)</f>
        <v>82380</v>
      </c>
      <c r="D14" s="54">
        <f>Activities!D54*70%</f>
        <v>124599.99999999999</v>
      </c>
      <c r="E14" s="54">
        <f>Activities!D54*30%</f>
        <v>53400</v>
      </c>
      <c r="F14" s="46">
        <v>122500</v>
      </c>
      <c r="G14" s="46">
        <v>52500</v>
      </c>
      <c r="H14" s="45">
        <f t="shared" si="0"/>
        <v>439320</v>
      </c>
      <c r="I14" s="45">
        <f t="shared" si="1"/>
        <v>188280</v>
      </c>
      <c r="J14" s="45">
        <f t="shared" si="2"/>
        <v>627600</v>
      </c>
    </row>
    <row r="15" spans="1:10" x14ac:dyDescent="0.3">
      <c r="A15" s="47" t="s">
        <v>46</v>
      </c>
      <c r="B15" s="55">
        <f>SUM(B7:B14)</f>
        <v>889811.3</v>
      </c>
      <c r="C15" s="55">
        <f>SUM(C7:C14)</f>
        <v>381347.7</v>
      </c>
      <c r="D15" s="55">
        <f>SUM(D7:D14)</f>
        <v>671706</v>
      </c>
      <c r="E15" s="55">
        <f t="shared" ref="E15:J15" si="3">SUM(E7:E14)</f>
        <v>287874</v>
      </c>
      <c r="F15" s="55">
        <f t="shared" si="3"/>
        <v>651079</v>
      </c>
      <c r="G15" s="55">
        <f t="shared" si="3"/>
        <v>277891</v>
      </c>
      <c r="H15" s="55">
        <f t="shared" si="3"/>
        <v>2212596.2999999998</v>
      </c>
      <c r="I15" s="55">
        <f t="shared" si="3"/>
        <v>947112.7</v>
      </c>
      <c r="J15" s="55">
        <f t="shared" si="3"/>
        <v>3159709</v>
      </c>
    </row>
    <row r="16" spans="1:10" ht="26.4" x14ac:dyDescent="0.3">
      <c r="A16" s="44" t="s">
        <v>138</v>
      </c>
      <c r="B16" s="49">
        <f>70/100*Activities!C58</f>
        <v>91588.791000000012</v>
      </c>
      <c r="C16" s="49">
        <f>30/100*Activities!C58</f>
        <v>39252.339000000007</v>
      </c>
      <c r="D16" s="51">
        <f>D15*7%</f>
        <v>47019.420000000006</v>
      </c>
      <c r="E16" s="51">
        <f t="shared" ref="E16:J16" si="4">E15*7%</f>
        <v>20151.18</v>
      </c>
      <c r="F16" s="51">
        <f t="shared" si="4"/>
        <v>45575.530000000006</v>
      </c>
      <c r="G16" s="51">
        <f t="shared" si="4"/>
        <v>19452.370000000003</v>
      </c>
      <c r="H16" s="51">
        <f t="shared" si="4"/>
        <v>154881.74100000001</v>
      </c>
      <c r="I16" s="51">
        <f t="shared" si="4"/>
        <v>66297.88900000001</v>
      </c>
      <c r="J16" s="51">
        <f t="shared" si="4"/>
        <v>221179.63000000003</v>
      </c>
    </row>
    <row r="17" spans="1:11" x14ac:dyDescent="0.3">
      <c r="A17" s="47" t="s">
        <v>37</v>
      </c>
      <c r="B17" s="55">
        <f>B15+B16</f>
        <v>981400.09100000001</v>
      </c>
      <c r="C17" s="55">
        <f>C15+C16</f>
        <v>420600.03899999999</v>
      </c>
      <c r="D17" s="56">
        <f>D15+D16</f>
        <v>718725.42</v>
      </c>
      <c r="E17" s="56">
        <f t="shared" ref="E17:J17" si="5">E15+E16</f>
        <v>308025.18</v>
      </c>
      <c r="F17" s="56">
        <f t="shared" si="5"/>
        <v>696654.53</v>
      </c>
      <c r="G17" s="56">
        <f t="shared" si="5"/>
        <v>297343.37</v>
      </c>
      <c r="H17" s="56">
        <f t="shared" si="5"/>
        <v>2367478.0409999997</v>
      </c>
      <c r="I17" s="56">
        <f t="shared" si="5"/>
        <v>1013410.5889999999</v>
      </c>
      <c r="J17" s="56">
        <f t="shared" si="5"/>
        <v>3380888.63</v>
      </c>
    </row>
    <row r="18" spans="1:11" x14ac:dyDescent="0.3">
      <c r="A18" s="40"/>
      <c r="B18" s="52" t="s">
        <v>112</v>
      </c>
      <c r="C18" s="53">
        <f>B17+C17</f>
        <v>1402000.13</v>
      </c>
      <c r="D18" s="52" t="s">
        <v>113</v>
      </c>
      <c r="E18" s="53">
        <f>D17+E17</f>
        <v>1026750.6000000001</v>
      </c>
      <c r="F18" s="52" t="s">
        <v>114</v>
      </c>
      <c r="G18" s="57">
        <v>993998</v>
      </c>
      <c r="H18" s="40"/>
      <c r="I18" s="40"/>
      <c r="J18" s="40"/>
    </row>
    <row r="19" spans="1:11" x14ac:dyDescent="0.3">
      <c r="B19" s="34"/>
    </row>
    <row r="20" spans="1:11" x14ac:dyDescent="0.3">
      <c r="C20" s="35"/>
      <c r="D20" s="35"/>
      <c r="E20" s="35"/>
      <c r="F20" s="35"/>
    </row>
    <row r="21" spans="1:11" ht="5.25" customHeight="1" x14ac:dyDescent="0.3">
      <c r="B21" s="28"/>
      <c r="D21" s="27"/>
      <c r="E21" s="27"/>
    </row>
    <row r="22" spans="1:11" ht="30" customHeight="1" x14ac:dyDescent="0.3">
      <c r="B22" s="125" t="s">
        <v>57</v>
      </c>
      <c r="C22" s="125"/>
      <c r="D22" s="27"/>
      <c r="F22" s="27">
        <f>SUM(B24:B28)</f>
        <v>770100</v>
      </c>
      <c r="G22" s="27">
        <f>SUM(C24:C28)</f>
        <v>328900</v>
      </c>
      <c r="J22" s="27">
        <f>SUM(D8:D12)</f>
        <v>353944</v>
      </c>
      <c r="K22" s="27">
        <f>SUM(E8:E12)</f>
        <v>151690</v>
      </c>
    </row>
    <row r="23" spans="1:11" ht="26.4" x14ac:dyDescent="0.3">
      <c r="B23" s="43" t="s">
        <v>38</v>
      </c>
      <c r="C23" s="43" t="s">
        <v>39</v>
      </c>
      <c r="D23" s="27"/>
    </row>
    <row r="24" spans="1:11" ht="26.4" x14ac:dyDescent="0.3">
      <c r="A24" s="44" t="s">
        <v>41</v>
      </c>
      <c r="B24" s="27">
        <f t="shared" ref="B24:C28" si="6">B8+F8</f>
        <v>31500</v>
      </c>
      <c r="C24" s="27">
        <f t="shared" si="6"/>
        <v>13500</v>
      </c>
      <c r="D24" s="27"/>
      <c r="E24" t="str">
        <f>A8</f>
        <v>2. Supplies, Commodities, Materials</v>
      </c>
      <c r="F24" s="58">
        <f t="shared" ref="F24:G28" si="7">B24/F$22</f>
        <v>4.0903778730035062E-2</v>
      </c>
      <c r="G24" s="58">
        <f t="shared" si="7"/>
        <v>4.1045910611128E-2</v>
      </c>
      <c r="J24" s="58">
        <f t="shared" ref="J24:K28" si="8">D8/J$22</f>
        <v>7.5153131568835754E-2</v>
      </c>
      <c r="K24" s="58">
        <f t="shared" si="8"/>
        <v>7.5153273122816264E-2</v>
      </c>
    </row>
    <row r="25" spans="1:11" ht="39.6" x14ac:dyDescent="0.3">
      <c r="A25" s="44" t="s">
        <v>42</v>
      </c>
      <c r="B25" s="27">
        <f t="shared" si="6"/>
        <v>25900</v>
      </c>
      <c r="C25" s="27">
        <f t="shared" si="6"/>
        <v>11100</v>
      </c>
      <c r="D25" s="27"/>
      <c r="E25" t="str">
        <f>A9</f>
        <v>3. Equipment, Vehicles, and Furniture (including Depreciation)</v>
      </c>
      <c r="F25" s="58">
        <f t="shared" si="7"/>
        <v>3.3631995844695492E-2</v>
      </c>
      <c r="G25" s="58">
        <f t="shared" si="7"/>
        <v>3.374885983581636E-2</v>
      </c>
      <c r="J25" s="58">
        <f t="shared" si="8"/>
        <v>9.8885699432678623E-2</v>
      </c>
      <c r="K25" s="58">
        <f t="shared" si="8"/>
        <v>9.8885885687916147E-2</v>
      </c>
    </row>
    <row r="26" spans="1:11" x14ac:dyDescent="0.3">
      <c r="A26" s="44" t="s">
        <v>43</v>
      </c>
      <c r="B26" s="27">
        <f t="shared" si="6"/>
        <v>499200</v>
      </c>
      <c r="C26" s="27">
        <f t="shared" si="6"/>
        <v>212800</v>
      </c>
      <c r="D26" s="27"/>
      <c r="E26" t="str">
        <f>A10</f>
        <v>4. Contractual services</v>
      </c>
      <c r="F26" s="58">
        <f t="shared" si="7"/>
        <v>0.64822750292169851</v>
      </c>
      <c r="G26" s="58">
        <f t="shared" si="7"/>
        <v>0.64700516874429914</v>
      </c>
      <c r="J26" s="58">
        <f t="shared" si="8"/>
        <v>0.13376127296973533</v>
      </c>
      <c r="K26" s="58">
        <f t="shared" si="8"/>
        <v>0.13375964137385457</v>
      </c>
    </row>
    <row r="27" spans="1:11" x14ac:dyDescent="0.3">
      <c r="A27" s="44" t="s">
        <v>44</v>
      </c>
      <c r="B27" s="27">
        <f t="shared" si="6"/>
        <v>38500</v>
      </c>
      <c r="C27" s="27">
        <f t="shared" si="6"/>
        <v>16500</v>
      </c>
      <c r="D27" s="27"/>
      <c r="E27" t="str">
        <f>A11</f>
        <v>5.Travel</v>
      </c>
      <c r="F27" s="58">
        <f t="shared" si="7"/>
        <v>4.9993507336709521E-2</v>
      </c>
      <c r="G27" s="58">
        <f t="shared" si="7"/>
        <v>5.016722408026756E-2</v>
      </c>
      <c r="J27" s="58">
        <f t="shared" si="8"/>
        <v>7.910855954614289E-2</v>
      </c>
      <c r="K27" s="58">
        <f t="shared" si="8"/>
        <v>7.9108708550332918E-2</v>
      </c>
    </row>
    <row r="28" spans="1:11" ht="26.4" x14ac:dyDescent="0.3">
      <c r="A28" s="44" t="s">
        <v>45</v>
      </c>
      <c r="B28" s="27">
        <f t="shared" si="6"/>
        <v>175000</v>
      </c>
      <c r="C28" s="27">
        <f t="shared" si="6"/>
        <v>75000</v>
      </c>
      <c r="D28" s="27"/>
      <c r="E28" t="str">
        <f>A12</f>
        <v>6. Transfers and Grants to Counterparts</v>
      </c>
      <c r="F28" s="58">
        <f t="shared" si="7"/>
        <v>0.22724321516686144</v>
      </c>
      <c r="G28" s="58">
        <f t="shared" si="7"/>
        <v>0.2280328367284889</v>
      </c>
      <c r="J28" s="58">
        <f t="shared" si="8"/>
        <v>0.61309133648260739</v>
      </c>
      <c r="K28" s="58">
        <f t="shared" si="8"/>
        <v>0.61309249126508014</v>
      </c>
    </row>
    <row r="29" spans="1:11" x14ac:dyDescent="0.3">
      <c r="D29" s="27"/>
      <c r="E29" s="27"/>
    </row>
    <row r="30" spans="1:11" x14ac:dyDescent="0.3">
      <c r="D30" s="27"/>
      <c r="E30" s="27"/>
    </row>
    <row r="31" spans="1:11" x14ac:dyDescent="0.3">
      <c r="D31" s="27"/>
      <c r="E31" s="27"/>
    </row>
    <row r="32" spans="1:11" x14ac:dyDescent="0.3">
      <c r="D32" s="27"/>
      <c r="E32" s="27"/>
    </row>
    <row r="33" spans="4:5" x14ac:dyDescent="0.3">
      <c r="D33" s="27"/>
      <c r="E33" s="27"/>
    </row>
    <row r="34" spans="4:5" x14ac:dyDescent="0.3">
      <c r="D34" s="27"/>
      <c r="E34" s="27"/>
    </row>
    <row r="35" spans="4:5" x14ac:dyDescent="0.3">
      <c r="D35" s="27"/>
      <c r="E35" s="27"/>
    </row>
  </sheetData>
  <mergeCells count="6">
    <mergeCell ref="B22:C22"/>
    <mergeCell ref="D5:E5"/>
    <mergeCell ref="J5:J6"/>
    <mergeCell ref="A5:A6"/>
    <mergeCell ref="F5:G5"/>
    <mergeCell ref="B5:C5"/>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D699C95216D34DAB6A3864E7159285" ma:contentTypeVersion="9" ma:contentTypeDescription="Create a new document." ma:contentTypeScope="" ma:versionID="daef4a441161db7064bb15e5539c65aa">
  <xsd:schema xmlns:xsd="http://www.w3.org/2001/XMLSchema" xmlns:xs="http://www.w3.org/2001/XMLSchema" xmlns:p="http://schemas.microsoft.com/office/2006/metadata/properties" xmlns:ns3="6891bfb7-ac6e-4c93-92f1-83e35952c48c" targetNamespace="http://schemas.microsoft.com/office/2006/metadata/properties" ma:root="true" ma:fieldsID="12fa06c8ec7b890f522287e9cffbfe1a" ns3:_="">
    <xsd:import namespace="6891bfb7-ac6e-4c93-92f1-83e35952c48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1bfb7-ac6e-4c93-92f1-83e35952c4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870F2F-4B54-4F86-89B0-01BDFE725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1bfb7-ac6e-4c93-92f1-83e35952c4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B0DAC-C1D5-4639-8816-CE806595A5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Activities</vt:lpstr>
      <vt:lpstr>Categories</vt:lpstr>
      <vt:lpstr>sheet 1 internal</vt:lpstr>
      <vt:lpstr>sheet 2 internal </vt:lpstr>
      <vt:lpstr>Activities!Print_Area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2020-10-29T09:57:15Z</cp:lastPrinted>
  <dcterms:created xsi:type="dcterms:W3CDTF">2017-11-15T21:17:43Z</dcterms:created>
  <dcterms:modified xsi:type="dcterms:W3CDTF">2020-11-06T09:24:31Z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0x010100F1D699C95216D34DAB6A3864E7159285</vt:lpwstr>
  </property>
</Properties>
</file>