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20\INFORMES\1. SEMI ANUAL\PBSO\4. Sepur Zarco\"/>
    </mc:Choice>
  </mc:AlternateContent>
  <xr:revisionPtr revIDLastSave="110" documentId="13_ncr:1_{A1F85565-E0CB-4269-8BAA-F55FEBDBB483}" xr6:coauthVersionLast="44" xr6:coauthVersionMax="45" xr10:uidLastSave="{455279A4-6827-478C-A2CA-02291C3A8574}"/>
  <bookViews>
    <workbookView xWindow="1950" yWindow="1950" windowWidth="8040" windowHeight="6000"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definedNames>
    <definedName name="_xlnm.Print_Area" localSheetId="0">'1) Budget Table'!$A$1:$J$215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8" i="5" l="1"/>
  <c r="I209" i="1" l="1"/>
  <c r="D188" i="1"/>
  <c r="F187" i="1"/>
  <c r="E187" i="1"/>
  <c r="D187" i="1"/>
  <c r="I14" i="1" l="1"/>
  <c r="I15" i="1"/>
  <c r="I16" i="1"/>
  <c r="I77" i="1" l="1"/>
  <c r="I76" i="1"/>
  <c r="I46" i="1"/>
  <c r="I44" i="1"/>
  <c r="I45" i="1"/>
  <c r="I34" i="1"/>
  <c r="I119" i="1" l="1"/>
  <c r="I109" i="1"/>
  <c r="I182" i="1"/>
  <c r="I183" i="1"/>
  <c r="I57" i="1"/>
  <c r="I36" i="1"/>
  <c r="I35" i="1"/>
  <c r="I108" i="1" l="1"/>
  <c r="I118" i="1" l="1"/>
  <c r="D123" i="5" l="1"/>
  <c r="D122" i="5"/>
  <c r="D121" i="5"/>
  <c r="D118" i="5"/>
  <c r="D56" i="5"/>
  <c r="D55" i="5"/>
  <c r="D54" i="5"/>
  <c r="D51" i="5"/>
  <c r="D50" i="5"/>
  <c r="D199" i="5"/>
  <c r="D184" i="1"/>
  <c r="D183" i="1"/>
  <c r="D182" i="1"/>
  <c r="D202" i="5"/>
  <c r="D201" i="5"/>
  <c r="D200" i="5"/>
  <c r="D197" i="5"/>
  <c r="D196" i="5"/>
  <c r="F24" i="4" l="1"/>
  <c r="F23" i="4"/>
  <c r="F22" i="4"/>
  <c r="I22" i="1" l="1"/>
  <c r="I32" i="1"/>
  <c r="I42" i="1"/>
  <c r="I52" i="1"/>
  <c r="I64" i="1"/>
  <c r="I74" i="1"/>
  <c r="I84" i="1"/>
  <c r="I94" i="1"/>
  <c r="I106" i="1"/>
  <c r="I116" i="1"/>
  <c r="I126" i="1"/>
  <c r="I136" i="1"/>
  <c r="I148" i="1"/>
  <c r="I158" i="1"/>
  <c r="I168" i="1"/>
  <c r="I178" i="1"/>
  <c r="I185" i="1"/>
  <c r="D212" i="1" l="1"/>
  <c r="G181" i="1"/>
  <c r="H207"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58" i="1" l="1"/>
  <c r="E158" i="1"/>
  <c r="D13" i="5"/>
  <c r="E203" i="1"/>
  <c r="F203" i="1"/>
  <c r="D203" i="1"/>
  <c r="E195" i="1"/>
  <c r="F195" i="1"/>
  <c r="D195" i="1"/>
  <c r="G182" i="1"/>
  <c r="G183" i="1"/>
  <c r="G184" i="1"/>
  <c r="G174" i="1"/>
  <c r="G177" i="1"/>
  <c r="G176" i="1"/>
  <c r="G175" i="1"/>
  <c r="G173" i="1"/>
  <c r="G172" i="1"/>
  <c r="G171" i="1"/>
  <c r="G170" i="1"/>
  <c r="G167" i="1"/>
  <c r="G166" i="1"/>
  <c r="G165" i="1"/>
  <c r="G164" i="1"/>
  <c r="G163" i="1"/>
  <c r="G162" i="1"/>
  <c r="G161" i="1"/>
  <c r="G160" i="1"/>
  <c r="G157" i="1"/>
  <c r="G156" i="1"/>
  <c r="G155" i="1"/>
  <c r="G154" i="1"/>
  <c r="G153" i="1"/>
  <c r="G152" i="1"/>
  <c r="G151" i="1"/>
  <c r="G150" i="1"/>
  <c r="G147" i="1"/>
  <c r="G146" i="1"/>
  <c r="G145" i="1"/>
  <c r="G144" i="1"/>
  <c r="G143" i="1"/>
  <c r="G142" i="1"/>
  <c r="G141" i="1"/>
  <c r="G140" i="1"/>
  <c r="G135" i="1"/>
  <c r="G134" i="1"/>
  <c r="G133" i="1"/>
  <c r="G132" i="1"/>
  <c r="G131" i="1"/>
  <c r="G130" i="1"/>
  <c r="G129" i="1"/>
  <c r="G128" i="1"/>
  <c r="G125" i="1"/>
  <c r="G124" i="1"/>
  <c r="G123" i="1"/>
  <c r="G122" i="1"/>
  <c r="G121" i="1"/>
  <c r="G120" i="1"/>
  <c r="G119" i="1"/>
  <c r="G118" i="1"/>
  <c r="G115" i="1"/>
  <c r="G114" i="1"/>
  <c r="G113" i="1"/>
  <c r="G112" i="1"/>
  <c r="G111" i="1"/>
  <c r="G110" i="1"/>
  <c r="G109" i="1"/>
  <c r="G108" i="1"/>
  <c r="G105" i="1"/>
  <c r="G104" i="1"/>
  <c r="G103" i="1"/>
  <c r="G102" i="1"/>
  <c r="G101" i="1"/>
  <c r="G100" i="1"/>
  <c r="G99" i="1"/>
  <c r="G98" i="1"/>
  <c r="G93" i="1"/>
  <c r="G92" i="1"/>
  <c r="G91" i="1"/>
  <c r="G90" i="1"/>
  <c r="G89" i="1"/>
  <c r="G88" i="1"/>
  <c r="G87" i="1"/>
  <c r="G86" i="1"/>
  <c r="G83" i="1"/>
  <c r="G82" i="1"/>
  <c r="G81" i="1"/>
  <c r="G80" i="1"/>
  <c r="G79" i="1"/>
  <c r="G78" i="1"/>
  <c r="G77" i="1"/>
  <c r="G76" i="1"/>
  <c r="G73" i="1"/>
  <c r="G72" i="1"/>
  <c r="G71" i="1"/>
  <c r="G70" i="1"/>
  <c r="G69" i="1"/>
  <c r="G68" i="1"/>
  <c r="G67" i="1"/>
  <c r="G66" i="1"/>
  <c r="G63" i="1"/>
  <c r="G62" i="1"/>
  <c r="G61" i="1"/>
  <c r="G60" i="1"/>
  <c r="G59" i="1"/>
  <c r="G58" i="1"/>
  <c r="G57" i="1"/>
  <c r="G56" i="1"/>
  <c r="G51" i="1"/>
  <c r="G50" i="1"/>
  <c r="G49" i="1"/>
  <c r="G48" i="1"/>
  <c r="G47" i="1"/>
  <c r="G46" i="1"/>
  <c r="G45" i="1"/>
  <c r="G44" i="1"/>
  <c r="G41" i="1"/>
  <c r="G40" i="1"/>
  <c r="G39" i="1"/>
  <c r="G38" i="1"/>
  <c r="G37" i="1"/>
  <c r="G36" i="1"/>
  <c r="G35" i="1"/>
  <c r="G34" i="1"/>
  <c r="G25" i="1"/>
  <c r="G26" i="1"/>
  <c r="G27" i="1"/>
  <c r="G28" i="1"/>
  <c r="G29" i="1"/>
  <c r="G30" i="1"/>
  <c r="G31" i="1"/>
  <c r="G24" i="1"/>
  <c r="G15" i="1"/>
  <c r="G16" i="1"/>
  <c r="G17" i="1"/>
  <c r="G18" i="1"/>
  <c r="G19" i="1"/>
  <c r="G20" i="1"/>
  <c r="G21" i="1"/>
  <c r="G14" i="1"/>
  <c r="F203" i="5"/>
  <c r="E203" i="5"/>
  <c r="D203" i="5"/>
  <c r="G202" i="5"/>
  <c r="G201" i="5"/>
  <c r="G200" i="5"/>
  <c r="G199" i="5"/>
  <c r="G198" i="5"/>
  <c r="G197" i="5"/>
  <c r="G196" i="5"/>
  <c r="E185" i="1"/>
  <c r="E195" i="5" s="1"/>
  <c r="F185" i="1"/>
  <c r="F195" i="5" s="1"/>
  <c r="D185" i="1"/>
  <c r="D195" i="5" s="1"/>
  <c r="G185" i="1" l="1"/>
  <c r="G203" i="5"/>
  <c r="H42" i="1"/>
  <c r="G136" i="1"/>
  <c r="H22" i="1"/>
  <c r="G32" i="1"/>
  <c r="G64" i="1"/>
  <c r="G94" i="1"/>
  <c r="G126" i="1"/>
  <c r="G158" i="1"/>
  <c r="H178" i="1"/>
  <c r="G52" i="1"/>
  <c r="G84" i="1"/>
  <c r="H168" i="1"/>
  <c r="G74" i="1"/>
  <c r="G106" i="1"/>
  <c r="G116" i="1"/>
  <c r="G148" i="1"/>
  <c r="H32" i="1"/>
  <c r="G168" i="1"/>
  <c r="H94" i="1"/>
  <c r="H106" i="1"/>
  <c r="H126" i="1"/>
  <c r="H52" i="1"/>
  <c r="H136" i="1"/>
  <c r="H185" i="1"/>
  <c r="H64" i="1"/>
  <c r="H148" i="1"/>
  <c r="H74" i="1"/>
  <c r="H158" i="1"/>
  <c r="H116" i="1"/>
  <c r="H84" i="1"/>
  <c r="G178" i="1"/>
  <c r="G42" i="1"/>
  <c r="G22"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09"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78" i="1"/>
  <c r="E184" i="5" s="1"/>
  <c r="F178" i="1"/>
  <c r="F184" i="5" s="1"/>
  <c r="E168" i="1"/>
  <c r="E173" i="5" s="1"/>
  <c r="F168" i="1"/>
  <c r="F173" i="5" s="1"/>
  <c r="E162" i="5"/>
  <c r="F158" i="1"/>
  <c r="F162" i="5" s="1"/>
  <c r="E148" i="1"/>
  <c r="E151" i="5" s="1"/>
  <c r="F148" i="1"/>
  <c r="F151" i="5" s="1"/>
  <c r="E136" i="1"/>
  <c r="E139" i="5" s="1"/>
  <c r="F136" i="1"/>
  <c r="F139" i="5" s="1"/>
  <c r="E126" i="1"/>
  <c r="E128" i="5" s="1"/>
  <c r="F126" i="1"/>
  <c r="F128" i="5" s="1"/>
  <c r="E116" i="1"/>
  <c r="E117" i="5" s="1"/>
  <c r="F116" i="1"/>
  <c r="F117" i="5" s="1"/>
  <c r="E106" i="1"/>
  <c r="F106" i="1"/>
  <c r="F106" i="5" s="1"/>
  <c r="E94" i="1"/>
  <c r="E94" i="5" s="1"/>
  <c r="F94" i="1"/>
  <c r="E84" i="1"/>
  <c r="E83" i="5" s="1"/>
  <c r="F84" i="1"/>
  <c r="F83" i="5" s="1"/>
  <c r="E74" i="1"/>
  <c r="E72" i="5" s="1"/>
  <c r="F74" i="1"/>
  <c r="F72" i="5" s="1"/>
  <c r="E64" i="1"/>
  <c r="E61" i="5" s="1"/>
  <c r="F64" i="1"/>
  <c r="F61" i="5" s="1"/>
  <c r="E52" i="1"/>
  <c r="E49" i="5" s="1"/>
  <c r="F52" i="1"/>
  <c r="F49" i="5" s="1"/>
  <c r="E42" i="1"/>
  <c r="F42" i="1"/>
  <c r="F38" i="5" s="1"/>
  <c r="E32" i="1"/>
  <c r="E27" i="5" s="1"/>
  <c r="F32" i="1"/>
  <c r="F27" i="5" s="1"/>
  <c r="D32" i="1"/>
  <c r="D27" i="5" s="1"/>
  <c r="F22" i="1"/>
  <c r="E22" i="1"/>
  <c r="E16" i="4" l="1"/>
  <c r="E17" i="4" s="1"/>
  <c r="C16" i="4"/>
  <c r="C17" i="4" s="1"/>
  <c r="E216" i="5"/>
  <c r="E217" i="5" s="1"/>
  <c r="F216" i="5"/>
  <c r="F217" i="5" s="1"/>
  <c r="E16" i="5"/>
  <c r="E196" i="1"/>
  <c r="F16" i="5"/>
  <c r="F196" i="1"/>
  <c r="D15" i="4"/>
  <c r="E106" i="5"/>
  <c r="G215" i="5"/>
  <c r="F94" i="5"/>
  <c r="G27" i="5"/>
  <c r="E38" i="5"/>
  <c r="F15" i="4" l="1"/>
  <c r="F16" i="4" s="1"/>
  <c r="F17" i="4" s="1"/>
  <c r="D16" i="4"/>
  <c r="D17" i="4" s="1"/>
  <c r="G216" i="5"/>
  <c r="G217" i="5" s="1"/>
  <c r="F197" i="1"/>
  <c r="E197" i="1"/>
  <c r="D178" i="1"/>
  <c r="D184" i="5" s="1"/>
  <c r="G184" i="5" s="1"/>
  <c r="D168" i="1"/>
  <c r="D173" i="5" s="1"/>
  <c r="G173" i="5" s="1"/>
  <c r="D162" i="5"/>
  <c r="G162" i="5" s="1"/>
  <c r="D148" i="1"/>
  <c r="D136" i="1"/>
  <c r="D139" i="5" s="1"/>
  <c r="G139" i="5" s="1"/>
  <c r="D126" i="1"/>
  <c r="D128" i="5" s="1"/>
  <c r="G128" i="5" s="1"/>
  <c r="D116" i="1"/>
  <c r="D117" i="5" s="1"/>
  <c r="G117" i="5" s="1"/>
  <c r="D106" i="1"/>
  <c r="D94" i="1"/>
  <c r="D94" i="5" s="1"/>
  <c r="G94" i="5" s="1"/>
  <c r="D84" i="1"/>
  <c r="D83" i="5" s="1"/>
  <c r="G83" i="5" s="1"/>
  <c r="D74" i="1"/>
  <c r="D72" i="5" s="1"/>
  <c r="G72" i="5" s="1"/>
  <c r="D64" i="1"/>
  <c r="D52" i="1"/>
  <c r="D49" i="5" s="1"/>
  <c r="G49" i="5" s="1"/>
  <c r="D42" i="1"/>
  <c r="D22" i="1"/>
  <c r="D16" i="5" l="1"/>
  <c r="G16" i="5" s="1"/>
  <c r="D196" i="1"/>
  <c r="F198" i="1"/>
  <c r="E198" i="1"/>
  <c r="D106" i="5"/>
  <c r="G106" i="5" s="1"/>
  <c r="C29" i="6"/>
  <c r="D151" i="5"/>
  <c r="G151" i="5" s="1"/>
  <c r="C40" i="6"/>
  <c r="D61" i="5"/>
  <c r="G61" i="5" s="1"/>
  <c r="C18" i="6"/>
  <c r="D38" i="5"/>
  <c r="G38" i="5" s="1"/>
  <c r="C7" i="6"/>
  <c r="D10" i="6" s="1"/>
  <c r="F206" i="1" l="1"/>
  <c r="E24" i="4" s="1"/>
  <c r="F205" i="1"/>
  <c r="E23" i="4" s="1"/>
  <c r="F204" i="1"/>
  <c r="E206" i="1"/>
  <c r="D24" i="4" s="1"/>
  <c r="E205" i="1"/>
  <c r="D23" i="4" s="1"/>
  <c r="E204" i="1"/>
  <c r="G196" i="1"/>
  <c r="D45" i="6"/>
  <c r="D47" i="6"/>
  <c r="D46" i="6"/>
  <c r="D43" i="6"/>
  <c r="D44" i="6"/>
  <c r="D34" i="6"/>
  <c r="D36" i="6"/>
  <c r="D32" i="6"/>
  <c r="D33" i="6"/>
  <c r="D35" i="6"/>
  <c r="D24" i="6"/>
  <c r="D25" i="6"/>
  <c r="D21" i="6"/>
  <c r="D22" i="6"/>
  <c r="D23" i="6"/>
  <c r="D12" i="6"/>
  <c r="D11" i="6"/>
  <c r="D14" i="6"/>
  <c r="D13" i="6"/>
  <c r="D197" i="1"/>
  <c r="E207" i="1" l="1"/>
  <c r="F207" i="1"/>
  <c r="G197" i="1"/>
  <c r="G198" i="1" s="1"/>
  <c r="D213" i="1" s="1"/>
  <c r="I210" i="1"/>
  <c r="E22" i="4"/>
  <c r="D22" i="4"/>
  <c r="D198" i="1"/>
  <c r="C30" i="6"/>
  <c r="C41" i="6"/>
  <c r="C19" i="6"/>
  <c r="C8" i="6"/>
  <c r="D210" i="1" l="1"/>
  <c r="D206" i="1"/>
  <c r="D205" i="1"/>
  <c r="G205" i="1" s="1"/>
  <c r="D204" i="1"/>
  <c r="C22" i="4" s="1"/>
  <c r="G206" i="1" l="1"/>
  <c r="C24" i="4"/>
  <c r="D207" i="1"/>
  <c r="G204" i="1"/>
  <c r="C23" i="4"/>
  <c r="G207" i="1" l="1"/>
</calcChain>
</file>

<file path=xl/sharedStrings.xml><?xml version="1.0" encoding="utf-8"?>
<sst xmlns="http://schemas.openxmlformats.org/spreadsheetml/2006/main" count="849" uniqueCount="627">
  <si>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</si>
  <si>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</si>
  <si>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</si>
  <si>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</si>
  <si>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</si>
  <si>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</si>
  <si>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</si>
  <si>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</si>
  <si>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</si>
  <si>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</si>
  <si>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</si>
  <si>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</si>
  <si>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</si>
  <si>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</si>
  <si>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</si>
  <si>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</si>
  <si>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</si>
  <si>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</si>
  <si>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</si>
  <si>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</si>
  <si>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</si>
  <si>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</si>
  <si>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</si>
  <si>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</si>
  <si>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</si>
  <si>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</si>
  <si>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</si>
  <si>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</si>
  <si>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</si>
  <si>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</si>
  <si>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</si>
  <si>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</si>
  <si>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</si>
  <si>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</si>
  <si>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</si>
  <si>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</si>
  <si>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</si>
  <si>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</si>
  <si>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</si>
  <si>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</si>
  <si>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</si>
  <si>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</si>
  <si>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</si>
  <si>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</si>
  <si>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</si>
  <si>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</si>
  <si>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</si>
  <si>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</si>
  <si>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</si>
  <si>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</si>
  <si>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</si>
  <si>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</si>
  <si>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</si>
  <si>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</si>
  <si>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</si>
  <si>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</si>
  <si>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</si>
  <si>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</si>
  <si>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</si>
  <si>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</si>
  <si>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</si>
  <si>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</si>
  <si>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</si>
  <si>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</si>
  <si>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</si>
  <si>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</si>
  <si>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</si>
  <si>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</si>
  <si>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</si>
  <si>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</si>
  <si>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</si>
  <si>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</si>
  <si>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</si>
  <si>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</si>
  <si>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</si>
  <si>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</si>
  <si>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</si>
  <si>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</si>
  <si>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</si>
  <si>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</si>
  <si>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</si>
  <si>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</si>
  <si>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</si>
  <si>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</si>
  <si>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</si>
  <si>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</si>
  <si>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</si>
  <si>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</si>
  <si>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</si>
  <si>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</si>
  <si>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</si>
  <si>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</si>
  <si>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</si>
  <si>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</si>
  <si>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</si>
  <si>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</si>
  <si>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</si>
  <si>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</si>
  <si>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</si>
  <si>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</si>
  <si>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</si>
  <si>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</si>
  <si>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</si>
  <si>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</si>
  <si>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</si>
  <si>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</si>
  <si>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</si>
  <si>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</si>
  <si>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</si>
  <si>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</si>
  <si>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</si>
  <si>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</si>
  <si>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</si>
  <si>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</si>
  <si>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</si>
  <si>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</si>
  <si>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</si>
  <si>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</si>
  <si>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</si>
  <si>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</si>
  <si>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</si>
  <si>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</si>
  <si>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</si>
  <si>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</si>
  <si>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</si>
  <si>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</si>
  <si>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</si>
  <si>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</si>
  <si>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</si>
  <si>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</si>
  <si>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</si>
  <si>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</si>
  <si>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</si>
  <si>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</si>
  <si>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</si>
  <si>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</si>
  <si>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</si>
  <si>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</si>
  <si>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</si>
  <si>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</si>
  <si>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</si>
  <si>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</si>
  <si>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</si>
  <si>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</si>
  <si>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</si>
  <si>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</si>
  <si>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</si>
  <si>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</si>
  <si>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</si>
  <si>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</si>
  <si>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</si>
  <si>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</si>
  <si>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</si>
  <si>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</si>
  <si>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</si>
  <si>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</si>
  <si>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</si>
  <si>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</si>
  <si>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</si>
  <si>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</si>
  <si>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</si>
  <si>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</si>
  <si>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</si>
  <si>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</si>
  <si>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</si>
  <si>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</si>
  <si>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</si>
  <si>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</si>
  <si>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</si>
  <si>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</si>
  <si>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</si>
  <si>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</si>
  <si>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</si>
  <si>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</si>
  <si>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</si>
  <si>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</si>
  <si>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</si>
  <si>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</si>
  <si>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</si>
  <si>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</si>
  <si>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</si>
  <si>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</si>
  <si>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</si>
  <si>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</si>
  <si>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</si>
  <si>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</si>
  <si>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</si>
  <si>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</si>
  <si>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</si>
  <si>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</si>
  <si>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</si>
  <si>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</si>
  <si>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</si>
  <si>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</si>
  <si>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</si>
  <si>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</si>
  <si>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</si>
  <si>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</si>
  <si>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</si>
  <si>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</si>
  <si>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</si>
  <si>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</si>
  <si>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</si>
  <si>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</si>
  <si>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</si>
  <si>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</si>
  <si>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</si>
  <si>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</si>
  <si>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</si>
  <si>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</si>
  <si>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</si>
  <si>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</si>
  <si>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</si>
  <si>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</si>
  <si>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</si>
  <si>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</si>
  <si>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</si>
  <si>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</si>
  <si>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</si>
  <si>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</si>
  <si>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</si>
  <si>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</si>
  <si>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</si>
  <si>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</si>
  <si>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</si>
  <si>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</si>
  <si>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</si>
  <si>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</si>
  <si>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</si>
  <si>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</si>
  <si>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</si>
  <si>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</si>
  <si>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</si>
  <si>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</si>
  <si>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</si>
  <si>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</si>
  <si>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</si>
  <si>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</si>
  <si>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</si>
  <si>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</si>
  <si>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</si>
  <si>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</si>
  <si>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</si>
  <si>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</si>
  <si>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</si>
  <si>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</si>
  <si>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</si>
  <si>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</si>
  <si>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</si>
  <si>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</si>
  <si>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</si>
  <si>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</si>
  <si>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</si>
  <si>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</si>
  <si>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</si>
  <si>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</si>
  <si>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</si>
  <si>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</si>
  <si>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</si>
  <si>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</si>
  <si>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</si>
  <si>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</si>
  <si>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</si>
  <si>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</si>
  <si>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</si>
  <si>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</si>
  <si>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</si>
  <si>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</si>
  <si>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</si>
  <si>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</si>
  <si>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</si>
  <si>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</si>
  <si>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</si>
  <si>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</si>
  <si>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</si>
  <si>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</si>
  <si>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</si>
  <si>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</si>
  <si>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</si>
  <si>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</si>
  <si>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</si>
  <si>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</si>
  <si>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</si>
  <si>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</si>
  <si>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</si>
  <si>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</si>
  <si>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</si>
  <si>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</si>
  <si>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</si>
  <si>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</si>
  <si>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</si>
  <si>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</si>
  <si>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</si>
  <si>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</si>
  <si>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</si>
  <si>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</si>
  <si>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</si>
  <si>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</si>
  <si>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</si>
  <si>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</si>
  <si>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</si>
  <si>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</si>
  <si>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</si>
  <si>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</si>
  <si>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</si>
  <si>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</si>
  <si>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</si>
  <si>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</si>
  <si>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</si>
  <si>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</si>
  <si>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</si>
  <si>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</si>
  <si>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</si>
  <si>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</si>
  <si>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</si>
  <si>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</si>
  <si>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</si>
  <si>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</si>
  <si>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</si>
  <si>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</si>
  <si>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</si>
  <si>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</si>
  <si>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</si>
  <si>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</si>
  <si>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</si>
  <si>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</si>
  <si>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</si>
  <si>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</si>
  <si>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</si>
  <si>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</si>
  <si>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</si>
  <si>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</si>
  <si>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</si>
  <si>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</si>
  <si>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</si>
  <si>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</si>
  <si>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</si>
  <si>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</si>
  <si>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</si>
  <si>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</si>
  <si>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</si>
  <si>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</si>
  <si>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</si>
  <si>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</si>
  <si>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</si>
  <si>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</si>
  <si>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</si>
  <si>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</si>
  <si>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</si>
  <si>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</si>
  <si>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</si>
  <si>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</si>
  <si>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</si>
  <si>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</si>
  <si>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</si>
  <si>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</si>
  <si>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</si>
  <si>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</si>
  <si>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</si>
  <si>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</si>
  <si>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</si>
  <si>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</si>
  <si>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</si>
  <si>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</si>
  <si>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</si>
  <si>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</si>
  <si>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</si>
  <si>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</si>
  <si>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</si>
  <si>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</si>
  <si>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</si>
  <si>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</si>
  <si>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</si>
  <si>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</si>
  <si>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</si>
  <si>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</si>
  <si>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</si>
  <si>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</si>
  <si>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</si>
  <si>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</si>
  <si>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</si>
  <si>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</si>
  <si>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</si>
  <si>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</si>
  <si>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</si>
  <si>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</si>
  <si>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</si>
  <si>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</si>
  <si>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</si>
  <si>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</si>
  <si>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</si>
  <si>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</si>
  <si>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</si>
  <si>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</si>
  <si>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</si>
  <si>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</si>
  <si>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</si>
  <si>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</si>
  <si>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</si>
  <si>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</si>
  <si>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</si>
  <si>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</si>
  <si>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</si>
  <si>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</si>
  <si>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</si>
  <si>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</si>
  <si>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</si>
  <si>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</si>
  <si>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</si>
  <si>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</si>
  <si>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</si>
  <si>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</si>
  <si>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</si>
  <si>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</si>
  <si>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</si>
  <si>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</si>
  <si>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</si>
  <si>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</si>
  <si>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</si>
  <si>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</si>
  <si>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</si>
  <si>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</si>
  <si>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</si>
  <si>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</si>
  <si>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</si>
  <si>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</si>
  <si>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</si>
  <si>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</si>
  <si>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</si>
  <si>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</si>
  <si>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</si>
  <si>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</si>
  <si>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</si>
  <si>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</si>
  <si>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</si>
  <si>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</si>
  <si>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</si>
  <si>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</si>
  <si>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</si>
  <si>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</si>
  <si>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</si>
  <si>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</si>
  <si>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</si>
  <si>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</si>
  <si>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</si>
  <si>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</si>
  <si>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</si>
  <si>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</si>
  <si>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</si>
  <si>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</si>
  <si>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</si>
  <si>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</si>
  <si>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</si>
  <si>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</si>
  <si>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</si>
  <si>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</si>
  <si>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</si>
  <si>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</si>
  <si>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</si>
  <si>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</si>
  <si>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</si>
  <si>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</si>
  <si>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</si>
  <si>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</si>
  <si>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</si>
  <si>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</si>
  <si>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</si>
  <si>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</si>
  <si>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</si>
  <si>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</si>
  <si>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</si>
  <si>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</si>
  <si>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</si>
  <si>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</si>
  <si>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</si>
  <si>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</si>
  <si>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</si>
  <si>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</si>
  <si>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</si>
  <si>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</si>
  <si>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</si>
  <si>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</si>
  <si>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</si>
  <si>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</si>
  <si>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</si>
  <si>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</si>
  <si>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</si>
  <si>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</si>
  <si>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</si>
  <si>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</si>
  <si>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</si>
  <si>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</si>
  <si>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</si>
  <si>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</si>
  <si>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</si>
  <si>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</si>
  <si>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</si>
  <si>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</si>
  <si>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</si>
  <si>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</si>
  <si>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</si>
  <si>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</si>
  <si>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</si>
  <si>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</si>
  <si>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</si>
  <si>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</si>
  <si>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</si>
  <si>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</si>
  <si>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</si>
  <si>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</si>
  <si>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</si>
  <si>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</si>
  <si>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</si>
  <si>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</si>
  <si>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</si>
  <si>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</si>
  <si>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</si>
  <si>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</si>
  <si>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</si>
  <si>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</si>
  <si>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</si>
  <si>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</si>
  <si>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</si>
  <si>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</si>
  <si>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</si>
  <si>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</si>
  <si>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</si>
  <si>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</si>
  <si>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</si>
  <si>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</si>
  <si>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</si>
  <si>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</si>
  <si>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</si>
  <si>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</si>
  <si>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</si>
  <si>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</si>
  <si>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</si>
  <si>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</si>
  <si>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</si>
  <si>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</si>
  <si>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</si>
  <si>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</si>
  <si>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</si>
  <si>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</si>
  <si>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</si>
  <si>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</si>
  <si>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</si>
  <si>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</si>
  <si>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</si>
  <si>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</si>
  <si>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</si>
  <si>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</si>
  <si>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</si>
  <si>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</si>
  <si>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</si>
  <si>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</si>
  <si>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</si>
  <si>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</si>
  <si>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</si>
  <si>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</si>
  <si>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</si>
  <si>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</si>
  <si>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</si>
  <si>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</si>
  <si>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</si>
  <si>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</si>
  <si>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</si>
  <si>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</si>
  <si>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</si>
  <si>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</si>
  <si>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</si>
  <si>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</si>
  <si>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</si>
  <si>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</si>
  <si>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</si>
  <si>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</si>
  <si>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</si>
  <si>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</si>
  <si>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</si>
  <si>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Las mujeres Q’eqchi’ del Valle del Polochic lideran la implementación basada en evidencia, la documentación y la adopción de los estándares sociales, económicos, jurídicos y políticos establecidos por la sentencia de reparación de Sepur Zarco, en Lote Ocho, Panzós y Sepur Zarco.</t>
  </si>
  <si>
    <t>Desarrollados y aplicados los estándares y metodologías para medir y documentar los efectos inmediatos y transformadores de la implementación de la Sentencia de Sepur Zarco, las lecciones aprendidas y las buenas prácticas</t>
  </si>
  <si>
    <t>ONU Mujeres</t>
  </si>
  <si>
    <t>OACNUDH</t>
  </si>
  <si>
    <t>FAO</t>
  </si>
  <si>
    <t xml:space="preserve">Desarrollar procesos para la elaboración de  indicadores y herramientas basados en los derechos humanos de las mujeres que permitan medir y documentar el cumplimiento de la Sentencia de Sepur Zarco </t>
  </si>
  <si>
    <t>Acompañamiento técnico especializado a organizaciones de mujeres sobrevivientes y representantes de organizaciones de mujeres para la elaboración de estándares y metodologías  de leccions aprendidas y buenas prácticas en el marco de la implementación de la sentencia de Sepur Zarco</t>
  </si>
  <si>
    <t>Generación de los primeros encuentros entre las organizaciones de víctimas para brindar asistencia técnia estratégica en el proceso de implementación de las medidas de reparación</t>
  </si>
  <si>
    <t>Mecanismos basados en los derechos humanos de las mujeres para resolver las controversias y registros comunitarios sobre la tenencia de la tierra adoptados en Sepur Zarco, Lote Ocho y Panzós.</t>
  </si>
  <si>
    <t xml:space="preserve">Realizar un ejercicio colectivo/participativo para el análisis de la problemática de la tenencia y uso de la tierra para el reconocimiento de los derechos a la tierra de las mujeres desde su visión transformadora. </t>
  </si>
  <si>
    <t xml:space="preserve"> Desarrollar formaciones, capacitaciones e intercambios de experiencia para conocer prácticas aceptables de gobernanza responsable de la tenencia de la tierra. (prácticas que garantizan los derechos de la tierra de las mujeres, marcos comunitarios que protegen a las mujeres, reconocimiento de sistemas y derechos de tenencia comunales, acceso a las mujeres a los mecanismos de solución de controversias, la consulta libre previa e informada)</t>
  </si>
  <si>
    <t>Realizar consensos comunitarios para establecer el mecanismo de solución de controversias comunitarias derivadas de la tenencia de la tierra, que incluya la dimensión de género y garantizar la igualdad del derecho de mujeres y hombres.</t>
  </si>
  <si>
    <t>Establecer un registro comunitario de la tenencia de la tierra de las comunidades de Sepur Zarco y Lote Ocho, que contenga prácticas de salvaguarda y protección de derechos de las mujeres de Sepur Zarco y que fomente los derechos equitativos de tenencia y acceso a la tierra de mujeres y jóvenes de la comunidad.</t>
  </si>
  <si>
    <t>Facilitar diálogos comunitarios para elaborar y aprobar la normativa comunitaria para el uso y la administración de la tierra y los recursos naturales, contemplando las presiones de inversiones y priorizando el uso de la tierra para asegurar la seguridad alimentaria.</t>
  </si>
  <si>
    <t>Establecidas las redes entre las mujeres Q’eqchi’ de Sepur Zarco, Lote ocho, y Panzós, mujeres constructoras de paz, organizaciones defensoras de los derechos humanos de las mujeres, y las instancias estatales pertinentes para promover medidas de no-repetición y reparación basadas en los derechos humanos de las mujeres y para avanzar en el cumplimiento de los (28) compromisos de los Acuerdos de Paz relativos a las mujeres.</t>
  </si>
  <si>
    <t>Acompañamiento técnico especializado e  intercambios de experiencia multinivel entre  mujeres Q’eqchi’ de Sepur Zarco, Lote Ocho, y Panzós, defensoras de derechos humanos,  instacias estatales pertinentes, incluyendo MIMPAZ, CNAP y Foro Nacional de la Mujer, e instancias supranacionales para la articulación de una red de incidencia sobre acceso a justicia, reparación transformadora, medidas de no-repetición y mecanismos de protección..</t>
  </si>
  <si>
    <t>Acompañamiento técnico especializado para  desarrollo y documentación  del dialogo interactivo con instituciones estatales y para el establecimiento de un sistema comunitario de alerta temprana y protección contra la violencia sexual en situaciones de conflicto y postconflicto liderado por las mujeres Q’eqchi’ de Sepur Zarco, Lote Ocho y Panzós.</t>
  </si>
  <si>
    <t xml:space="preserve"> Desarrollo de espacios de formación y elaboración de materiales sobre el sistema comunitario de alerta temprana y de protección contra la violencia sexual en situaciones de conflicto en contra de las mujeres Q’eqchi’ del valle del Polochic y postconflicto.</t>
  </si>
  <si>
    <t>Recuperados y percibidos como un activo los conocimientos ancestrales de las mujeres para la resolución pacífica de conflictos, la administración de justicia y la gestión de asuntos comunitarios basados en los derechos de las mujeres; la gobernanza de la tenencia y uso de la tierra, territorios ancestrales y los recursos naturales; la medicina ancestral; la cultura alimentaria; el manejo de cultivos; y la seguridad alimentaria en las Comunidades de Sepur Zarco, Lote Ocho y Panzós.</t>
  </si>
  <si>
    <t>Desarrollar procesos de formación para la recuperación de los  conocimientos ancestrales de las mujeres en las Comunidades de Sepur Zarco, Lote Ocho y Panzós.</t>
  </si>
  <si>
    <t>Diseñar y elaborar materiales mediados para el desarrollo de procesos de recuperación y  aprendizaje de  los conocimientos ancestrales de las mujeres en la medicina ancestral; la cultura alimentaria; el manejo de cultivos; y la seguridad alimentaria en las Comunidades de Sepur Zarco, Lote Ocho y Panzós.</t>
  </si>
  <si>
    <t>Acompañamiento técnico especializado en el desarrollo de  la inciativa de eduación ancestral  basada en los conocimientos y derechos de las mujeres</t>
  </si>
  <si>
    <t>Desarrollada una propuesta de un modelo interinstitucional de reparación transformadora, basado en los derechos humanos de las mujeres, para casos de violencia sexual y otras formas de violencia contra las mujeres en situaciones de conflicto y postconflicto.</t>
  </si>
  <si>
    <t>Establecidos e implementados los mecanismos basados en evidencia y en los derechos humanos de las mujeres para el monitoreo y evaluación de la implementación de las medidas de reparación para mujeres sobrevivientes de violencia sexual relacionada con el conflicto y el postconflicto.</t>
  </si>
  <si>
    <t>Acompañamiento técnico especializado en el monitoreo, registro y documentación de los efectos de inmediatos y transformadores de la implementación de la sentencia de reparación de Sepur Zarco.</t>
  </si>
  <si>
    <t>Construcción de una propuesta de modelo interinstitucional para la reparacion transformadora de la violencia sexual y otras formas de violencia contra las mujeres en situaciones de conflicto y postconflicto y acompañamiento a los casos de Sepur Zarco, Lote Ocho y Panzos</t>
  </si>
  <si>
    <t>Identificación de necesidades y generación de mecanismos de coordinación para brindar asistencia técnica al Ministerio Público para la construcción de un protocloo  interno sobre el derecho a la reparación</t>
  </si>
  <si>
    <t>Elaborados estudios sobre la igualdad de derechos de las mujeres a la tenencia, gestión y uso de la tierra en Sepur Zarco, Lote Ocho y Panzós, incluyendo el diagnóstico sobre la titularidad, y la ruta de la certeza jurídica.</t>
  </si>
  <si>
    <t xml:space="preserve">Realizar diagnóstico de los sistemas de tenencia de tierra de las comunidades (indígenas y ancestrales), la forma o formas de tenencia de la tierra y los mecanismos de asignación de tierras a las mujeres. </t>
  </si>
  <si>
    <t>Elaborar o consolidar ruta para establecer el  acceso y certeza jurídica de la tierra de las mujeres de Sepur Zarco, Panzós y Lote Ocho, considerando los principios de las DVGT.</t>
  </si>
  <si>
    <t>Establecer proceso de diálogo para alcanzar acuerdos mínimos aceptables para asegurar el  acceso y certeza jurídica de las mujeres.</t>
  </si>
  <si>
    <t>Diseñadas e implementadas en Sepur Zarco, Panzós y Lote Ocho, las acciones basadas en los derechos humanos de las mujeres para el cumplimiento de las 18 medidas de reparación, incluyendo sus derechos igualitarios a la tenencia, uso y manejo de la tierra y los territorios.</t>
  </si>
  <si>
    <t>Acompañamiento especializado a la Mesa Interistitucional dirigida por el Minsiterio Público para la implementación de las medidas de reparación de la Sentencia de Sepur Zarco</t>
  </si>
  <si>
    <t xml:space="preserve">Establecer proceso de diálogo y seguimiento de las medidas para la implementación de la sentencia de reparación de Sepur Zarco que incluyendo la igualdad de derechos de las mujeres a la tenencia, uso y gestión de las tierras y territorios. </t>
  </si>
  <si>
    <t xml:space="preserve">Desarrollo de encuentros entre las mujeres y la institucionliadad  para la generación de mecanismos de seguimiento y evaluación de la aplicación de la sentencia de reparación.  </t>
  </si>
  <si>
    <t>Los estándares basados en los derechos humanos de las mujeres establecidos por la implementación de las acciones para la aplicación de las 18 medidas de reparación, incluyendo sus derechos igualitarios a la tenencia, uso y manejo de las tierras y territorios, son adoptados y aplicados en Sepur Zarco, Panzós y Lote Ocho.</t>
  </si>
  <si>
    <t xml:space="preserve">Planes de ordenamiento territorial comunitario basados en los derechos humanos de las mujeres para la tenencia, uso y manejo de la tierra y los recursos naturales son diseñados e implementados con la participación de las mujeres </t>
  </si>
  <si>
    <t xml:space="preserve">Desarrollar formaciones, capacitaciones y diálogos con un enfoque inclusivo sobre el uso responsable de la tierra y los recursos naturales.  </t>
  </si>
  <si>
    <t xml:space="preserve">Realizar participativamente el plan de ordenamiento comunitario (zonificaciones internas), utilizando los principios de las DVGT y el instrumento de Open Tenure. </t>
  </si>
  <si>
    <t xml:space="preserve">Planes de gestión social y seguridad alimentaria comunitaria basados en los derechos de las mujeres son desarrollados e implementados con la participación de las mujeres </t>
  </si>
  <si>
    <t>Desarrollar procesos de formación para el incremento de las capacidades de las mujeres Q’eqchi’ que participan en la elaboración, monitoreo y implementación de los planes sociales y de seguridad alimentaria</t>
  </si>
  <si>
    <t>Facilitar los procesos de incorporación y participción de las mujeres al diseño de los planes sociales y de seguridad alimentaria, ligados a la gestión de la tenencia de la tierra.</t>
  </si>
  <si>
    <t>Acompañar la implementación de acciones del plan de ordenamiento territorial para asegurar la seguridad alimentaria.</t>
  </si>
  <si>
    <t>Facilitar la documentación de buenas prácticas y de espacios de intercambio entre las mujeres Q’eqchi’ que participan en la elaboración, monitoreo y implementación de los planes sociales y de seguridad alimentaria</t>
  </si>
  <si>
    <t>Desarrolladas las propuestas de normas y directrices basadas en los derechos de las mujeres para la incorporación de las medidas de reparación y no repetición de la violencia sexual y otras formas de violencia contra las mujeres en situaciones de conflicto y postconflicto, en línea con la Agenda sobre las Mujeres, la Paz y la Seguridad y los Objetivos de Desarrollo Sostenible (ODS) 5 y 16 </t>
  </si>
  <si>
    <t xml:space="preserve">Acompañamiento especializado  para el desarrollo de estándares y directrices basadas en los derechos de las mujeres para la reparación y la no-repetición de la violencia sexual y otras formas de violencia contra las mujeres  en situaciones de conflicto y postconflicto </t>
  </si>
  <si>
    <t>Procesos de formación e intercambios para la elaboración y negociación de planes comunitarios y propuestas de inversión basadas en los estándares de derechos de las mujeres relativas a las medidas de no-repetición y de reparación transformadora de la violencia sexual y otras formas de violencia contra las mujeres en en conflicto y el postconflicto</t>
  </si>
  <si>
    <t xml:space="preserve">Inicio en el fortalecimiento de capacidades  dentro de las comunidades de los estándares internaciones en materia de derecho a la reparación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</si>
</sst>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409]* #,##0.00_ ;_-[$$-409]* \-#,##0.00\ ;_-[$$-409]* &quot;-&quot;??_ ;_-@_ "/>
    <numFmt numFmtId="167" formatCode="_([$$-409]* #,##0.00_);_([$$-409]* \(#,##0.00\);_([$$-409]* &quot;-&quot;??_);_(@_)"/>
    <numFmt numFmtId="168" formatCode="#,##0.000_ ;\-#,##0.000\ "/>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Times New Roman"/>
      <family val="1"/>
    </font>
    <font>
      <sz val="11"/>
      <name val="Calibri Light"/>
      <family val="2"/>
    </font>
    <font>
      <sz val="11"/>
      <name val="Calibri"/>
      <family val="2"/>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346">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9" fontId="3" fillId="2" borderId="14" xfId="2"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2" borderId="13" xfId="1" applyFont="1" applyFill="1" applyBorder="1" applyAlignment="1">
      <alignment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4" fontId="3" fillId="2" borderId="3" xfId="0" applyNumberFormat="1" applyFont="1" applyFill="1" applyBorder="1" applyAlignment="1">
      <alignment horizontal="center"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16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16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164" fontId="7" fillId="2" borderId="8" xfId="1" applyFont="1" applyFill="1" applyBorder="1" applyAlignment="1" applyProtection="1">
      <alignment wrapText="1"/>
    </xf>
    <xf numFmtId="164" fontId="7" fillId="2" borderId="54" xfId="1" applyFont="1" applyFill="1" applyBorder="1" applyAlignment="1" applyProtection="1">
      <alignment wrapText="1"/>
    </xf>
    <xf numFmtId="164" fontId="3" fillId="2" borderId="55"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7" fillId="2" borderId="3" xfId="1" applyFont="1" applyFill="1" applyBorder="1" applyAlignment="1" applyProtection="1">
      <alignment horizontal="center"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0" fontId="23" fillId="0" borderId="3" xfId="0" applyFont="1" applyBorder="1" applyAlignment="1" applyProtection="1">
      <alignment vertical="center" wrapText="1"/>
      <protection locked="0"/>
    </xf>
    <xf numFmtId="166" fontId="24" fillId="9" borderId="39" xfId="0" applyNumberFormat="1" applyFont="1" applyFill="1" applyBorder="1" applyAlignment="1" applyProtection="1">
      <alignment vertical="center"/>
      <protection locked="0"/>
    </xf>
    <xf numFmtId="166" fontId="24" fillId="9" borderId="3" xfId="0" applyNumberFormat="1" applyFont="1" applyFill="1" applyBorder="1" applyAlignment="1" applyProtection="1">
      <alignment vertical="center"/>
      <protection locked="0"/>
    </xf>
    <xf numFmtId="166" fontId="23" fillId="0" borderId="3" xfId="0" applyNumberFormat="1" applyFont="1" applyBorder="1" applyAlignment="1" applyProtection="1">
      <alignment vertical="center" wrapText="1"/>
      <protection locked="0"/>
    </xf>
    <xf numFmtId="166" fontId="24" fillId="10" borderId="3" xfId="0" applyNumberFormat="1" applyFont="1" applyFill="1" applyBorder="1" applyAlignment="1" applyProtection="1">
      <alignment vertical="center"/>
      <protection locked="0"/>
    </xf>
    <xf numFmtId="0" fontId="23" fillId="3" borderId="3" xfId="0" applyFont="1" applyFill="1" applyBorder="1" applyAlignment="1" applyProtection="1">
      <alignment vertical="center" wrapText="1"/>
      <protection locked="0"/>
    </xf>
    <xf numFmtId="0" fontId="23" fillId="0" borderId="3" xfId="0" applyFont="1" applyBorder="1" applyAlignment="1" applyProtection="1">
      <alignment horizontal="left" vertical="center" wrapText="1"/>
      <protection locked="0"/>
    </xf>
    <xf numFmtId="166" fontId="23" fillId="0" borderId="39" xfId="0" applyNumberFormat="1" applyFont="1" applyBorder="1" applyAlignment="1" applyProtection="1">
      <alignment vertical="center" wrapText="1"/>
      <protection locked="0"/>
    </xf>
    <xf numFmtId="167" fontId="25" fillId="0" borderId="3" xfId="0" applyNumberFormat="1" applyFont="1" applyBorder="1" applyProtection="1">
      <protection locked="0"/>
    </xf>
    <xf numFmtId="164" fontId="2" fillId="0" borderId="3" xfId="0" applyNumberFormat="1" applyFont="1" applyBorder="1" applyAlignment="1" applyProtection="1">
      <alignment wrapText="1"/>
      <protection locked="0"/>
    </xf>
    <xf numFmtId="167" fontId="25" fillId="0" borderId="3" xfId="0" applyNumberFormat="1" applyFont="1" applyBorder="1" applyAlignment="1" applyProtection="1">
      <alignment vertical="center"/>
      <protection locked="0"/>
    </xf>
    <xf numFmtId="165" fontId="2" fillId="0" borderId="3" xfId="3" applyFont="1" applyBorder="1" applyProtection="1">
      <protection locked="0"/>
    </xf>
    <xf numFmtId="165" fontId="26" fillId="0" borderId="3" xfId="3" applyFont="1" applyBorder="1" applyProtection="1">
      <protection locked="0"/>
    </xf>
    <xf numFmtId="164" fontId="7" fillId="3" borderId="0" xfId="0" applyNumberFormat="1" applyFont="1" applyFill="1" applyBorder="1" applyAlignment="1" applyProtection="1">
      <alignment vertical="center" wrapText="1"/>
      <protection locked="0"/>
    </xf>
    <xf numFmtId="164" fontId="3" fillId="3" borderId="0" xfId="0" applyNumberFormat="1" applyFont="1" applyFill="1" applyBorder="1" applyAlignment="1" applyProtection="1">
      <alignment vertical="center" wrapText="1"/>
      <protection locked="0"/>
    </xf>
    <xf numFmtId="168" fontId="7" fillId="0" borderId="0" xfId="0" applyNumberFormat="1" applyFont="1" applyFill="1" applyBorder="1" applyAlignment="1" applyProtection="1">
      <alignment vertical="center" wrapText="1"/>
      <protection locked="0"/>
    </xf>
    <xf numFmtId="164" fontId="1" fillId="0" borderId="3" xfId="1" applyFont="1" applyFill="1" applyBorder="1" applyAlignment="1" applyProtection="1">
      <alignment horizontal="center" vertical="center" wrapText="1"/>
      <protection locked="0"/>
    </xf>
    <xf numFmtId="164" fontId="7" fillId="0" borderId="3" xfId="1" applyFont="1" applyFill="1" applyBorder="1" applyAlignment="1" applyProtection="1">
      <alignment horizontal="center" vertical="center" wrapText="1"/>
      <protection locked="0"/>
    </xf>
    <xf numFmtId="166" fontId="23" fillId="0" borderId="3" xfId="0" applyNumberFormat="1" applyFont="1" applyFill="1" applyBorder="1" applyAlignment="1" applyProtection="1">
      <alignment vertical="center" wrapText="1"/>
      <protection locked="0"/>
    </xf>
    <xf numFmtId="164" fontId="7" fillId="0" borderId="3" xfId="1" applyNumberFormat="1" applyFont="1" applyFill="1" applyBorder="1" applyAlignment="1" applyProtection="1">
      <alignment horizontal="center" vertical="center" wrapText="1"/>
      <protection locked="0"/>
    </xf>
    <xf numFmtId="164" fontId="7" fillId="0" borderId="3" xfId="1" applyNumberFormat="1" applyFont="1" applyFill="1" applyBorder="1" applyAlignment="1" applyProtection="1">
      <alignment horizontal="center" vertical="center" wrapText="1"/>
    </xf>
    <xf numFmtId="9" fontId="7" fillId="0" borderId="3" xfId="2" applyFont="1" applyFill="1" applyBorder="1" applyAlignment="1" applyProtection="1">
      <alignment horizontal="center" vertical="center" wrapText="1"/>
      <protection locked="0"/>
    </xf>
    <xf numFmtId="49" fontId="7" fillId="0" borderId="3" xfId="1" applyNumberFormat="1" applyFont="1" applyFill="1" applyBorder="1" applyAlignment="1" applyProtection="1">
      <alignment horizontal="left" wrapText="1"/>
      <protection locked="0"/>
    </xf>
    <xf numFmtId="0" fontId="23" fillId="0" borderId="3" xfId="0" applyFont="1" applyFill="1" applyBorder="1" applyAlignment="1" applyProtection="1">
      <alignment vertical="center" wrapText="1"/>
      <protection locked="0"/>
    </xf>
    <xf numFmtId="166" fontId="24" fillId="0" borderId="3" xfId="0" applyNumberFormat="1" applyFont="1" applyFill="1" applyBorder="1" applyAlignment="1" applyProtection="1">
      <alignment vertical="center"/>
      <protection locked="0"/>
    </xf>
    <xf numFmtId="164" fontId="7" fillId="0" borderId="3" xfId="1" applyFont="1" applyFill="1" applyBorder="1" applyAlignment="1" applyProtection="1">
      <alignment vertical="center" wrapText="1"/>
      <protection locked="0"/>
    </xf>
    <xf numFmtId="0" fontId="0" fillId="0" borderId="0" xfId="0" applyFont="1" applyFill="1" applyBorder="1" applyAlignment="1" applyProtection="1">
      <alignment wrapText="1"/>
      <protection locked="0"/>
    </xf>
    <xf numFmtId="0" fontId="23" fillId="3" borderId="3" xfId="0" applyFont="1" applyFill="1" applyBorder="1" applyAlignment="1" applyProtection="1">
      <alignment vertical="top" wrapText="1"/>
      <protection locked="0"/>
    </xf>
    <xf numFmtId="164" fontId="26" fillId="3" borderId="3" xfId="1" applyFont="1" applyFill="1" applyBorder="1" applyAlignment="1" applyProtection="1">
      <alignment horizontal="center" vertical="center" wrapText="1"/>
      <protection locked="0"/>
    </xf>
    <xf numFmtId="164" fontId="7" fillId="7" borderId="3" xfId="1" applyNumberFormat="1" applyFont="1" applyFill="1" applyBorder="1" applyAlignment="1" applyProtection="1">
      <alignment horizontal="center" vertical="center" wrapText="1"/>
    </xf>
    <xf numFmtId="164" fontId="1" fillId="0" borderId="0" xfId="1" applyFont="1" applyFill="1" applyBorder="1" applyAlignment="1" applyProtection="1">
      <alignment vertical="center" wrapText="1"/>
      <protection locked="0"/>
    </xf>
    <xf numFmtId="0" fontId="3" fillId="2" borderId="3" xfId="0" applyFont="1" applyFill="1" applyBorder="1" applyAlignment="1" applyProtection="1">
      <alignment horizontal="left" vertical="center" wrapText="1"/>
    </xf>
    <xf numFmtId="164" fontId="3" fillId="0" borderId="0" xfId="1" applyFont="1" applyFill="1" applyBorder="1" applyAlignment="1" applyProtection="1">
      <alignment horizontal="left" vertical="center" wrapText="1"/>
    </xf>
    <xf numFmtId="0" fontId="0" fillId="0" borderId="0" xfId="0" applyFont="1" applyBorder="1" applyAlignment="1">
      <alignment horizontal="left" vertical="center" wrapText="1"/>
    </xf>
    <xf numFmtId="0" fontId="2" fillId="3" borderId="3"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164" fontId="7"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9" xfId="0" applyNumberFormat="1" applyFont="1" applyFill="1" applyBorder="1" applyAlignment="1">
      <alignment horizontal="center"/>
    </xf>
    <xf numFmtId="164" fontId="4" fillId="2" borderId="50" xfId="0" applyNumberFormat="1" applyFont="1" applyFill="1" applyBorder="1" applyAlignment="1">
      <alignment horizontal="center"/>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28"/>
  <sheetViews>
    <sheetView showGridLines="0" showZeros="0" topLeftCell="A194" zoomScale="50" zoomScaleNormal="50" zoomScaleSheetLayoutView="70" workbookViewId="0">
      <selection activeCell="H195" sqref="H195"/>
    </sheetView>
  </sheetViews>
  <sheetFormatPr defaultColWidth="9.140625" defaultRowHeight="15" x14ac:dyDescent="0.25"/>
  <cols>
    <col min="1" max="1" width="9.140625" style="45"/>
    <col min="2" max="2" width="30.7109375" style="45" customWidth="1"/>
    <col min="3" max="3" width="46.5703125" style="45" customWidth="1"/>
    <col min="4" max="4" width="23.5703125" style="45" bestFit="1" customWidth="1"/>
    <col min="5" max="5" width="22" style="45" customWidth="1"/>
    <col min="6" max="7" width="23.140625" style="45" customWidth="1"/>
    <col min="8" max="8" width="22.42578125" style="45" customWidth="1"/>
    <col min="9" max="9" width="22.42578125" style="196" customWidth="1"/>
    <col min="10" max="10" width="30.28515625" style="45" customWidth="1"/>
    <col min="11" max="11" width="18.7109375" style="45" hidden="1"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66" t="s">
        <v>546</v>
      </c>
      <c r="C2" s="266"/>
      <c r="D2" s="266"/>
      <c r="E2" s="266"/>
      <c r="F2" s="43"/>
      <c r="G2" s="43"/>
      <c r="H2" s="44"/>
      <c r="I2" s="195"/>
      <c r="J2" s="44"/>
    </row>
    <row r="3" spans="2:11" ht="16.5" thickBot="1" x14ac:dyDescent="0.3">
      <c r="B3" s="48"/>
    </row>
    <row r="4" spans="2:11" ht="36.75" customHeight="1" x14ac:dyDescent="0.55000000000000004">
      <c r="B4" s="136" t="s">
        <v>15</v>
      </c>
      <c r="C4" s="137"/>
      <c r="D4" s="137"/>
      <c r="E4" s="137"/>
      <c r="F4" s="137"/>
      <c r="G4" s="137"/>
      <c r="H4" s="138"/>
      <c r="I4" s="197"/>
      <c r="J4" s="139"/>
    </row>
    <row r="5" spans="2:11" ht="175.5" customHeight="1" thickBot="1" x14ac:dyDescent="0.4">
      <c r="B5" s="261" t="s">
        <v>569</v>
      </c>
      <c r="C5" s="262"/>
      <c r="D5" s="262"/>
      <c r="E5" s="262"/>
      <c r="F5" s="262"/>
      <c r="G5" s="262"/>
      <c r="H5" s="262"/>
      <c r="I5" s="263"/>
      <c r="J5" s="264"/>
    </row>
    <row r="6" spans="2:11" x14ac:dyDescent="0.25">
      <c r="B6" s="49"/>
    </row>
    <row r="7" spans="2:11" ht="15.75" thickBot="1" x14ac:dyDescent="0.3"/>
    <row r="8" spans="2:11" ht="27" customHeight="1" thickBot="1" x14ac:dyDescent="0.45">
      <c r="B8" s="267" t="s">
        <v>177</v>
      </c>
      <c r="C8" s="268"/>
      <c r="D8" s="268"/>
      <c r="E8" s="268"/>
      <c r="F8" s="268"/>
      <c r="G8" s="268"/>
      <c r="H8" s="269"/>
      <c r="I8" s="210"/>
    </row>
    <row r="9" spans="2:11" ht="25.5" customHeight="1" x14ac:dyDescent="0.25">
      <c r="D9" s="50"/>
      <c r="E9" s="50"/>
      <c r="F9" s="50"/>
      <c r="G9" s="50"/>
      <c r="H9" s="47"/>
      <c r="I9" s="198"/>
      <c r="J9" s="46"/>
      <c r="K9" s="46"/>
    </row>
    <row r="10" spans="2:11" ht="99.75" customHeight="1" x14ac:dyDescent="0.25">
      <c r="B10" s="57" t="s">
        <v>563</v>
      </c>
      <c r="C10" s="57" t="s">
        <v>564</v>
      </c>
      <c r="D10" s="57" t="s">
        <v>565</v>
      </c>
      <c r="E10" s="57" t="s">
        <v>566</v>
      </c>
      <c r="F10" s="57" t="s">
        <v>567</v>
      </c>
      <c r="G10" s="120" t="s">
        <v>65</v>
      </c>
      <c r="H10" s="57" t="s">
        <v>568</v>
      </c>
      <c r="I10" s="211" t="s">
        <v>573</v>
      </c>
      <c r="J10" s="57" t="s">
        <v>20</v>
      </c>
      <c r="K10" s="56"/>
    </row>
    <row r="11" spans="2:11" ht="18.75" customHeight="1" x14ac:dyDescent="0.25">
      <c r="B11" s="57"/>
      <c r="C11" s="57"/>
      <c r="D11" s="89" t="s">
        <v>581</v>
      </c>
      <c r="E11" s="89" t="s">
        <v>582</v>
      </c>
      <c r="F11" s="89" t="s">
        <v>583</v>
      </c>
      <c r="G11" s="120"/>
      <c r="H11" s="57"/>
      <c r="I11" s="199"/>
      <c r="J11" s="57"/>
      <c r="K11" s="56"/>
    </row>
    <row r="12" spans="2:11" ht="39.75" customHeight="1" x14ac:dyDescent="0.25">
      <c r="B12" s="117" t="s">
        <v>0</v>
      </c>
      <c r="C12" s="260" t="s">
        <v>579</v>
      </c>
      <c r="D12" s="260"/>
      <c r="E12" s="260"/>
      <c r="F12" s="260"/>
      <c r="G12" s="260"/>
      <c r="H12" s="260"/>
      <c r="I12" s="259"/>
      <c r="J12" s="260"/>
      <c r="K12" s="20"/>
    </row>
    <row r="13" spans="2:11" ht="36" customHeight="1" x14ac:dyDescent="0.25">
      <c r="B13" s="117" t="s">
        <v>1</v>
      </c>
      <c r="C13" s="270" t="s">
        <v>580</v>
      </c>
      <c r="D13" s="271"/>
      <c r="E13" s="271"/>
      <c r="F13" s="271"/>
      <c r="G13" s="271"/>
      <c r="H13" s="271"/>
      <c r="I13" s="257"/>
      <c r="J13" s="271"/>
      <c r="K13" s="59"/>
    </row>
    <row r="14" spans="2:11" ht="78.75" x14ac:dyDescent="0.25">
      <c r="B14" s="174" t="s">
        <v>2</v>
      </c>
      <c r="C14" s="217" t="s">
        <v>584</v>
      </c>
      <c r="D14" s="21">
        <v>18828</v>
      </c>
      <c r="E14" s="21"/>
      <c r="F14" s="21"/>
      <c r="G14" s="154">
        <f>SUM(D14:F14)</f>
        <v>18828</v>
      </c>
      <c r="H14" s="151">
        <v>1</v>
      </c>
      <c r="I14" s="201">
        <f>13122.16+4627.29</f>
        <v>17749.45</v>
      </c>
      <c r="J14" s="134"/>
      <c r="K14" s="60"/>
    </row>
    <row r="15" spans="2:11" ht="110.25" x14ac:dyDescent="0.25">
      <c r="B15" s="174" t="s">
        <v>3</v>
      </c>
      <c r="C15" s="218" t="s">
        <v>585</v>
      </c>
      <c r="D15" s="219">
        <v>38874.1</v>
      </c>
      <c r="E15" s="21"/>
      <c r="F15" s="21"/>
      <c r="G15" s="154">
        <f t="shared" ref="G15:G21" si="0">SUM(D15:F15)</f>
        <v>38874.1</v>
      </c>
      <c r="H15" s="151">
        <v>1</v>
      </c>
      <c r="I15" s="201">
        <f>6466.03+31657.0208</f>
        <v>38123.050799999997</v>
      </c>
      <c r="J15" s="134"/>
      <c r="K15" s="60"/>
    </row>
    <row r="16" spans="2:11" ht="63" x14ac:dyDescent="0.25">
      <c r="B16" s="174" t="s">
        <v>4</v>
      </c>
      <c r="C16" s="245" t="s">
        <v>586</v>
      </c>
      <c r="D16" s="22"/>
      <c r="E16" s="220">
        <v>64581</v>
      </c>
      <c r="F16" s="22"/>
      <c r="G16" s="154">
        <f t="shared" si="0"/>
        <v>64581</v>
      </c>
      <c r="H16" s="152">
        <v>1</v>
      </c>
      <c r="I16" s="246">
        <f>25145.38+1633.39</f>
        <v>26778.77</v>
      </c>
      <c r="J16" s="135"/>
      <c r="K16" s="60"/>
    </row>
    <row r="17" spans="1:11" ht="15.75" hidden="1" x14ac:dyDescent="0.25">
      <c r="B17" s="174" t="s">
        <v>34</v>
      </c>
      <c r="C17" s="19"/>
      <c r="D17" s="21"/>
      <c r="E17" s="21"/>
      <c r="F17" s="21"/>
      <c r="G17" s="154">
        <f t="shared" si="0"/>
        <v>0</v>
      </c>
      <c r="H17" s="151"/>
      <c r="I17" s="200"/>
      <c r="J17" s="134"/>
      <c r="K17" s="60"/>
    </row>
    <row r="18" spans="1:11" ht="15.75" hidden="1" x14ac:dyDescent="0.25">
      <c r="B18" s="174" t="s">
        <v>35</v>
      </c>
      <c r="C18" s="19"/>
      <c r="D18" s="21"/>
      <c r="E18" s="21"/>
      <c r="F18" s="21"/>
      <c r="G18" s="154">
        <f t="shared" si="0"/>
        <v>0</v>
      </c>
      <c r="H18" s="151"/>
      <c r="I18" s="200"/>
      <c r="J18" s="134"/>
      <c r="K18" s="60"/>
    </row>
    <row r="19" spans="1:11" ht="15.75" hidden="1" x14ac:dyDescent="0.25">
      <c r="B19" s="174" t="s">
        <v>36</v>
      </c>
      <c r="C19" s="19"/>
      <c r="D19" s="21"/>
      <c r="E19" s="21"/>
      <c r="F19" s="21"/>
      <c r="G19" s="154">
        <f t="shared" si="0"/>
        <v>0</v>
      </c>
      <c r="H19" s="151"/>
      <c r="I19" s="200"/>
      <c r="J19" s="134"/>
      <c r="K19" s="60"/>
    </row>
    <row r="20" spans="1:11" ht="15.75" hidden="1" x14ac:dyDescent="0.25">
      <c r="B20" s="174" t="s">
        <v>37</v>
      </c>
      <c r="C20" s="55"/>
      <c r="D20" s="22"/>
      <c r="E20" s="22"/>
      <c r="F20" s="22"/>
      <c r="G20" s="154">
        <f t="shared" si="0"/>
        <v>0</v>
      </c>
      <c r="H20" s="152"/>
      <c r="I20" s="201"/>
      <c r="J20" s="135"/>
      <c r="K20" s="60"/>
    </row>
    <row r="21" spans="1:11" ht="15.75" hidden="1" x14ac:dyDescent="0.25">
      <c r="A21" s="46"/>
      <c r="B21" s="174" t="s">
        <v>38</v>
      </c>
      <c r="C21" s="55"/>
      <c r="D21" s="22"/>
      <c r="E21" s="22"/>
      <c r="F21" s="22"/>
      <c r="G21" s="154">
        <f t="shared" si="0"/>
        <v>0</v>
      </c>
      <c r="H21" s="152"/>
      <c r="I21" s="201"/>
      <c r="J21" s="135"/>
      <c r="K21" s="47"/>
    </row>
    <row r="22" spans="1:11" ht="30.75" customHeight="1" x14ac:dyDescent="0.25">
      <c r="A22" s="46"/>
      <c r="C22" s="117" t="s">
        <v>176</v>
      </c>
      <c r="D22" s="23">
        <f>SUM(D14:D21)</f>
        <v>57702.1</v>
      </c>
      <c r="E22" s="23">
        <f>SUM(E14:E21)</f>
        <v>64581</v>
      </c>
      <c r="F22" s="23">
        <f>SUM(F14:F21)</f>
        <v>0</v>
      </c>
      <c r="G22" s="23">
        <f>SUM(G14:G21)</f>
        <v>122283.1</v>
      </c>
      <c r="H22" s="140">
        <f>(H14*G14)+(H15*G15)+(H16*G16)+(H17*G17)+(H18*G18)+(H19*G19)+(H20*G20)+(H21*G21)</f>
        <v>122283.1</v>
      </c>
      <c r="I22" s="140">
        <f>SUM(I14:I21)</f>
        <v>82651.270799999998</v>
      </c>
      <c r="J22" s="135"/>
      <c r="K22" s="62"/>
    </row>
    <row r="23" spans="1:11" ht="51" customHeight="1" x14ac:dyDescent="0.25">
      <c r="A23" s="46"/>
      <c r="B23" s="117" t="s">
        <v>5</v>
      </c>
      <c r="C23" s="252" t="s">
        <v>587</v>
      </c>
      <c r="D23" s="253"/>
      <c r="E23" s="253"/>
      <c r="F23" s="253"/>
      <c r="G23" s="253"/>
      <c r="H23" s="253"/>
      <c r="I23" s="254"/>
      <c r="J23" s="253"/>
      <c r="K23" s="59"/>
    </row>
    <row r="24" spans="1:11" ht="78.75" x14ac:dyDescent="0.25">
      <c r="A24" s="46"/>
      <c r="B24" s="174" t="s">
        <v>45</v>
      </c>
      <c r="C24" s="218" t="s">
        <v>588</v>
      </c>
      <c r="D24" s="21"/>
      <c r="E24" s="21"/>
      <c r="F24" s="221">
        <v>16289.72</v>
      </c>
      <c r="G24" s="154">
        <f>SUM(D24:F24)</f>
        <v>16289.72</v>
      </c>
      <c r="H24" s="151">
        <v>1</v>
      </c>
      <c r="I24" s="234">
        <v>16289.72</v>
      </c>
      <c r="J24" s="134"/>
      <c r="K24" s="60"/>
    </row>
    <row r="25" spans="1:11" ht="157.5" x14ac:dyDescent="0.25">
      <c r="A25" s="46"/>
      <c r="B25" s="174" t="s">
        <v>46</v>
      </c>
      <c r="C25" s="218" t="s">
        <v>589</v>
      </c>
      <c r="D25" s="21"/>
      <c r="E25" s="21"/>
      <c r="F25" s="221">
        <v>16989.72</v>
      </c>
      <c r="G25" s="154">
        <f t="shared" ref="G25:G31" si="1">SUM(D25:F25)</f>
        <v>16989.72</v>
      </c>
      <c r="H25" s="151">
        <v>1</v>
      </c>
      <c r="I25" s="234">
        <v>16989.72</v>
      </c>
      <c r="J25" s="134"/>
      <c r="K25" s="60"/>
    </row>
    <row r="26" spans="1:11" ht="78.75" x14ac:dyDescent="0.25">
      <c r="A26" s="46"/>
      <c r="B26" s="174" t="s">
        <v>39</v>
      </c>
      <c r="C26" s="218" t="s">
        <v>590</v>
      </c>
      <c r="D26" s="21"/>
      <c r="E26" s="21"/>
      <c r="F26" s="221">
        <v>12516.13</v>
      </c>
      <c r="G26" s="154">
        <f t="shared" si="1"/>
        <v>12516.13</v>
      </c>
      <c r="H26" s="151">
        <v>1</v>
      </c>
      <c r="I26" s="234">
        <v>5361.53</v>
      </c>
      <c r="J26" s="134"/>
      <c r="K26" s="60"/>
    </row>
    <row r="27" spans="1:11" ht="110.25" x14ac:dyDescent="0.25">
      <c r="A27" s="46"/>
      <c r="B27" s="174" t="s">
        <v>40</v>
      </c>
      <c r="C27" s="218" t="s">
        <v>591</v>
      </c>
      <c r="D27" s="21"/>
      <c r="E27" s="21"/>
      <c r="F27" s="221">
        <v>29039.72</v>
      </c>
      <c r="G27" s="154">
        <f t="shared" si="1"/>
        <v>29039.72</v>
      </c>
      <c r="H27" s="151">
        <v>1</v>
      </c>
      <c r="I27" s="234">
        <v>29039.72</v>
      </c>
      <c r="J27" s="134"/>
      <c r="K27" s="60"/>
    </row>
    <row r="28" spans="1:11" ht="94.5" x14ac:dyDescent="0.25">
      <c r="A28" s="46"/>
      <c r="B28" s="174" t="s">
        <v>41</v>
      </c>
      <c r="C28" s="218" t="s">
        <v>592</v>
      </c>
      <c r="D28" s="21"/>
      <c r="E28" s="21"/>
      <c r="F28" s="221">
        <v>16289.72</v>
      </c>
      <c r="G28" s="154">
        <f t="shared" si="1"/>
        <v>16289.72</v>
      </c>
      <c r="H28" s="151">
        <v>1</v>
      </c>
      <c r="I28" s="234">
        <v>16289.72</v>
      </c>
      <c r="J28" s="134"/>
      <c r="K28" s="60"/>
    </row>
    <row r="29" spans="1:11" ht="15.75" hidden="1" x14ac:dyDescent="0.25">
      <c r="A29" s="46"/>
      <c r="B29" s="174" t="s">
        <v>42</v>
      </c>
      <c r="C29" s="19"/>
      <c r="D29" s="21"/>
      <c r="E29" s="21"/>
      <c r="F29" s="21"/>
      <c r="G29" s="154">
        <f t="shared" si="1"/>
        <v>0</v>
      </c>
      <c r="H29" s="151"/>
      <c r="I29" s="200"/>
      <c r="J29" s="134"/>
      <c r="K29" s="60"/>
    </row>
    <row r="30" spans="1:11" ht="15.75" hidden="1" x14ac:dyDescent="0.25">
      <c r="A30" s="46"/>
      <c r="B30" s="174" t="s">
        <v>43</v>
      </c>
      <c r="C30" s="55"/>
      <c r="D30" s="22"/>
      <c r="E30" s="22"/>
      <c r="F30" s="22"/>
      <c r="G30" s="154">
        <f t="shared" si="1"/>
        <v>0</v>
      </c>
      <c r="H30" s="152"/>
      <c r="I30" s="201"/>
      <c r="J30" s="135"/>
      <c r="K30" s="60"/>
    </row>
    <row r="31" spans="1:11" ht="15.75" hidden="1" x14ac:dyDescent="0.25">
      <c r="A31" s="46"/>
      <c r="B31" s="174" t="s">
        <v>44</v>
      </c>
      <c r="C31" s="55"/>
      <c r="D31" s="22"/>
      <c r="E31" s="22"/>
      <c r="F31" s="22"/>
      <c r="G31" s="154">
        <f t="shared" si="1"/>
        <v>0</v>
      </c>
      <c r="H31" s="152"/>
      <c r="I31" s="201"/>
      <c r="J31" s="135"/>
      <c r="K31" s="60"/>
    </row>
    <row r="32" spans="1:11" ht="15.75" x14ac:dyDescent="0.25">
      <c r="A32" s="46"/>
      <c r="C32" s="117" t="s">
        <v>176</v>
      </c>
      <c r="D32" s="26">
        <f>SUM(D24:D31)</f>
        <v>0</v>
      </c>
      <c r="E32" s="26">
        <f>SUM(E24:E31)</f>
        <v>0</v>
      </c>
      <c r="F32" s="26">
        <f>SUM(F24:F31)</f>
        <v>91125.010000000009</v>
      </c>
      <c r="G32" s="26">
        <f>SUM(G24:G31)</f>
        <v>91125.010000000009</v>
      </c>
      <c r="H32" s="140">
        <f>(H24*G24)+(H25*G25)+(H26*G26)+(H27*G27)+(H28*G28)+(H29*G29)+(H30*G30)+(H31*G31)</f>
        <v>91125.010000000009</v>
      </c>
      <c r="I32" s="140">
        <f>SUM(I24:I31)</f>
        <v>83970.41</v>
      </c>
      <c r="J32" s="135"/>
      <c r="K32" s="62"/>
    </row>
    <row r="33" spans="1:11" ht="51" customHeight="1" x14ac:dyDescent="0.25">
      <c r="A33" s="46"/>
      <c r="B33" s="117" t="s">
        <v>6</v>
      </c>
      <c r="C33" s="252" t="s">
        <v>593</v>
      </c>
      <c r="D33" s="253"/>
      <c r="E33" s="253"/>
      <c r="F33" s="253"/>
      <c r="G33" s="253"/>
      <c r="H33" s="253"/>
      <c r="I33" s="254"/>
      <c r="J33" s="253"/>
      <c r="K33" s="59"/>
    </row>
    <row r="34" spans="1:11" ht="157.5" x14ac:dyDescent="0.25">
      <c r="A34" s="46"/>
      <c r="B34" s="174" t="s">
        <v>47</v>
      </c>
      <c r="C34" s="218" t="s">
        <v>594</v>
      </c>
      <c r="D34" s="220">
        <v>45000</v>
      </c>
      <c r="E34" s="21"/>
      <c r="F34" s="21"/>
      <c r="G34" s="154">
        <f>SUM(D34:F34)</f>
        <v>45000</v>
      </c>
      <c r="H34" s="151">
        <v>1</v>
      </c>
      <c r="I34" s="235">
        <f>49509.33</f>
        <v>49509.33</v>
      </c>
      <c r="J34" s="134"/>
      <c r="K34" s="60"/>
    </row>
    <row r="35" spans="1:11" ht="126" x14ac:dyDescent="0.25">
      <c r="A35" s="46"/>
      <c r="B35" s="174" t="s">
        <v>48</v>
      </c>
      <c r="C35" s="218" t="s">
        <v>595</v>
      </c>
      <c r="D35" s="220">
        <v>25000</v>
      </c>
      <c r="E35" s="21"/>
      <c r="F35" s="21"/>
      <c r="G35" s="154">
        <f t="shared" ref="G35:G41" si="2">SUM(D35:F35)</f>
        <v>25000</v>
      </c>
      <c r="H35" s="151">
        <v>1</v>
      </c>
      <c r="I35" s="235">
        <f>15030.29+7587.02083</f>
        <v>22617.310830000002</v>
      </c>
      <c r="J35" s="134"/>
      <c r="K35" s="60"/>
    </row>
    <row r="36" spans="1:11" ht="78.75" x14ac:dyDescent="0.25">
      <c r="A36" s="46"/>
      <c r="B36" s="174" t="s">
        <v>49</v>
      </c>
      <c r="C36" s="218" t="s">
        <v>596</v>
      </c>
      <c r="D36" s="220">
        <v>14000</v>
      </c>
      <c r="E36" s="21"/>
      <c r="F36" s="21"/>
      <c r="G36" s="154">
        <f t="shared" si="2"/>
        <v>14000</v>
      </c>
      <c r="H36" s="151">
        <v>1</v>
      </c>
      <c r="I36" s="235">
        <f>912.98+988.41+7087.02083</f>
        <v>8988.4108300000007</v>
      </c>
      <c r="J36" s="134"/>
      <c r="K36" s="60"/>
    </row>
    <row r="37" spans="1:11" ht="15.75" hidden="1" x14ac:dyDescent="0.25">
      <c r="A37" s="46"/>
      <c r="B37" s="174" t="s">
        <v>50</v>
      </c>
      <c r="C37" s="19"/>
      <c r="D37" s="21"/>
      <c r="E37" s="21"/>
      <c r="F37" s="21"/>
      <c r="G37" s="154">
        <f t="shared" si="2"/>
        <v>0</v>
      </c>
      <c r="H37" s="151"/>
      <c r="I37" s="200"/>
      <c r="J37" s="134"/>
      <c r="K37" s="60"/>
    </row>
    <row r="38" spans="1:11" s="46" customFormat="1" ht="15.75" hidden="1" x14ac:dyDescent="0.25">
      <c r="B38" s="174" t="s">
        <v>51</v>
      </c>
      <c r="C38" s="19"/>
      <c r="D38" s="21"/>
      <c r="E38" s="21"/>
      <c r="F38" s="21"/>
      <c r="G38" s="154">
        <f t="shared" si="2"/>
        <v>0</v>
      </c>
      <c r="H38" s="151"/>
      <c r="I38" s="200"/>
      <c r="J38" s="134"/>
      <c r="K38" s="60"/>
    </row>
    <row r="39" spans="1:11" s="46" customFormat="1" ht="15.75" hidden="1" x14ac:dyDescent="0.25">
      <c r="B39" s="174" t="s">
        <v>52</v>
      </c>
      <c r="C39" s="19"/>
      <c r="D39" s="21"/>
      <c r="E39" s="21"/>
      <c r="F39" s="21"/>
      <c r="G39" s="154">
        <f t="shared" si="2"/>
        <v>0</v>
      </c>
      <c r="H39" s="151"/>
      <c r="I39" s="200"/>
      <c r="J39" s="134"/>
      <c r="K39" s="60"/>
    </row>
    <row r="40" spans="1:11" s="46" customFormat="1" ht="15.75" hidden="1" x14ac:dyDescent="0.25">
      <c r="A40" s="45"/>
      <c r="B40" s="174" t="s">
        <v>53</v>
      </c>
      <c r="C40" s="55"/>
      <c r="D40" s="22"/>
      <c r="E40" s="22"/>
      <c r="F40" s="22"/>
      <c r="G40" s="154">
        <f t="shared" si="2"/>
        <v>0</v>
      </c>
      <c r="H40" s="152"/>
      <c r="I40" s="201"/>
      <c r="J40" s="135"/>
      <c r="K40" s="60"/>
    </row>
    <row r="41" spans="1:11" ht="15.75" hidden="1" x14ac:dyDescent="0.25">
      <c r="B41" s="174" t="s">
        <v>54</v>
      </c>
      <c r="C41" s="55"/>
      <c r="D41" s="22"/>
      <c r="E41" s="22"/>
      <c r="F41" s="22"/>
      <c r="G41" s="154">
        <f t="shared" si="2"/>
        <v>0</v>
      </c>
      <c r="H41" s="152"/>
      <c r="I41" s="201"/>
      <c r="J41" s="135"/>
      <c r="K41" s="60"/>
    </row>
    <row r="42" spans="1:11" ht="15.75" x14ac:dyDescent="0.25">
      <c r="C42" s="117" t="s">
        <v>176</v>
      </c>
      <c r="D42" s="26">
        <f>SUM(D34:D41)</f>
        <v>84000</v>
      </c>
      <c r="E42" s="26">
        <f>SUM(E34:E41)</f>
        <v>0</v>
      </c>
      <c r="F42" s="26">
        <f>SUM(F34:F41)</f>
        <v>0</v>
      </c>
      <c r="G42" s="26">
        <f>SUM(G34:G41)</f>
        <v>84000</v>
      </c>
      <c r="H42" s="140">
        <f>(H34*G34)+(H35*G35)+(H36*G36)+(H37*G37)+(H38*G38)+(H39*G39)+(H40*G40)+(H41*G41)</f>
        <v>84000</v>
      </c>
      <c r="I42" s="140">
        <f>SUM(I34:I41)</f>
        <v>81115.051659999997</v>
      </c>
      <c r="J42" s="135"/>
      <c r="K42" s="62"/>
    </row>
    <row r="43" spans="1:11" ht="51" customHeight="1" x14ac:dyDescent="0.25">
      <c r="B43" s="117" t="s">
        <v>55</v>
      </c>
      <c r="C43" s="255" t="s">
        <v>597</v>
      </c>
      <c r="D43" s="256"/>
      <c r="E43" s="256"/>
      <c r="F43" s="256"/>
      <c r="G43" s="256"/>
      <c r="H43" s="256"/>
      <c r="I43" s="257"/>
      <c r="J43" s="256"/>
      <c r="K43" s="59"/>
    </row>
    <row r="44" spans="1:11" ht="63" x14ac:dyDescent="0.25">
      <c r="B44" s="174" t="s">
        <v>56</v>
      </c>
      <c r="C44" s="218" t="s">
        <v>598</v>
      </c>
      <c r="D44" s="222">
        <v>83505.2</v>
      </c>
      <c r="E44" s="21"/>
      <c r="F44" s="21"/>
      <c r="G44" s="154">
        <f>SUM(D44:F44)</f>
        <v>83505.2</v>
      </c>
      <c r="H44" s="151">
        <v>1</v>
      </c>
      <c r="I44" s="235">
        <f>35953.28+10479.43+21252.6+19087.0208-3267.13</f>
        <v>83505.200799999991</v>
      </c>
      <c r="J44" s="134"/>
      <c r="K44" s="60"/>
    </row>
    <row r="45" spans="1:11" ht="110.25" x14ac:dyDescent="0.25">
      <c r="B45" s="174" t="s">
        <v>57</v>
      </c>
      <c r="C45" s="218" t="s">
        <v>599</v>
      </c>
      <c r="D45" s="222">
        <v>43068.5</v>
      </c>
      <c r="E45" s="21"/>
      <c r="F45" s="21"/>
      <c r="G45" s="154">
        <f t="shared" ref="G45:G51" si="3">SUM(D45:F45)</f>
        <v>43068.5</v>
      </c>
      <c r="H45" s="151">
        <v>1</v>
      </c>
      <c r="I45" s="235">
        <f>31211.79+19000+87.0208333-7230.31</f>
        <v>43068.500833300001</v>
      </c>
      <c r="J45" s="134"/>
      <c r="K45" s="60"/>
    </row>
    <row r="46" spans="1:11" ht="63" x14ac:dyDescent="0.25">
      <c r="B46" s="174" t="s">
        <v>58</v>
      </c>
      <c r="C46" s="218" t="s">
        <v>600</v>
      </c>
      <c r="D46" s="222">
        <v>64400</v>
      </c>
      <c r="E46" s="21"/>
      <c r="F46" s="21"/>
      <c r="G46" s="154">
        <f t="shared" si="3"/>
        <v>64400</v>
      </c>
      <c r="H46" s="151">
        <v>1</v>
      </c>
      <c r="I46" s="235">
        <f>18955.72+1000+9468.5+9443.40083+7230.31+3267.13</f>
        <v>49365.060829999995</v>
      </c>
      <c r="J46" s="134"/>
      <c r="K46" s="60"/>
    </row>
    <row r="47" spans="1:11" ht="15.75" hidden="1" x14ac:dyDescent="0.25">
      <c r="B47" s="174" t="s">
        <v>59</v>
      </c>
      <c r="C47" s="19"/>
      <c r="D47" s="21"/>
      <c r="E47" s="21"/>
      <c r="F47" s="21"/>
      <c r="G47" s="154">
        <f t="shared" si="3"/>
        <v>0</v>
      </c>
      <c r="H47" s="151"/>
      <c r="I47" s="200"/>
      <c r="J47" s="134"/>
      <c r="K47" s="60"/>
    </row>
    <row r="48" spans="1:11" ht="15.75" hidden="1" x14ac:dyDescent="0.25">
      <c r="B48" s="174" t="s">
        <v>60</v>
      </c>
      <c r="C48" s="19"/>
      <c r="D48" s="21"/>
      <c r="E48" s="21"/>
      <c r="F48" s="21"/>
      <c r="G48" s="154">
        <f t="shared" si="3"/>
        <v>0</v>
      </c>
      <c r="H48" s="151"/>
      <c r="I48" s="200"/>
      <c r="J48" s="134"/>
      <c r="K48" s="60"/>
    </row>
    <row r="49" spans="1:11" ht="15.75" hidden="1" x14ac:dyDescent="0.25">
      <c r="A49" s="46"/>
      <c r="B49" s="174" t="s">
        <v>61</v>
      </c>
      <c r="C49" s="19"/>
      <c r="D49" s="21"/>
      <c r="E49" s="21"/>
      <c r="F49" s="21"/>
      <c r="G49" s="154">
        <f t="shared" si="3"/>
        <v>0</v>
      </c>
      <c r="H49" s="151"/>
      <c r="I49" s="200"/>
      <c r="J49" s="134"/>
      <c r="K49" s="60"/>
    </row>
    <row r="50" spans="1:11" s="46" customFormat="1" ht="15.75" hidden="1" x14ac:dyDescent="0.25">
      <c r="A50" s="45"/>
      <c r="B50" s="174" t="s">
        <v>62</v>
      </c>
      <c r="C50" s="55"/>
      <c r="D50" s="22"/>
      <c r="E50" s="22"/>
      <c r="F50" s="22"/>
      <c r="G50" s="154">
        <f t="shared" si="3"/>
        <v>0</v>
      </c>
      <c r="H50" s="152"/>
      <c r="I50" s="201"/>
      <c r="J50" s="135"/>
      <c r="K50" s="60"/>
    </row>
    <row r="51" spans="1:11" ht="15.75" hidden="1" x14ac:dyDescent="0.25">
      <c r="B51" s="174" t="s">
        <v>63</v>
      </c>
      <c r="C51" s="55"/>
      <c r="D51" s="22"/>
      <c r="E51" s="22"/>
      <c r="F51" s="22"/>
      <c r="G51" s="154">
        <f t="shared" si="3"/>
        <v>0</v>
      </c>
      <c r="H51" s="152"/>
      <c r="I51" s="201"/>
      <c r="J51" s="135"/>
      <c r="K51" s="60"/>
    </row>
    <row r="52" spans="1:11" ht="15.75" x14ac:dyDescent="0.25">
      <c r="C52" s="117" t="s">
        <v>176</v>
      </c>
      <c r="D52" s="23">
        <f>SUM(D44:D51)</f>
        <v>190973.7</v>
      </c>
      <c r="E52" s="23">
        <f>SUM(E44:E51)</f>
        <v>0</v>
      </c>
      <c r="F52" s="23">
        <f>SUM(F44:F51)</f>
        <v>0</v>
      </c>
      <c r="G52" s="23">
        <f>SUM(G44:G51)</f>
        <v>190973.7</v>
      </c>
      <c r="H52" s="140">
        <f>(H44*G44)+(H45*G45)+(H46*G46)+(H47*G47)+(H48*G48)+(H49*G49)+(H50*G50)+(H51*G51)</f>
        <v>190973.7</v>
      </c>
      <c r="I52" s="140">
        <f>SUM(I44:I51)</f>
        <v>175938.76246329999</v>
      </c>
      <c r="J52" s="135"/>
      <c r="K52" s="62"/>
    </row>
    <row r="53" spans="1:11" ht="15.75" x14ac:dyDescent="0.25">
      <c r="B53" s="13"/>
      <c r="C53" s="14"/>
      <c r="D53" s="12"/>
      <c r="E53" s="12"/>
      <c r="F53" s="12"/>
      <c r="G53" s="12"/>
      <c r="H53" s="12"/>
      <c r="I53" s="12"/>
      <c r="J53" s="12"/>
      <c r="K53" s="61"/>
    </row>
    <row r="54" spans="1:11" ht="51" customHeight="1" x14ac:dyDescent="0.25">
      <c r="B54" s="117" t="s">
        <v>7</v>
      </c>
      <c r="C54" s="265" t="s">
        <v>601</v>
      </c>
      <c r="D54" s="265"/>
      <c r="E54" s="265"/>
      <c r="F54" s="265"/>
      <c r="G54" s="265"/>
      <c r="H54" s="265"/>
      <c r="I54" s="259"/>
      <c r="J54" s="265"/>
      <c r="K54" s="20"/>
    </row>
    <row r="55" spans="1:11" ht="51" customHeight="1" x14ac:dyDescent="0.25">
      <c r="B55" s="117" t="s">
        <v>67</v>
      </c>
      <c r="C55" s="255" t="s">
        <v>602</v>
      </c>
      <c r="D55" s="256"/>
      <c r="E55" s="256"/>
      <c r="F55" s="256"/>
      <c r="G55" s="256"/>
      <c r="H55" s="256"/>
      <c r="I55" s="257"/>
      <c r="J55" s="256"/>
      <c r="K55" s="59"/>
    </row>
    <row r="56" spans="1:11" ht="101.25" customHeight="1" x14ac:dyDescent="0.25">
      <c r="B56" s="174" t="s">
        <v>69</v>
      </c>
      <c r="C56" s="223" t="s">
        <v>603</v>
      </c>
      <c r="D56" s="220">
        <v>16000</v>
      </c>
      <c r="E56" s="21"/>
      <c r="F56" s="21"/>
      <c r="G56" s="154">
        <f>SUM(D56:F56)</f>
        <v>16000</v>
      </c>
      <c r="H56" s="151">
        <v>1</v>
      </c>
      <c r="I56" s="235">
        <v>5151.54</v>
      </c>
      <c r="J56" s="134"/>
      <c r="K56" s="60"/>
    </row>
    <row r="57" spans="1:11" ht="138.75" customHeight="1" x14ac:dyDescent="0.25">
      <c r="B57" s="174" t="s">
        <v>68</v>
      </c>
      <c r="C57" s="223" t="s">
        <v>604</v>
      </c>
      <c r="D57" s="219">
        <v>68408.210000000006</v>
      </c>
      <c r="E57" s="21"/>
      <c r="F57" s="21"/>
      <c r="G57" s="154">
        <f t="shared" ref="G57:G63" si="4">SUM(D57:F57)</f>
        <v>68408.210000000006</v>
      </c>
      <c r="H57" s="151">
        <v>1</v>
      </c>
      <c r="I57" s="235">
        <f>10845.17+30031.6+20049.5182</f>
        <v>60926.288199999995</v>
      </c>
      <c r="J57" s="134"/>
      <c r="K57" s="60"/>
    </row>
    <row r="58" spans="1:11" ht="135" customHeight="1" x14ac:dyDescent="0.25">
      <c r="B58" s="174" t="s">
        <v>70</v>
      </c>
      <c r="C58" s="241" t="s">
        <v>605</v>
      </c>
      <c r="D58" s="237"/>
      <c r="E58" s="242">
        <v>56701</v>
      </c>
      <c r="F58" s="242"/>
      <c r="G58" s="238">
        <f t="shared" si="4"/>
        <v>56701</v>
      </c>
      <c r="H58" s="239">
        <v>1</v>
      </c>
      <c r="I58" s="235">
        <v>41540.36</v>
      </c>
      <c r="J58" s="240"/>
      <c r="K58" s="60"/>
    </row>
    <row r="59" spans="1:11" ht="15.75" hidden="1" x14ac:dyDescent="0.25">
      <c r="B59" s="174" t="s">
        <v>71</v>
      </c>
      <c r="C59" s="19"/>
      <c r="D59" s="21"/>
      <c r="E59" s="21"/>
      <c r="F59" s="21"/>
      <c r="G59" s="154">
        <f t="shared" si="4"/>
        <v>0</v>
      </c>
      <c r="H59" s="151"/>
      <c r="I59" s="200"/>
      <c r="J59" s="134"/>
      <c r="K59" s="60"/>
    </row>
    <row r="60" spans="1:11" ht="15.75" hidden="1" x14ac:dyDescent="0.25">
      <c r="B60" s="174" t="s">
        <v>72</v>
      </c>
      <c r="C60" s="19"/>
      <c r="D60" s="21"/>
      <c r="E60" s="21"/>
      <c r="F60" s="21"/>
      <c r="G60" s="154">
        <f t="shared" si="4"/>
        <v>0</v>
      </c>
      <c r="H60" s="151"/>
      <c r="I60" s="200"/>
      <c r="J60" s="134"/>
      <c r="K60" s="60"/>
    </row>
    <row r="61" spans="1:11" ht="15.75" hidden="1" x14ac:dyDescent="0.25">
      <c r="B61" s="174" t="s">
        <v>73</v>
      </c>
      <c r="C61" s="19"/>
      <c r="D61" s="21"/>
      <c r="E61" s="21"/>
      <c r="F61" s="21"/>
      <c r="G61" s="154">
        <f t="shared" si="4"/>
        <v>0</v>
      </c>
      <c r="H61" s="151"/>
      <c r="I61" s="200"/>
      <c r="J61" s="134"/>
      <c r="K61" s="60"/>
    </row>
    <row r="62" spans="1:11" ht="15.75" hidden="1" x14ac:dyDescent="0.25">
      <c r="A62" s="46"/>
      <c r="B62" s="174" t="s">
        <v>74</v>
      </c>
      <c r="C62" s="55"/>
      <c r="D62" s="22"/>
      <c r="E62" s="22"/>
      <c r="F62" s="22"/>
      <c r="G62" s="154">
        <f t="shared" si="4"/>
        <v>0</v>
      </c>
      <c r="H62" s="152"/>
      <c r="I62" s="201"/>
      <c r="J62" s="135"/>
      <c r="K62" s="60"/>
    </row>
    <row r="63" spans="1:11" s="46" customFormat="1" ht="15.75" hidden="1" x14ac:dyDescent="0.25">
      <c r="B63" s="174" t="s">
        <v>75</v>
      </c>
      <c r="C63" s="55"/>
      <c r="D63" s="22"/>
      <c r="E63" s="22"/>
      <c r="F63" s="22"/>
      <c r="G63" s="154">
        <f t="shared" si="4"/>
        <v>0</v>
      </c>
      <c r="H63" s="152"/>
      <c r="I63" s="201"/>
      <c r="J63" s="135"/>
      <c r="K63" s="60"/>
    </row>
    <row r="64" spans="1:11" s="46" customFormat="1" ht="29.25" customHeight="1" x14ac:dyDescent="0.25">
      <c r="A64" s="45"/>
      <c r="B64" s="45"/>
      <c r="C64" s="117" t="s">
        <v>176</v>
      </c>
      <c r="D64" s="23">
        <f>SUM(D56:D63)</f>
        <v>84408.21</v>
      </c>
      <c r="E64" s="23">
        <f>SUM(E56:E63)</f>
        <v>56701</v>
      </c>
      <c r="F64" s="23">
        <f>SUM(F56:F63)</f>
        <v>0</v>
      </c>
      <c r="G64" s="26">
        <f>SUM(G56:G63)</f>
        <v>141109.21000000002</v>
      </c>
      <c r="H64" s="140">
        <f>(H56*G56)+(H57*G57)+(H58*G58)+(H59*G59)+(H60*G60)+(H61*G61)+(H62*G62)+(H63*G63)</f>
        <v>141109.21000000002</v>
      </c>
      <c r="I64" s="140">
        <f>SUM(I56:I63)</f>
        <v>107618.18819999999</v>
      </c>
      <c r="J64" s="135"/>
      <c r="K64" s="62"/>
    </row>
    <row r="65" spans="1:11" ht="45.75" customHeight="1" x14ac:dyDescent="0.25">
      <c r="B65" s="117" t="s">
        <v>76</v>
      </c>
      <c r="C65" s="255" t="s">
        <v>606</v>
      </c>
      <c r="D65" s="256"/>
      <c r="E65" s="256"/>
      <c r="F65" s="256"/>
      <c r="G65" s="256"/>
      <c r="H65" s="256"/>
      <c r="I65" s="257"/>
      <c r="J65" s="256"/>
      <c r="K65" s="59"/>
    </row>
    <row r="66" spans="1:11" ht="112.5" customHeight="1" x14ac:dyDescent="0.25">
      <c r="B66" s="174" t="s">
        <v>77</v>
      </c>
      <c r="C66" s="224" t="s">
        <v>607</v>
      </c>
      <c r="D66" s="21"/>
      <c r="E66" s="21"/>
      <c r="F66" s="220">
        <v>49197.34</v>
      </c>
      <c r="G66" s="154">
        <f>SUM(D66:F66)</f>
        <v>49197.34</v>
      </c>
      <c r="H66" s="151">
        <v>1</v>
      </c>
      <c r="I66" s="234">
        <v>40139.18</v>
      </c>
      <c r="J66" s="134"/>
      <c r="K66" s="60"/>
    </row>
    <row r="67" spans="1:11" ht="104.25" customHeight="1" x14ac:dyDescent="0.25">
      <c r="B67" s="174" t="s">
        <v>78</v>
      </c>
      <c r="C67" s="224" t="s">
        <v>608</v>
      </c>
      <c r="D67" s="21"/>
      <c r="E67" s="21"/>
      <c r="F67" s="220">
        <v>29286.34</v>
      </c>
      <c r="G67" s="154">
        <f t="shared" ref="G67:G73" si="5">SUM(D67:F67)</f>
        <v>29286.34</v>
      </c>
      <c r="H67" s="151">
        <v>1</v>
      </c>
      <c r="I67" s="234">
        <v>29286.34</v>
      </c>
      <c r="J67" s="134"/>
      <c r="K67" s="60"/>
    </row>
    <row r="68" spans="1:11" ht="91.5" customHeight="1" x14ac:dyDescent="0.25">
      <c r="B68" s="174" t="s">
        <v>79</v>
      </c>
      <c r="C68" s="218" t="s">
        <v>609</v>
      </c>
      <c r="D68" s="21"/>
      <c r="E68" s="21"/>
      <c r="F68" s="220">
        <v>29713.34</v>
      </c>
      <c r="G68" s="154">
        <f t="shared" si="5"/>
        <v>29713.34</v>
      </c>
      <c r="H68" s="151">
        <v>1</v>
      </c>
      <c r="I68" s="234">
        <v>29713.34</v>
      </c>
      <c r="J68" s="134"/>
      <c r="K68" s="60"/>
    </row>
    <row r="69" spans="1:11" ht="15.75" hidden="1" x14ac:dyDescent="0.25">
      <c r="B69" s="174" t="s">
        <v>80</v>
      </c>
      <c r="C69" s="19"/>
      <c r="D69" s="21"/>
      <c r="E69" s="21"/>
      <c r="F69" s="21"/>
      <c r="G69" s="154">
        <f t="shared" si="5"/>
        <v>0</v>
      </c>
      <c r="H69" s="151"/>
      <c r="I69" s="200"/>
      <c r="J69" s="134"/>
      <c r="K69" s="60"/>
    </row>
    <row r="70" spans="1:11" ht="15.75" hidden="1" x14ac:dyDescent="0.25">
      <c r="B70" s="174" t="s">
        <v>81</v>
      </c>
      <c r="C70" s="19"/>
      <c r="D70" s="21"/>
      <c r="E70" s="21"/>
      <c r="F70" s="21"/>
      <c r="G70" s="154">
        <f t="shared" si="5"/>
        <v>0</v>
      </c>
      <c r="H70" s="151"/>
      <c r="I70" s="200"/>
      <c r="J70" s="134"/>
      <c r="K70" s="60"/>
    </row>
    <row r="71" spans="1:11" ht="15.75" hidden="1" x14ac:dyDescent="0.25">
      <c r="B71" s="174" t="s">
        <v>82</v>
      </c>
      <c r="C71" s="19"/>
      <c r="D71" s="21"/>
      <c r="E71" s="21"/>
      <c r="F71" s="21"/>
      <c r="G71" s="154">
        <f t="shared" si="5"/>
        <v>0</v>
      </c>
      <c r="H71" s="151"/>
      <c r="I71" s="200"/>
      <c r="J71" s="134"/>
      <c r="K71" s="60"/>
    </row>
    <row r="72" spans="1:11" ht="15.75" hidden="1" x14ac:dyDescent="0.25">
      <c r="B72" s="174" t="s">
        <v>83</v>
      </c>
      <c r="C72" s="55"/>
      <c r="D72" s="22"/>
      <c r="E72" s="22"/>
      <c r="F72" s="22"/>
      <c r="G72" s="154">
        <f t="shared" si="5"/>
        <v>0</v>
      </c>
      <c r="H72" s="152"/>
      <c r="I72" s="201"/>
      <c r="J72" s="135"/>
      <c r="K72" s="60"/>
    </row>
    <row r="73" spans="1:11" ht="15.75" hidden="1" x14ac:dyDescent="0.25">
      <c r="B73" s="174" t="s">
        <v>84</v>
      </c>
      <c r="C73" s="55"/>
      <c r="D73" s="22"/>
      <c r="E73" s="22"/>
      <c r="F73" s="22"/>
      <c r="G73" s="154">
        <f t="shared" si="5"/>
        <v>0</v>
      </c>
      <c r="H73" s="152"/>
      <c r="I73" s="201"/>
      <c r="J73" s="135"/>
      <c r="K73" s="60"/>
    </row>
    <row r="74" spans="1:11" ht="36.75" customHeight="1" x14ac:dyDescent="0.25">
      <c r="C74" s="117" t="s">
        <v>176</v>
      </c>
      <c r="D74" s="26">
        <f>SUM(D66:D73)</f>
        <v>0</v>
      </c>
      <c r="E74" s="26">
        <f>SUM(E66:E73)</f>
        <v>0</v>
      </c>
      <c r="F74" s="26">
        <f>SUM(F66:F73)</f>
        <v>108197.01999999999</v>
      </c>
      <c r="G74" s="26">
        <f>SUM(G66:G73)</f>
        <v>108197.01999999999</v>
      </c>
      <c r="H74" s="140">
        <f>(H66*G66)+(H67*G67)+(H68*G68)+(H69*G69)+(H70*G70)+(H71*G71)+(H72*G72)+(H73*G73)</f>
        <v>108197.01999999999</v>
      </c>
      <c r="I74" s="207">
        <f>SUM(I66:I73)</f>
        <v>99138.86</v>
      </c>
      <c r="J74" s="135"/>
      <c r="K74" s="62"/>
    </row>
    <row r="75" spans="1:11" ht="42" customHeight="1" x14ac:dyDescent="0.25">
      <c r="B75" s="117" t="s">
        <v>85</v>
      </c>
      <c r="C75" s="255" t="s">
        <v>610</v>
      </c>
      <c r="D75" s="256"/>
      <c r="E75" s="256"/>
      <c r="F75" s="256"/>
      <c r="G75" s="256"/>
      <c r="H75" s="256"/>
      <c r="I75" s="257"/>
      <c r="J75" s="256"/>
      <c r="K75" s="59"/>
    </row>
    <row r="76" spans="1:11" ht="104.25" customHeight="1" x14ac:dyDescent="0.25">
      <c r="B76" s="174" t="s">
        <v>86</v>
      </c>
      <c r="C76" s="218" t="s">
        <v>611</v>
      </c>
      <c r="D76" s="221">
        <v>41380</v>
      </c>
      <c r="E76" s="21"/>
      <c r="F76" s="21"/>
      <c r="G76" s="154">
        <f>SUM(D76:F76)</f>
        <v>41380</v>
      </c>
      <c r="H76" s="151">
        <v>1</v>
      </c>
      <c r="I76" s="235">
        <f>12311.69+491.16+2031.8+10466.22+87.020833</f>
        <v>25387.890832999998</v>
      </c>
      <c r="J76" s="134"/>
      <c r="K76" s="60"/>
    </row>
    <row r="77" spans="1:11" ht="139.5" customHeight="1" x14ac:dyDescent="0.25">
      <c r="B77" s="174" t="s">
        <v>87</v>
      </c>
      <c r="C77" s="218" t="s">
        <v>612</v>
      </c>
      <c r="D77" s="225">
        <v>81000</v>
      </c>
      <c r="E77" s="21"/>
      <c r="F77" s="21"/>
      <c r="G77" s="154">
        <f t="shared" ref="G77:G83" si="6">SUM(D77:F77)</f>
        <v>81000</v>
      </c>
      <c r="H77" s="151">
        <v>1</v>
      </c>
      <c r="I77" s="235">
        <f>18598.11+2031.8+16931.8668+26871.1508+4307.69+0.8</f>
        <v>68741.417600000001</v>
      </c>
      <c r="J77" s="134"/>
      <c r="K77" s="60"/>
    </row>
    <row r="78" spans="1:11" ht="128.25" customHeight="1" x14ac:dyDescent="0.25">
      <c r="B78" s="174" t="s">
        <v>88</v>
      </c>
      <c r="C78" s="241" t="s">
        <v>613</v>
      </c>
      <c r="D78" s="237"/>
      <c r="E78" s="236">
        <v>103000</v>
      </c>
      <c r="F78" s="237"/>
      <c r="G78" s="154">
        <f t="shared" si="6"/>
        <v>103000</v>
      </c>
      <c r="H78" s="239">
        <v>1</v>
      </c>
      <c r="I78" s="235">
        <v>80000</v>
      </c>
      <c r="J78" s="240"/>
      <c r="K78" s="60"/>
    </row>
    <row r="79" spans="1:11" ht="15.75" hidden="1" x14ac:dyDescent="0.25">
      <c r="A79" s="46"/>
      <c r="B79" s="174" t="s">
        <v>89</v>
      </c>
      <c r="C79" s="19"/>
      <c r="D79" s="21"/>
      <c r="E79" s="21"/>
      <c r="F79" s="21"/>
      <c r="G79" s="154">
        <f t="shared" si="6"/>
        <v>0</v>
      </c>
      <c r="H79" s="151"/>
      <c r="I79" s="200"/>
      <c r="J79" s="134"/>
      <c r="K79" s="60"/>
    </row>
    <row r="80" spans="1:11" s="46" customFormat="1" ht="15.75" hidden="1" x14ac:dyDescent="0.25">
      <c r="A80" s="45"/>
      <c r="B80" s="174" t="s">
        <v>90</v>
      </c>
      <c r="C80" s="19"/>
      <c r="D80" s="21"/>
      <c r="E80" s="21"/>
      <c r="F80" s="21"/>
      <c r="G80" s="154">
        <f t="shared" si="6"/>
        <v>0</v>
      </c>
      <c r="H80" s="151"/>
      <c r="I80" s="200"/>
      <c r="J80" s="134"/>
      <c r="K80" s="60"/>
    </row>
    <row r="81" spans="2:11" ht="15.75" hidden="1" x14ac:dyDescent="0.25">
      <c r="B81" s="174" t="s">
        <v>91</v>
      </c>
      <c r="C81" s="19"/>
      <c r="D81" s="21"/>
      <c r="E81" s="21"/>
      <c r="F81" s="21"/>
      <c r="G81" s="154">
        <f t="shared" si="6"/>
        <v>0</v>
      </c>
      <c r="H81" s="151"/>
      <c r="I81" s="200"/>
      <c r="J81" s="134"/>
      <c r="K81" s="60"/>
    </row>
    <row r="82" spans="2:11" ht="15.75" hidden="1" x14ac:dyDescent="0.25">
      <c r="B82" s="174" t="s">
        <v>92</v>
      </c>
      <c r="C82" s="55"/>
      <c r="D82" s="22"/>
      <c r="E82" s="22"/>
      <c r="F82" s="22"/>
      <c r="G82" s="154">
        <f t="shared" si="6"/>
        <v>0</v>
      </c>
      <c r="H82" s="152"/>
      <c r="I82" s="201"/>
      <c r="J82" s="135"/>
      <c r="K82" s="60"/>
    </row>
    <row r="83" spans="2:11" ht="15.75" hidden="1" x14ac:dyDescent="0.25">
      <c r="B83" s="174" t="s">
        <v>93</v>
      </c>
      <c r="C83" s="55"/>
      <c r="D83" s="22"/>
      <c r="E83" s="22"/>
      <c r="F83" s="22"/>
      <c r="G83" s="154">
        <f t="shared" si="6"/>
        <v>0</v>
      </c>
      <c r="H83" s="152"/>
      <c r="I83" s="201"/>
      <c r="J83" s="135"/>
      <c r="K83" s="60"/>
    </row>
    <row r="84" spans="2:11" ht="40.5" customHeight="1" x14ac:dyDescent="0.25">
      <c r="C84" s="117" t="s">
        <v>176</v>
      </c>
      <c r="D84" s="26">
        <f>SUM(D76:D83)</f>
        <v>122380</v>
      </c>
      <c r="E84" s="26">
        <f>SUM(E76:E83)</f>
        <v>103000</v>
      </c>
      <c r="F84" s="26">
        <f>SUM(F76:F83)</f>
        <v>0</v>
      </c>
      <c r="G84" s="26">
        <f>SUM(G76:G83)</f>
        <v>225380</v>
      </c>
      <c r="H84" s="140">
        <f>(H76*G76)+(H77*G77)+(H78*G78)+(H79*G79)+(H80*G80)+(H81*G81)+(H82*G82)+(H83*G83)</f>
        <v>225380</v>
      </c>
      <c r="I84" s="207">
        <f>SUM(I76:I83)</f>
        <v>174129.308433</v>
      </c>
      <c r="J84" s="135"/>
      <c r="K84" s="62"/>
    </row>
    <row r="85" spans="2:11" ht="51" hidden="1" customHeight="1" x14ac:dyDescent="0.25">
      <c r="B85" s="117" t="s">
        <v>102</v>
      </c>
      <c r="C85" s="256"/>
      <c r="D85" s="256"/>
      <c r="E85" s="256"/>
      <c r="F85" s="256"/>
      <c r="G85" s="256"/>
      <c r="H85" s="256"/>
      <c r="I85" s="257"/>
      <c r="J85" s="256"/>
      <c r="K85" s="59"/>
    </row>
    <row r="86" spans="2:11" ht="15.75" hidden="1" x14ac:dyDescent="0.25">
      <c r="B86" s="174" t="s">
        <v>94</v>
      </c>
      <c r="C86" s="19"/>
      <c r="D86" s="21"/>
      <c r="E86" s="21"/>
      <c r="F86" s="21"/>
      <c r="G86" s="154">
        <f>SUM(D86:F86)</f>
        <v>0</v>
      </c>
      <c r="H86" s="151"/>
      <c r="I86" s="200"/>
      <c r="J86" s="134"/>
      <c r="K86" s="60"/>
    </row>
    <row r="87" spans="2:11" ht="15.75" hidden="1" x14ac:dyDescent="0.25">
      <c r="B87" s="174" t="s">
        <v>95</v>
      </c>
      <c r="C87" s="19"/>
      <c r="D87" s="21"/>
      <c r="E87" s="21"/>
      <c r="F87" s="21"/>
      <c r="G87" s="154">
        <f t="shared" ref="G87:G93" si="7">SUM(D87:F87)</f>
        <v>0</v>
      </c>
      <c r="H87" s="151"/>
      <c r="I87" s="200"/>
      <c r="J87" s="134"/>
      <c r="K87" s="60"/>
    </row>
    <row r="88" spans="2:11" ht="15.75" hidden="1" x14ac:dyDescent="0.25">
      <c r="B88" s="174" t="s">
        <v>96</v>
      </c>
      <c r="C88" s="19"/>
      <c r="D88" s="21"/>
      <c r="E88" s="21"/>
      <c r="F88" s="21"/>
      <c r="G88" s="154">
        <f t="shared" si="7"/>
        <v>0</v>
      </c>
      <c r="H88" s="151"/>
      <c r="I88" s="200"/>
      <c r="J88" s="134"/>
      <c r="K88" s="60"/>
    </row>
    <row r="89" spans="2:11" ht="15.75" hidden="1" x14ac:dyDescent="0.25">
      <c r="B89" s="174" t="s">
        <v>97</v>
      </c>
      <c r="C89" s="19"/>
      <c r="D89" s="21"/>
      <c r="E89" s="21"/>
      <c r="F89" s="21"/>
      <c r="G89" s="154">
        <f t="shared" si="7"/>
        <v>0</v>
      </c>
      <c r="H89" s="151"/>
      <c r="I89" s="200"/>
      <c r="J89" s="134"/>
      <c r="K89" s="60"/>
    </row>
    <row r="90" spans="2:11" ht="15.75" hidden="1" x14ac:dyDescent="0.25">
      <c r="B90" s="174" t="s">
        <v>98</v>
      </c>
      <c r="C90" s="19"/>
      <c r="D90" s="21"/>
      <c r="E90" s="21"/>
      <c r="F90" s="21"/>
      <c r="G90" s="154">
        <f t="shared" si="7"/>
        <v>0</v>
      </c>
      <c r="H90" s="151"/>
      <c r="I90" s="200"/>
      <c r="J90" s="134"/>
      <c r="K90" s="60"/>
    </row>
    <row r="91" spans="2:11" ht="15.75" hidden="1" x14ac:dyDescent="0.25">
      <c r="B91" s="174" t="s">
        <v>99</v>
      </c>
      <c r="C91" s="19"/>
      <c r="D91" s="21"/>
      <c r="E91" s="21"/>
      <c r="F91" s="21"/>
      <c r="G91" s="154">
        <f t="shared" si="7"/>
        <v>0</v>
      </c>
      <c r="H91" s="151"/>
      <c r="I91" s="200"/>
      <c r="J91" s="134"/>
      <c r="K91" s="60"/>
    </row>
    <row r="92" spans="2:11" ht="15.75" hidden="1" x14ac:dyDescent="0.25">
      <c r="B92" s="174" t="s">
        <v>100</v>
      </c>
      <c r="C92" s="55"/>
      <c r="D92" s="22"/>
      <c r="E92" s="22"/>
      <c r="F92" s="22"/>
      <c r="G92" s="154">
        <f t="shared" si="7"/>
        <v>0</v>
      </c>
      <c r="H92" s="152"/>
      <c r="I92" s="201"/>
      <c r="J92" s="135"/>
      <c r="K92" s="60"/>
    </row>
    <row r="93" spans="2:11" ht="15.75" hidden="1" x14ac:dyDescent="0.25">
      <c r="B93" s="174" t="s">
        <v>101</v>
      </c>
      <c r="C93" s="55"/>
      <c r="D93" s="22"/>
      <c r="E93" s="22"/>
      <c r="F93" s="22"/>
      <c r="G93" s="154">
        <f t="shared" si="7"/>
        <v>0</v>
      </c>
      <c r="H93" s="152"/>
      <c r="I93" s="201"/>
      <c r="J93" s="135"/>
      <c r="K93" s="60"/>
    </row>
    <row r="94" spans="2:11" ht="15.75" hidden="1" x14ac:dyDescent="0.25">
      <c r="C94" s="117" t="s">
        <v>176</v>
      </c>
      <c r="D94" s="23">
        <f>SUM(D86:D93)</f>
        <v>0</v>
      </c>
      <c r="E94" s="23">
        <f>SUM(E86:E93)</f>
        <v>0</v>
      </c>
      <c r="F94" s="23">
        <f>SUM(F86:F93)</f>
        <v>0</v>
      </c>
      <c r="G94" s="23">
        <f>SUM(G86:G93)</f>
        <v>0</v>
      </c>
      <c r="H94" s="140">
        <f>(H86*G86)+(H87*G87)+(H88*G88)+(H89*G89)+(H90*G90)+(H91*G91)+(H92*G92)+(H93*G93)</f>
        <v>0</v>
      </c>
      <c r="I94" s="207">
        <f>SUM(I86:I93)</f>
        <v>0</v>
      </c>
      <c r="J94" s="135"/>
      <c r="K94" s="62"/>
    </row>
    <row r="95" spans="2:11" ht="15.75" customHeight="1" x14ac:dyDescent="0.25">
      <c r="B95" s="7"/>
      <c r="C95" s="13"/>
      <c r="D95" s="28"/>
      <c r="E95" s="28"/>
      <c r="F95" s="28"/>
      <c r="G95" s="28"/>
      <c r="H95" s="28"/>
      <c r="I95" s="28"/>
      <c r="J95" s="13"/>
      <c r="K95" s="4"/>
    </row>
    <row r="96" spans="2:11" ht="51" customHeight="1" x14ac:dyDescent="0.25">
      <c r="B96" s="117" t="s">
        <v>103</v>
      </c>
      <c r="C96" s="258" t="s">
        <v>614</v>
      </c>
      <c r="D96" s="258"/>
      <c r="E96" s="258"/>
      <c r="F96" s="258"/>
      <c r="G96" s="258"/>
      <c r="H96" s="258"/>
      <c r="I96" s="259"/>
      <c r="J96" s="258"/>
      <c r="K96" s="20"/>
    </row>
    <row r="97" spans="2:11" ht="51" customHeight="1" x14ac:dyDescent="0.25">
      <c r="B97" s="117" t="s">
        <v>104</v>
      </c>
      <c r="C97" s="255" t="s">
        <v>615</v>
      </c>
      <c r="D97" s="256"/>
      <c r="E97" s="256"/>
      <c r="F97" s="256"/>
      <c r="G97" s="256"/>
      <c r="H97" s="256"/>
      <c r="I97" s="257"/>
      <c r="J97" s="256"/>
      <c r="K97" s="59"/>
    </row>
    <row r="98" spans="2:11" ht="90" customHeight="1" x14ac:dyDescent="0.25">
      <c r="B98" s="174" t="s">
        <v>105</v>
      </c>
      <c r="C98" s="218" t="s">
        <v>616</v>
      </c>
      <c r="D98" s="21"/>
      <c r="E98" s="21"/>
      <c r="F98" s="221">
        <v>61038.6</v>
      </c>
      <c r="G98" s="154">
        <f>SUM(D98:F98)</f>
        <v>61038.6</v>
      </c>
      <c r="H98" s="151">
        <v>1</v>
      </c>
      <c r="I98" s="234">
        <v>28352.12</v>
      </c>
      <c r="J98" s="134"/>
      <c r="K98" s="60"/>
    </row>
    <row r="99" spans="2:11" ht="111.75" customHeight="1" x14ac:dyDescent="0.25">
      <c r="B99" s="174" t="s">
        <v>106</v>
      </c>
      <c r="C99" s="218" t="s">
        <v>617</v>
      </c>
      <c r="D99" s="21"/>
      <c r="E99" s="21"/>
      <c r="F99" s="221">
        <v>87038.6</v>
      </c>
      <c r="G99" s="154">
        <f t="shared" ref="G99:G105" si="8">SUM(D99:F99)</f>
        <v>87038.6</v>
      </c>
      <c r="H99" s="151">
        <v>1</v>
      </c>
      <c r="I99" s="234">
        <v>28356.51</v>
      </c>
      <c r="J99" s="134"/>
      <c r="K99" s="60"/>
    </row>
    <row r="100" spans="2:11" ht="15.75" hidden="1" x14ac:dyDescent="0.25">
      <c r="B100" s="174" t="s">
        <v>107</v>
      </c>
      <c r="C100" s="19"/>
      <c r="D100" s="21"/>
      <c r="E100" s="21"/>
      <c r="F100" s="21"/>
      <c r="G100" s="154">
        <f t="shared" si="8"/>
        <v>0</v>
      </c>
      <c r="H100" s="151"/>
      <c r="I100" s="200"/>
      <c r="J100" s="134"/>
      <c r="K100" s="60"/>
    </row>
    <row r="101" spans="2:11" ht="15.75" hidden="1" x14ac:dyDescent="0.25">
      <c r="B101" s="174" t="s">
        <v>108</v>
      </c>
      <c r="C101" s="19"/>
      <c r="D101" s="21"/>
      <c r="E101" s="21"/>
      <c r="F101" s="21"/>
      <c r="G101" s="154">
        <f t="shared" si="8"/>
        <v>0</v>
      </c>
      <c r="H101" s="151"/>
      <c r="I101" s="200"/>
      <c r="J101" s="134"/>
      <c r="K101" s="60"/>
    </row>
    <row r="102" spans="2:11" ht="15.75" hidden="1" x14ac:dyDescent="0.25">
      <c r="B102" s="174" t="s">
        <v>109</v>
      </c>
      <c r="C102" s="19"/>
      <c r="D102" s="21"/>
      <c r="E102" s="21"/>
      <c r="F102" s="21"/>
      <c r="G102" s="154">
        <f t="shared" si="8"/>
        <v>0</v>
      </c>
      <c r="H102" s="151"/>
      <c r="I102" s="200"/>
      <c r="J102" s="134"/>
      <c r="K102" s="60"/>
    </row>
    <row r="103" spans="2:11" ht="15.75" hidden="1" x14ac:dyDescent="0.25">
      <c r="B103" s="174" t="s">
        <v>110</v>
      </c>
      <c r="C103" s="19"/>
      <c r="D103" s="21"/>
      <c r="E103" s="21"/>
      <c r="F103" s="21"/>
      <c r="G103" s="154">
        <f t="shared" si="8"/>
        <v>0</v>
      </c>
      <c r="H103" s="151"/>
      <c r="I103" s="200"/>
      <c r="J103" s="134"/>
      <c r="K103" s="60"/>
    </row>
    <row r="104" spans="2:11" ht="15.75" hidden="1" x14ac:dyDescent="0.25">
      <c r="B104" s="174" t="s">
        <v>111</v>
      </c>
      <c r="C104" s="55"/>
      <c r="D104" s="22"/>
      <c r="E104" s="22"/>
      <c r="F104" s="22"/>
      <c r="G104" s="154">
        <f t="shared" si="8"/>
        <v>0</v>
      </c>
      <c r="H104" s="152"/>
      <c r="I104" s="201"/>
      <c r="J104" s="135"/>
      <c r="K104" s="60"/>
    </row>
    <row r="105" spans="2:11" ht="15.75" hidden="1" x14ac:dyDescent="0.25">
      <c r="B105" s="174" t="s">
        <v>112</v>
      </c>
      <c r="C105" s="55"/>
      <c r="D105" s="22"/>
      <c r="E105" s="22"/>
      <c r="F105" s="22"/>
      <c r="G105" s="154">
        <f t="shared" si="8"/>
        <v>0</v>
      </c>
      <c r="H105" s="152"/>
      <c r="I105" s="201"/>
      <c r="J105" s="135"/>
      <c r="K105" s="60"/>
    </row>
    <row r="106" spans="2:11" ht="36.75" customHeight="1" x14ac:dyDescent="0.25">
      <c r="C106" s="117" t="s">
        <v>176</v>
      </c>
      <c r="D106" s="23">
        <f>SUM(D98:D105)</f>
        <v>0</v>
      </c>
      <c r="E106" s="23">
        <f>SUM(E98:E105)</f>
        <v>0</v>
      </c>
      <c r="F106" s="23">
        <f>SUM(F98:F105)</f>
        <v>148077.20000000001</v>
      </c>
      <c r="G106" s="26">
        <f>SUM(G98:G105)</f>
        <v>148077.20000000001</v>
      </c>
      <c r="H106" s="140">
        <f>(H98*G98)+(H99*G99)+(H100*G100)+(H101*G101)+(H102*G102)+(H103*G103)+(H104*G104)+(H105*G105)</f>
        <v>148077.20000000001</v>
      </c>
      <c r="I106" s="207">
        <f>SUM(I98:I105)</f>
        <v>56708.63</v>
      </c>
      <c r="J106" s="135"/>
      <c r="K106" s="62"/>
    </row>
    <row r="107" spans="2:11" s="251" customFormat="1" ht="40.5" customHeight="1" x14ac:dyDescent="0.25">
      <c r="B107" s="249" t="s">
        <v>8</v>
      </c>
      <c r="C107" s="252" t="s">
        <v>618</v>
      </c>
      <c r="D107" s="253"/>
      <c r="E107" s="253"/>
      <c r="F107" s="253"/>
      <c r="G107" s="253"/>
      <c r="H107" s="253"/>
      <c r="I107" s="254"/>
      <c r="J107" s="253"/>
      <c r="K107" s="250"/>
    </row>
    <row r="108" spans="2:11" ht="123.75" customHeight="1" x14ac:dyDescent="0.25">
      <c r="B108" s="174" t="s">
        <v>113</v>
      </c>
      <c r="C108" s="218" t="s">
        <v>619</v>
      </c>
      <c r="D108" s="221">
        <v>39027</v>
      </c>
      <c r="E108" s="21"/>
      <c r="F108" s="21"/>
      <c r="G108" s="154">
        <f>SUM(D108:F108)</f>
        <v>39027</v>
      </c>
      <c r="H108" s="151">
        <v>1</v>
      </c>
      <c r="I108" s="235">
        <f>9534.5+16015+1653.56</f>
        <v>27203.06</v>
      </c>
      <c r="J108" s="134"/>
      <c r="K108" s="60"/>
    </row>
    <row r="109" spans="2:11" ht="93.75" customHeight="1" x14ac:dyDescent="0.25">
      <c r="B109" s="174" t="s">
        <v>114</v>
      </c>
      <c r="C109" s="218" t="s">
        <v>620</v>
      </c>
      <c r="D109" s="225">
        <v>66100</v>
      </c>
      <c r="E109" s="21"/>
      <c r="F109" s="21"/>
      <c r="G109" s="154">
        <f t="shared" ref="G109:G115" si="9">SUM(D109:F109)</f>
        <v>66100</v>
      </c>
      <c r="H109" s="151">
        <v>1</v>
      </c>
      <c r="I109" s="235">
        <f>24113+19018+1653.56+8927</f>
        <v>53711.56</v>
      </c>
      <c r="J109" s="134"/>
      <c r="K109" s="60"/>
    </row>
    <row r="110" spans="2:11" ht="96.75" customHeight="1" x14ac:dyDescent="0.25">
      <c r="B110" s="174" t="s">
        <v>115</v>
      </c>
      <c r="C110" s="218" t="s">
        <v>621</v>
      </c>
      <c r="D110" s="221"/>
      <c r="E110" s="21"/>
      <c r="F110" s="221">
        <v>37874.199999999997</v>
      </c>
      <c r="G110" s="154">
        <f t="shared" si="9"/>
        <v>37874.199999999997</v>
      </c>
      <c r="H110" s="151">
        <v>1</v>
      </c>
      <c r="I110" s="234">
        <v>11556.33</v>
      </c>
      <c r="J110" s="134"/>
      <c r="K110" s="60"/>
    </row>
    <row r="111" spans="2:11" ht="123" customHeight="1" x14ac:dyDescent="0.25">
      <c r="B111" s="174" t="s">
        <v>116</v>
      </c>
      <c r="C111" s="218" t="s">
        <v>622</v>
      </c>
      <c r="D111" s="221">
        <v>15500</v>
      </c>
      <c r="E111" s="21"/>
      <c r="F111" s="21"/>
      <c r="G111" s="154">
        <f t="shared" si="9"/>
        <v>15500</v>
      </c>
      <c r="H111" s="151">
        <v>1</v>
      </c>
      <c r="I111" s="235">
        <v>6563.55</v>
      </c>
      <c r="J111" s="134"/>
      <c r="K111" s="60"/>
    </row>
    <row r="112" spans="2:11" ht="15.75" hidden="1" x14ac:dyDescent="0.25">
      <c r="B112" s="174" t="s">
        <v>117</v>
      </c>
      <c r="C112" s="19"/>
      <c r="D112" s="21"/>
      <c r="E112" s="21"/>
      <c r="F112" s="21"/>
      <c r="G112" s="154">
        <f t="shared" si="9"/>
        <v>0</v>
      </c>
      <c r="H112" s="151"/>
      <c r="I112" s="200"/>
      <c r="J112" s="134"/>
      <c r="K112" s="60"/>
    </row>
    <row r="113" spans="2:11" ht="15.75" hidden="1" x14ac:dyDescent="0.25">
      <c r="B113" s="174" t="s">
        <v>118</v>
      </c>
      <c r="C113" s="19"/>
      <c r="D113" s="21"/>
      <c r="E113" s="21"/>
      <c r="F113" s="21"/>
      <c r="G113" s="154">
        <f t="shared" si="9"/>
        <v>0</v>
      </c>
      <c r="H113" s="151"/>
      <c r="I113" s="200"/>
      <c r="J113" s="134"/>
      <c r="K113" s="60"/>
    </row>
    <row r="114" spans="2:11" ht="15.75" hidden="1" x14ac:dyDescent="0.25">
      <c r="B114" s="174" t="s">
        <v>119</v>
      </c>
      <c r="C114" s="55"/>
      <c r="D114" s="22"/>
      <c r="E114" s="22"/>
      <c r="F114" s="22"/>
      <c r="G114" s="154">
        <f t="shared" si="9"/>
        <v>0</v>
      </c>
      <c r="H114" s="152"/>
      <c r="I114" s="201"/>
      <c r="J114" s="135"/>
      <c r="K114" s="60"/>
    </row>
    <row r="115" spans="2:11" ht="15.75" hidden="1" x14ac:dyDescent="0.25">
      <c r="B115" s="174" t="s">
        <v>120</v>
      </c>
      <c r="C115" s="55"/>
      <c r="D115" s="22"/>
      <c r="E115" s="22"/>
      <c r="F115" s="22"/>
      <c r="G115" s="154">
        <f t="shared" si="9"/>
        <v>0</v>
      </c>
      <c r="H115" s="152"/>
      <c r="I115" s="201"/>
      <c r="J115" s="135"/>
      <c r="K115" s="60"/>
    </row>
    <row r="116" spans="2:11" ht="15.75" x14ac:dyDescent="0.25">
      <c r="C116" s="117" t="s">
        <v>176</v>
      </c>
      <c r="D116" s="26">
        <f>SUM(D108:D115)</f>
        <v>120627</v>
      </c>
      <c r="E116" s="26">
        <f>SUM(E108:E115)</f>
        <v>0</v>
      </c>
      <c r="F116" s="26">
        <f>SUM(F108:F115)</f>
        <v>37874.199999999997</v>
      </c>
      <c r="G116" s="26">
        <f>SUM(G108:G115)</f>
        <v>158501.20000000001</v>
      </c>
      <c r="H116" s="140">
        <f>(H108*G108)+(H109*G109)+(H110*G110)+(H111*G111)+(H112*G112)+(H113*G113)+(H114*G114)+(H115*G115)</f>
        <v>158501.20000000001</v>
      </c>
      <c r="I116" s="207">
        <f>SUM(I108:I115)</f>
        <v>99034.5</v>
      </c>
      <c r="J116" s="135"/>
      <c r="K116" s="62"/>
    </row>
    <row r="117" spans="2:11" ht="51" customHeight="1" x14ac:dyDescent="0.25">
      <c r="B117" s="117" t="s">
        <v>121</v>
      </c>
      <c r="C117" s="255" t="s">
        <v>623</v>
      </c>
      <c r="D117" s="256"/>
      <c r="E117" s="256"/>
      <c r="F117" s="256"/>
      <c r="G117" s="256"/>
      <c r="H117" s="256"/>
      <c r="I117" s="257"/>
      <c r="J117" s="256"/>
      <c r="K117" s="59"/>
    </row>
    <row r="118" spans="2:11" ht="133.5" customHeight="1" x14ac:dyDescent="0.25">
      <c r="B118" s="174" t="s">
        <v>122</v>
      </c>
      <c r="C118" s="218" t="s">
        <v>624</v>
      </c>
      <c r="D118" s="221">
        <v>23003.33</v>
      </c>
      <c r="E118" s="21"/>
      <c r="F118" s="21"/>
      <c r="G118" s="154">
        <f>SUM(D118:F118)</f>
        <v>23003.33</v>
      </c>
      <c r="H118" s="151">
        <v>1</v>
      </c>
      <c r="I118" s="235">
        <f>2615.09+6192.46</f>
        <v>8807.5499999999993</v>
      </c>
      <c r="J118" s="134"/>
      <c r="K118" s="60"/>
    </row>
    <row r="119" spans="2:11" ht="181.5" customHeight="1" x14ac:dyDescent="0.25">
      <c r="B119" s="174" t="s">
        <v>123</v>
      </c>
      <c r="C119" s="223" t="s">
        <v>625</v>
      </c>
      <c r="D119" s="221">
        <v>65000</v>
      </c>
      <c r="E119" s="21"/>
      <c r="F119" s="21"/>
      <c r="G119" s="154">
        <f t="shared" ref="G119:G125" si="10">SUM(D119:F119)</f>
        <v>65000</v>
      </c>
      <c r="H119" s="151">
        <v>1</v>
      </c>
      <c r="I119" s="235">
        <f>14626+6192.46</f>
        <v>20818.46</v>
      </c>
      <c r="J119" s="134"/>
      <c r="K119" s="60"/>
    </row>
    <row r="120" spans="2:11" ht="123.75" customHeight="1" x14ac:dyDescent="0.25">
      <c r="B120" s="174" t="s">
        <v>124</v>
      </c>
      <c r="C120" s="223" t="s">
        <v>626</v>
      </c>
      <c r="D120" s="237"/>
      <c r="E120" s="236">
        <v>4500.18</v>
      </c>
      <c r="F120" s="244"/>
      <c r="G120" s="247">
        <f>SUM(D120:E120)</f>
        <v>4500.18</v>
      </c>
      <c r="H120" s="239">
        <v>1</v>
      </c>
      <c r="I120" s="235"/>
      <c r="J120" s="240"/>
      <c r="K120" s="60"/>
    </row>
    <row r="121" spans="2:11" ht="15.75" hidden="1" x14ac:dyDescent="0.25">
      <c r="B121" s="174" t="s">
        <v>125</v>
      </c>
      <c r="C121" s="19"/>
      <c r="D121" s="21"/>
      <c r="E121" s="21"/>
      <c r="F121" s="21"/>
      <c r="G121" s="154">
        <f t="shared" si="10"/>
        <v>0</v>
      </c>
      <c r="H121" s="151"/>
      <c r="I121" s="200"/>
      <c r="J121" s="134"/>
      <c r="K121" s="60"/>
    </row>
    <row r="122" spans="2:11" ht="15.75" hidden="1" x14ac:dyDescent="0.25">
      <c r="B122" s="174" t="s">
        <v>126</v>
      </c>
      <c r="C122" s="19"/>
      <c r="D122" s="21"/>
      <c r="E122" s="21"/>
      <c r="F122" s="21"/>
      <c r="G122" s="154">
        <f t="shared" si="10"/>
        <v>0</v>
      </c>
      <c r="H122" s="151"/>
      <c r="I122" s="200"/>
      <c r="J122" s="134"/>
      <c r="K122" s="60"/>
    </row>
    <row r="123" spans="2:11" ht="15.75" hidden="1" x14ac:dyDescent="0.25">
      <c r="B123" s="174" t="s">
        <v>127</v>
      </c>
      <c r="C123" s="19"/>
      <c r="D123" s="21"/>
      <c r="E123" s="21"/>
      <c r="F123" s="21"/>
      <c r="G123" s="154">
        <f t="shared" si="10"/>
        <v>0</v>
      </c>
      <c r="H123" s="151"/>
      <c r="I123" s="200"/>
      <c r="J123" s="134"/>
      <c r="K123" s="60"/>
    </row>
    <row r="124" spans="2:11" ht="15.75" hidden="1" x14ac:dyDescent="0.25">
      <c r="B124" s="174" t="s">
        <v>128</v>
      </c>
      <c r="C124" s="55"/>
      <c r="D124" s="22"/>
      <c r="E124" s="22"/>
      <c r="F124" s="22"/>
      <c r="G124" s="154">
        <f t="shared" si="10"/>
        <v>0</v>
      </c>
      <c r="H124" s="152"/>
      <c r="I124" s="201"/>
      <c r="J124" s="135"/>
      <c r="K124" s="60"/>
    </row>
    <row r="125" spans="2:11" ht="15.75" hidden="1" x14ac:dyDescent="0.25">
      <c r="B125" s="174" t="s">
        <v>129</v>
      </c>
      <c r="C125" s="55"/>
      <c r="D125" s="22"/>
      <c r="E125" s="22"/>
      <c r="F125" s="22"/>
      <c r="G125" s="154">
        <f t="shared" si="10"/>
        <v>0</v>
      </c>
      <c r="H125" s="152"/>
      <c r="I125" s="201"/>
      <c r="J125" s="135"/>
      <c r="K125" s="60"/>
    </row>
    <row r="126" spans="2:11" ht="21" customHeight="1" x14ac:dyDescent="0.25">
      <c r="C126" s="117" t="s">
        <v>176</v>
      </c>
      <c r="D126" s="26">
        <f>SUM(D118:D125)</f>
        <v>88003.33</v>
      </c>
      <c r="E126" s="26">
        <f>SUM(E118:E125)</f>
        <v>4500.18</v>
      </c>
      <c r="F126" s="26">
        <f>SUM(F118:F125)</f>
        <v>0</v>
      </c>
      <c r="G126" s="26">
        <f>SUM(G118:G125)</f>
        <v>92503.510000000009</v>
      </c>
      <c r="H126" s="140">
        <f>(H118*G118)+(H119*G119)+(H120*G120)+(H121*G121)+(H122*G122)+(H123*G123)+(H124*G124)+(H125*G125)</f>
        <v>92503.510000000009</v>
      </c>
      <c r="I126" s="207">
        <f>SUM(I118:I125)</f>
        <v>29626.01</v>
      </c>
      <c r="J126" s="135"/>
      <c r="K126" s="62"/>
    </row>
    <row r="127" spans="2:11" ht="51" hidden="1" customHeight="1" x14ac:dyDescent="0.25">
      <c r="B127" s="117" t="s">
        <v>130</v>
      </c>
      <c r="C127" s="256"/>
      <c r="D127" s="256"/>
      <c r="E127" s="256"/>
      <c r="F127" s="256"/>
      <c r="G127" s="256"/>
      <c r="H127" s="256"/>
      <c r="I127" s="257"/>
      <c r="J127" s="256"/>
      <c r="K127" s="59"/>
    </row>
    <row r="128" spans="2:11" ht="15.75" hidden="1" x14ac:dyDescent="0.25">
      <c r="B128" s="174" t="s">
        <v>131</v>
      </c>
      <c r="C128" s="19"/>
      <c r="D128" s="21"/>
      <c r="E128" s="21"/>
      <c r="F128" s="21"/>
      <c r="G128" s="154">
        <f>SUM(D128:F128)</f>
        <v>0</v>
      </c>
      <c r="H128" s="151"/>
      <c r="I128" s="200"/>
      <c r="J128" s="134"/>
      <c r="K128" s="60"/>
    </row>
    <row r="129" spans="2:11" ht="15.75" hidden="1" x14ac:dyDescent="0.25">
      <c r="B129" s="174" t="s">
        <v>132</v>
      </c>
      <c r="C129" s="19"/>
      <c r="D129" s="21"/>
      <c r="E129" s="21"/>
      <c r="F129" s="21"/>
      <c r="G129" s="154">
        <f t="shared" ref="G129:G135" si="11">SUM(D129:F129)</f>
        <v>0</v>
      </c>
      <c r="H129" s="151"/>
      <c r="I129" s="200"/>
      <c r="J129" s="134"/>
      <c r="K129" s="60"/>
    </row>
    <row r="130" spans="2:11" ht="15.75" hidden="1" x14ac:dyDescent="0.25">
      <c r="B130" s="174" t="s">
        <v>133</v>
      </c>
      <c r="C130" s="19"/>
      <c r="D130" s="21"/>
      <c r="E130" s="21"/>
      <c r="F130" s="21"/>
      <c r="G130" s="154">
        <f t="shared" si="11"/>
        <v>0</v>
      </c>
      <c r="H130" s="151"/>
      <c r="I130" s="200"/>
      <c r="J130" s="134"/>
      <c r="K130" s="60"/>
    </row>
    <row r="131" spans="2:11" ht="15.75" hidden="1" x14ac:dyDescent="0.25">
      <c r="B131" s="174" t="s">
        <v>134</v>
      </c>
      <c r="C131" s="19"/>
      <c r="D131" s="21"/>
      <c r="E131" s="21"/>
      <c r="F131" s="21"/>
      <c r="G131" s="154">
        <f t="shared" si="11"/>
        <v>0</v>
      </c>
      <c r="H131" s="151"/>
      <c r="I131" s="200"/>
      <c r="J131" s="134"/>
      <c r="K131" s="60"/>
    </row>
    <row r="132" spans="2:11" ht="15.75" hidden="1" x14ac:dyDescent="0.25">
      <c r="B132" s="174" t="s">
        <v>135</v>
      </c>
      <c r="C132" s="19"/>
      <c r="D132" s="21"/>
      <c r="E132" s="21"/>
      <c r="F132" s="21"/>
      <c r="G132" s="154">
        <f t="shared" si="11"/>
        <v>0</v>
      </c>
      <c r="H132" s="151"/>
      <c r="I132" s="200"/>
      <c r="J132" s="134"/>
      <c r="K132" s="60"/>
    </row>
    <row r="133" spans="2:11" ht="15.75" hidden="1" x14ac:dyDescent="0.25">
      <c r="B133" s="174" t="s">
        <v>136</v>
      </c>
      <c r="C133" s="19"/>
      <c r="D133" s="21"/>
      <c r="E133" s="21"/>
      <c r="F133" s="21"/>
      <c r="G133" s="154">
        <f t="shared" si="11"/>
        <v>0</v>
      </c>
      <c r="H133" s="151"/>
      <c r="I133" s="200"/>
      <c r="J133" s="134"/>
      <c r="K133" s="60"/>
    </row>
    <row r="134" spans="2:11" ht="15.75" hidden="1" x14ac:dyDescent="0.25">
      <c r="B134" s="174" t="s">
        <v>137</v>
      </c>
      <c r="C134" s="55"/>
      <c r="D134" s="22"/>
      <c r="E134" s="22"/>
      <c r="F134" s="22"/>
      <c r="G134" s="154">
        <f t="shared" si="11"/>
        <v>0</v>
      </c>
      <c r="H134" s="152"/>
      <c r="I134" s="201"/>
      <c r="J134" s="135"/>
      <c r="K134" s="60"/>
    </row>
    <row r="135" spans="2:11" ht="15.75" hidden="1" x14ac:dyDescent="0.25">
      <c r="B135" s="174" t="s">
        <v>138</v>
      </c>
      <c r="C135" s="55"/>
      <c r="D135" s="22"/>
      <c r="E135" s="22"/>
      <c r="F135" s="22"/>
      <c r="G135" s="154">
        <f t="shared" si="11"/>
        <v>0</v>
      </c>
      <c r="H135" s="152"/>
      <c r="I135" s="201"/>
      <c r="J135" s="135"/>
      <c r="K135" s="60"/>
    </row>
    <row r="136" spans="2:11" ht="15.75" hidden="1" x14ac:dyDescent="0.25">
      <c r="C136" s="117" t="s">
        <v>176</v>
      </c>
      <c r="D136" s="23">
        <f>SUM(D128:D135)</f>
        <v>0</v>
      </c>
      <c r="E136" s="23">
        <f>SUM(E128:E135)</f>
        <v>0</v>
      </c>
      <c r="F136" s="23">
        <f>SUM(F128:F135)</f>
        <v>0</v>
      </c>
      <c r="G136" s="23">
        <f>SUM(G128:G135)</f>
        <v>0</v>
      </c>
      <c r="H136" s="140">
        <f>(H128*G128)+(H129*G129)+(H130*G130)+(H131*G131)+(H132*G132)+(H133*G133)+(H134*G134)+(H135*G135)</f>
        <v>0</v>
      </c>
      <c r="I136" s="207">
        <f>SUM(I128:I135)</f>
        <v>0</v>
      </c>
      <c r="J136" s="135"/>
      <c r="K136" s="62"/>
    </row>
    <row r="137" spans="2:11" ht="15.75" hidden="1" customHeight="1" x14ac:dyDescent="0.25">
      <c r="B137" s="7"/>
      <c r="C137" s="13"/>
      <c r="D137" s="28"/>
      <c r="E137" s="28"/>
      <c r="F137" s="28"/>
      <c r="G137" s="28"/>
      <c r="H137" s="28"/>
      <c r="I137" s="28"/>
      <c r="J137" s="88"/>
      <c r="K137" s="4"/>
    </row>
    <row r="138" spans="2:11" ht="51" hidden="1" customHeight="1" x14ac:dyDescent="0.25">
      <c r="B138" s="117" t="s">
        <v>139</v>
      </c>
      <c r="C138" s="258"/>
      <c r="D138" s="258"/>
      <c r="E138" s="258"/>
      <c r="F138" s="258"/>
      <c r="G138" s="258"/>
      <c r="H138" s="258"/>
      <c r="I138" s="259"/>
      <c r="J138" s="258"/>
      <c r="K138" s="20"/>
    </row>
    <row r="139" spans="2:11" ht="51" hidden="1" customHeight="1" x14ac:dyDescent="0.25">
      <c r="B139" s="117" t="s">
        <v>140</v>
      </c>
      <c r="C139" s="256"/>
      <c r="D139" s="256"/>
      <c r="E139" s="256"/>
      <c r="F139" s="256"/>
      <c r="G139" s="256"/>
      <c r="H139" s="256"/>
      <c r="I139" s="257"/>
      <c r="J139" s="256"/>
      <c r="K139" s="59"/>
    </row>
    <row r="140" spans="2:11" ht="15.75" hidden="1" x14ac:dyDescent="0.25">
      <c r="B140" s="174" t="s">
        <v>141</v>
      </c>
      <c r="C140" s="19"/>
      <c r="D140" s="21"/>
      <c r="E140" s="21"/>
      <c r="F140" s="21"/>
      <c r="G140" s="154">
        <f>SUM(D140:F140)</f>
        <v>0</v>
      </c>
      <c r="H140" s="151"/>
      <c r="I140" s="200"/>
      <c r="J140" s="134"/>
      <c r="K140" s="60"/>
    </row>
    <row r="141" spans="2:11" ht="15.75" hidden="1" x14ac:dyDescent="0.25">
      <c r="B141" s="174" t="s">
        <v>142</v>
      </c>
      <c r="C141" s="19"/>
      <c r="D141" s="21"/>
      <c r="E141" s="21"/>
      <c r="F141" s="21"/>
      <c r="G141" s="154">
        <f t="shared" ref="G141:G147" si="12">SUM(D141:F141)</f>
        <v>0</v>
      </c>
      <c r="H141" s="151"/>
      <c r="I141" s="200"/>
      <c r="J141" s="134"/>
      <c r="K141" s="60"/>
    </row>
    <row r="142" spans="2:11" ht="15.75" hidden="1" x14ac:dyDescent="0.25">
      <c r="B142" s="174" t="s">
        <v>143</v>
      </c>
      <c r="C142" s="19"/>
      <c r="D142" s="21"/>
      <c r="E142" s="21"/>
      <c r="F142" s="21"/>
      <c r="G142" s="154">
        <f t="shared" si="12"/>
        <v>0</v>
      </c>
      <c r="H142" s="151"/>
      <c r="I142" s="200"/>
      <c r="J142" s="134"/>
      <c r="K142" s="60"/>
    </row>
    <row r="143" spans="2:11" ht="15.75" hidden="1" x14ac:dyDescent="0.25">
      <c r="B143" s="174" t="s">
        <v>144</v>
      </c>
      <c r="C143" s="19"/>
      <c r="D143" s="21"/>
      <c r="E143" s="21"/>
      <c r="F143" s="21"/>
      <c r="G143" s="154">
        <f t="shared" si="12"/>
        <v>0</v>
      </c>
      <c r="H143" s="151"/>
      <c r="I143" s="200"/>
      <c r="J143" s="134"/>
      <c r="K143" s="60"/>
    </row>
    <row r="144" spans="2:11" ht="15.75" hidden="1" x14ac:dyDescent="0.25">
      <c r="B144" s="174" t="s">
        <v>145</v>
      </c>
      <c r="C144" s="19"/>
      <c r="D144" s="21"/>
      <c r="E144" s="21"/>
      <c r="F144" s="21"/>
      <c r="G144" s="154">
        <f t="shared" si="12"/>
        <v>0</v>
      </c>
      <c r="H144" s="151"/>
      <c r="I144" s="200"/>
      <c r="J144" s="134"/>
      <c r="K144" s="60"/>
    </row>
    <row r="145" spans="2:11" ht="15.75" hidden="1" x14ac:dyDescent="0.25">
      <c r="B145" s="174" t="s">
        <v>146</v>
      </c>
      <c r="C145" s="19"/>
      <c r="D145" s="21"/>
      <c r="E145" s="21"/>
      <c r="F145" s="21"/>
      <c r="G145" s="154">
        <f t="shared" si="12"/>
        <v>0</v>
      </c>
      <c r="H145" s="151"/>
      <c r="I145" s="200"/>
      <c r="J145" s="134"/>
      <c r="K145" s="60"/>
    </row>
    <row r="146" spans="2:11" ht="15.75" hidden="1" x14ac:dyDescent="0.25">
      <c r="B146" s="174" t="s">
        <v>147</v>
      </c>
      <c r="C146" s="55"/>
      <c r="D146" s="22"/>
      <c r="E146" s="22"/>
      <c r="F146" s="22"/>
      <c r="G146" s="154">
        <f t="shared" si="12"/>
        <v>0</v>
      </c>
      <c r="H146" s="152"/>
      <c r="I146" s="201"/>
      <c r="J146" s="135"/>
      <c r="K146" s="60"/>
    </row>
    <row r="147" spans="2:11" ht="15.75" hidden="1" x14ac:dyDescent="0.25">
      <c r="B147" s="174" t="s">
        <v>148</v>
      </c>
      <c r="C147" s="55"/>
      <c r="D147" s="22"/>
      <c r="E147" s="22"/>
      <c r="F147" s="22"/>
      <c r="G147" s="154">
        <f t="shared" si="12"/>
        <v>0</v>
      </c>
      <c r="H147" s="152"/>
      <c r="I147" s="201"/>
      <c r="J147" s="135"/>
      <c r="K147" s="60"/>
    </row>
    <row r="148" spans="2:11" ht="15.75" hidden="1" x14ac:dyDescent="0.25">
      <c r="C148" s="117" t="s">
        <v>176</v>
      </c>
      <c r="D148" s="23">
        <f>SUM(D140:D147)</f>
        <v>0</v>
      </c>
      <c r="E148" s="23">
        <f>SUM(E140:E147)</f>
        <v>0</v>
      </c>
      <c r="F148" s="23">
        <f>SUM(F140:F147)</f>
        <v>0</v>
      </c>
      <c r="G148" s="26">
        <f>SUM(G140:G147)</f>
        <v>0</v>
      </c>
      <c r="H148" s="140">
        <f>(H140*G140)+(H141*G141)+(H142*G142)+(H143*G143)+(H144*G144)+(H145*G145)+(H146*G146)+(H147*G147)</f>
        <v>0</v>
      </c>
      <c r="I148" s="207">
        <f>SUM(I140:I147)</f>
        <v>0</v>
      </c>
      <c r="J148" s="135"/>
      <c r="K148" s="62"/>
    </row>
    <row r="149" spans="2:11" ht="51" hidden="1" customHeight="1" x14ac:dyDescent="0.25">
      <c r="B149" s="117" t="s">
        <v>149</v>
      </c>
      <c r="C149" s="256"/>
      <c r="D149" s="256"/>
      <c r="E149" s="256"/>
      <c r="F149" s="256"/>
      <c r="G149" s="256"/>
      <c r="H149" s="256"/>
      <c r="I149" s="257"/>
      <c r="J149" s="256"/>
      <c r="K149" s="59"/>
    </row>
    <row r="150" spans="2:11" ht="15.75" hidden="1" x14ac:dyDescent="0.25">
      <c r="B150" s="174" t="s">
        <v>150</v>
      </c>
      <c r="C150" s="19"/>
      <c r="D150" s="21"/>
      <c r="E150" s="21"/>
      <c r="F150" s="21"/>
      <c r="G150" s="154">
        <f>SUM(D150:F150)</f>
        <v>0</v>
      </c>
      <c r="H150" s="151"/>
      <c r="I150" s="200"/>
      <c r="J150" s="134"/>
      <c r="K150" s="60"/>
    </row>
    <row r="151" spans="2:11" ht="15.75" hidden="1" x14ac:dyDescent="0.25">
      <c r="B151" s="174" t="s">
        <v>151</v>
      </c>
      <c r="C151" s="19"/>
      <c r="D151" s="21"/>
      <c r="E151" s="21"/>
      <c r="F151" s="21"/>
      <c r="G151" s="154">
        <f t="shared" ref="G151:G157" si="13">SUM(D151:F151)</f>
        <v>0</v>
      </c>
      <c r="H151" s="151"/>
      <c r="I151" s="200"/>
      <c r="J151" s="134"/>
      <c r="K151" s="60"/>
    </row>
    <row r="152" spans="2:11" ht="15.75" hidden="1" x14ac:dyDescent="0.25">
      <c r="B152" s="174" t="s">
        <v>152</v>
      </c>
      <c r="C152" s="19"/>
      <c r="D152" s="21"/>
      <c r="E152" s="21"/>
      <c r="F152" s="21"/>
      <c r="G152" s="154">
        <f t="shared" si="13"/>
        <v>0</v>
      </c>
      <c r="H152" s="151"/>
      <c r="I152" s="200"/>
      <c r="J152" s="134"/>
      <c r="K152" s="60"/>
    </row>
    <row r="153" spans="2:11" ht="15.75" hidden="1" x14ac:dyDescent="0.25">
      <c r="B153" s="174" t="s">
        <v>153</v>
      </c>
      <c r="C153" s="19"/>
      <c r="D153" s="21"/>
      <c r="E153" s="21"/>
      <c r="F153" s="21"/>
      <c r="G153" s="154">
        <f t="shared" si="13"/>
        <v>0</v>
      </c>
      <c r="H153" s="151"/>
      <c r="I153" s="200"/>
      <c r="J153" s="134"/>
      <c r="K153" s="60"/>
    </row>
    <row r="154" spans="2:11" ht="15.75" hidden="1" x14ac:dyDescent="0.25">
      <c r="B154" s="174" t="s">
        <v>154</v>
      </c>
      <c r="C154" s="19"/>
      <c r="D154" s="21"/>
      <c r="E154" s="21"/>
      <c r="F154" s="21"/>
      <c r="G154" s="154">
        <f t="shared" si="13"/>
        <v>0</v>
      </c>
      <c r="H154" s="151"/>
      <c r="I154" s="200"/>
      <c r="J154" s="134"/>
      <c r="K154" s="60"/>
    </row>
    <row r="155" spans="2:11" ht="15.75" hidden="1" x14ac:dyDescent="0.25">
      <c r="B155" s="174" t="s">
        <v>155</v>
      </c>
      <c r="C155" s="19"/>
      <c r="D155" s="21"/>
      <c r="E155" s="21"/>
      <c r="F155" s="21"/>
      <c r="G155" s="154">
        <f t="shared" si="13"/>
        <v>0</v>
      </c>
      <c r="H155" s="151"/>
      <c r="I155" s="200"/>
      <c r="J155" s="134"/>
      <c r="K155" s="60"/>
    </row>
    <row r="156" spans="2:11" ht="15.75" hidden="1" x14ac:dyDescent="0.25">
      <c r="B156" s="174" t="s">
        <v>156</v>
      </c>
      <c r="C156" s="55"/>
      <c r="D156" s="22"/>
      <c r="E156" s="22"/>
      <c r="F156" s="22"/>
      <c r="G156" s="154">
        <f t="shared" si="13"/>
        <v>0</v>
      </c>
      <c r="H156" s="152"/>
      <c r="I156" s="201"/>
      <c r="J156" s="135"/>
      <c r="K156" s="60"/>
    </row>
    <row r="157" spans="2:11" ht="15.75" hidden="1" x14ac:dyDescent="0.25">
      <c r="B157" s="174" t="s">
        <v>157</v>
      </c>
      <c r="C157" s="55"/>
      <c r="D157" s="22"/>
      <c r="E157" s="22"/>
      <c r="F157" s="22"/>
      <c r="G157" s="154">
        <f t="shared" si="13"/>
        <v>0</v>
      </c>
      <c r="H157" s="152"/>
      <c r="I157" s="201"/>
      <c r="J157" s="135"/>
      <c r="K157" s="60"/>
    </row>
    <row r="158" spans="2:11" ht="15.75" hidden="1" x14ac:dyDescent="0.25">
      <c r="C158" s="117" t="s">
        <v>176</v>
      </c>
      <c r="D158" s="26">
        <f>SUM(D150:D157)</f>
        <v>0</v>
      </c>
      <c r="E158" s="26">
        <f>SUM(E150:E157)</f>
        <v>0</v>
      </c>
      <c r="F158" s="26">
        <f>SUM(F150:F157)</f>
        <v>0</v>
      </c>
      <c r="G158" s="26">
        <f>SUM(G150:G157)</f>
        <v>0</v>
      </c>
      <c r="H158" s="140">
        <f>(H150*G150)+(H151*G151)+(H152*G152)+(H153*G153)+(H154*G154)+(H155*G155)+(H156*G156)+(H157*G157)</f>
        <v>0</v>
      </c>
      <c r="I158" s="207">
        <f>SUM(I150:I157)</f>
        <v>0</v>
      </c>
      <c r="J158" s="135"/>
      <c r="K158" s="62"/>
    </row>
    <row r="159" spans="2:11" ht="51" hidden="1" customHeight="1" x14ac:dyDescent="0.25">
      <c r="B159" s="117" t="s">
        <v>158</v>
      </c>
      <c r="C159" s="256"/>
      <c r="D159" s="256"/>
      <c r="E159" s="256"/>
      <c r="F159" s="256"/>
      <c r="G159" s="256"/>
      <c r="H159" s="256"/>
      <c r="I159" s="257"/>
      <c r="J159" s="256"/>
      <c r="K159" s="59"/>
    </row>
    <row r="160" spans="2:11" ht="15.75" hidden="1" x14ac:dyDescent="0.25">
      <c r="B160" s="174" t="s">
        <v>159</v>
      </c>
      <c r="C160" s="19"/>
      <c r="D160" s="21"/>
      <c r="E160" s="21"/>
      <c r="F160" s="21"/>
      <c r="G160" s="154">
        <f>SUM(D160:F160)</f>
        <v>0</v>
      </c>
      <c r="H160" s="151"/>
      <c r="I160" s="200"/>
      <c r="J160" s="134"/>
      <c r="K160" s="60"/>
    </row>
    <row r="161" spans="2:11" ht="15.75" hidden="1" x14ac:dyDescent="0.25">
      <c r="B161" s="174" t="s">
        <v>160</v>
      </c>
      <c r="C161" s="19"/>
      <c r="D161" s="21"/>
      <c r="E161" s="21"/>
      <c r="F161" s="21"/>
      <c r="G161" s="154">
        <f t="shared" ref="G161:G167" si="14">SUM(D161:F161)</f>
        <v>0</v>
      </c>
      <c r="H161" s="151"/>
      <c r="I161" s="200"/>
      <c r="J161" s="134"/>
      <c r="K161" s="60"/>
    </row>
    <row r="162" spans="2:11" ht="15.75" hidden="1" x14ac:dyDescent="0.25">
      <c r="B162" s="174" t="s">
        <v>161</v>
      </c>
      <c r="C162" s="19"/>
      <c r="D162" s="21"/>
      <c r="E162" s="21"/>
      <c r="F162" s="21"/>
      <c r="G162" s="154">
        <f t="shared" si="14"/>
        <v>0</v>
      </c>
      <c r="H162" s="151"/>
      <c r="I162" s="200"/>
      <c r="J162" s="134"/>
      <c r="K162" s="60"/>
    </row>
    <row r="163" spans="2:11" ht="15.75" hidden="1" x14ac:dyDescent="0.25">
      <c r="B163" s="174" t="s">
        <v>162</v>
      </c>
      <c r="C163" s="19"/>
      <c r="D163" s="21"/>
      <c r="E163" s="21"/>
      <c r="F163" s="21"/>
      <c r="G163" s="154">
        <f t="shared" si="14"/>
        <v>0</v>
      </c>
      <c r="H163" s="151"/>
      <c r="I163" s="216"/>
      <c r="J163" s="134"/>
      <c r="K163" s="60"/>
    </row>
    <row r="164" spans="2:11" ht="15.75" hidden="1" x14ac:dyDescent="0.25">
      <c r="B164" s="174" t="s">
        <v>163</v>
      </c>
      <c r="C164" s="19"/>
      <c r="D164" s="21"/>
      <c r="E164" s="21"/>
      <c r="F164" s="21"/>
      <c r="G164" s="154">
        <f t="shared" si="14"/>
        <v>0</v>
      </c>
      <c r="H164" s="151"/>
      <c r="I164" s="200"/>
      <c r="J164" s="134"/>
      <c r="K164" s="60"/>
    </row>
    <row r="165" spans="2:11" ht="15.75" hidden="1" x14ac:dyDescent="0.25">
      <c r="B165" s="174" t="s">
        <v>164</v>
      </c>
      <c r="C165" s="19"/>
      <c r="D165" s="21"/>
      <c r="E165" s="21"/>
      <c r="F165" s="21"/>
      <c r="G165" s="154">
        <f t="shared" si="14"/>
        <v>0</v>
      </c>
      <c r="H165" s="151"/>
      <c r="I165" s="200"/>
      <c r="J165" s="134"/>
      <c r="K165" s="60"/>
    </row>
    <row r="166" spans="2:11" ht="15.75" hidden="1" x14ac:dyDescent="0.25">
      <c r="B166" s="174" t="s">
        <v>165</v>
      </c>
      <c r="C166" s="55"/>
      <c r="D166" s="22"/>
      <c r="E166" s="22"/>
      <c r="F166" s="22"/>
      <c r="G166" s="154">
        <f t="shared" si="14"/>
        <v>0</v>
      </c>
      <c r="H166" s="152"/>
      <c r="I166" s="201"/>
      <c r="J166" s="135"/>
      <c r="K166" s="60"/>
    </row>
    <row r="167" spans="2:11" ht="15.75" hidden="1" x14ac:dyDescent="0.25">
      <c r="B167" s="174" t="s">
        <v>166</v>
      </c>
      <c r="C167" s="55"/>
      <c r="D167" s="22"/>
      <c r="E167" s="22"/>
      <c r="F167" s="22"/>
      <c r="G167" s="154">
        <f t="shared" si="14"/>
        <v>0</v>
      </c>
      <c r="H167" s="152"/>
      <c r="I167" s="201"/>
      <c r="J167" s="135"/>
      <c r="K167" s="60"/>
    </row>
    <row r="168" spans="2:11" ht="15.75" hidden="1" x14ac:dyDescent="0.25">
      <c r="C168" s="117" t="s">
        <v>176</v>
      </c>
      <c r="D168" s="26">
        <f>SUM(D160:D167)</f>
        <v>0</v>
      </c>
      <c r="E168" s="26">
        <f>SUM(E160:E167)</f>
        <v>0</v>
      </c>
      <c r="F168" s="26">
        <f>SUM(F160:F167)</f>
        <v>0</v>
      </c>
      <c r="G168" s="26">
        <f>SUM(G160:G167)</f>
        <v>0</v>
      </c>
      <c r="H168" s="140">
        <f>(H160*G160)+(H161*G161)+(H162*G162)+(H163*G163)+(H164*G164)+(H165*G165)+(H166*G166)+(H167*G167)</f>
        <v>0</v>
      </c>
      <c r="I168" s="207">
        <f>SUM(I160:I167)</f>
        <v>0</v>
      </c>
      <c r="J168" s="135"/>
      <c r="K168" s="62"/>
    </row>
    <row r="169" spans="2:11" ht="51" hidden="1" customHeight="1" x14ac:dyDescent="0.25">
      <c r="B169" s="117" t="s">
        <v>167</v>
      </c>
      <c r="C169" s="256"/>
      <c r="D169" s="256"/>
      <c r="E169" s="256"/>
      <c r="F169" s="256"/>
      <c r="G169" s="256"/>
      <c r="H169" s="256"/>
      <c r="I169" s="257"/>
      <c r="J169" s="256"/>
      <c r="K169" s="59"/>
    </row>
    <row r="170" spans="2:11" ht="15.75" hidden="1" x14ac:dyDescent="0.25">
      <c r="B170" s="174" t="s">
        <v>168</v>
      </c>
      <c r="C170" s="19"/>
      <c r="D170" s="21"/>
      <c r="E170" s="21"/>
      <c r="F170" s="21"/>
      <c r="G170" s="154">
        <f>SUM(D170:F170)</f>
        <v>0</v>
      </c>
      <c r="H170" s="151"/>
      <c r="I170" s="200"/>
      <c r="J170" s="134"/>
      <c r="K170" s="60"/>
    </row>
    <row r="171" spans="2:11" ht="15.75" hidden="1" x14ac:dyDescent="0.25">
      <c r="B171" s="174" t="s">
        <v>169</v>
      </c>
      <c r="C171" s="19"/>
      <c r="D171" s="21"/>
      <c r="E171" s="21"/>
      <c r="F171" s="21"/>
      <c r="G171" s="154">
        <f t="shared" ref="G171:G177" si="15">SUM(D171:F171)</f>
        <v>0</v>
      </c>
      <c r="H171" s="151"/>
      <c r="I171" s="200"/>
      <c r="J171" s="134"/>
      <c r="K171" s="60"/>
    </row>
    <row r="172" spans="2:11" ht="15.75" hidden="1" x14ac:dyDescent="0.25">
      <c r="B172" s="174" t="s">
        <v>170</v>
      </c>
      <c r="C172" s="19"/>
      <c r="D172" s="21"/>
      <c r="E172" s="21"/>
      <c r="F172" s="21"/>
      <c r="G172" s="154">
        <f t="shared" si="15"/>
        <v>0</v>
      </c>
      <c r="H172" s="151"/>
      <c r="I172" s="200"/>
      <c r="J172" s="134"/>
      <c r="K172" s="60"/>
    </row>
    <row r="173" spans="2:11" ht="15.75" hidden="1" x14ac:dyDescent="0.25">
      <c r="B173" s="174" t="s">
        <v>171</v>
      </c>
      <c r="C173" s="19"/>
      <c r="D173" s="21"/>
      <c r="E173" s="21"/>
      <c r="F173" s="21"/>
      <c r="G173" s="154">
        <f t="shared" si="15"/>
        <v>0</v>
      </c>
      <c r="H173" s="151"/>
      <c r="I173" s="200"/>
      <c r="J173" s="134"/>
      <c r="K173" s="60"/>
    </row>
    <row r="174" spans="2:11" ht="15.75" hidden="1" x14ac:dyDescent="0.25">
      <c r="B174" s="174" t="s">
        <v>172</v>
      </c>
      <c r="C174" s="19"/>
      <c r="D174" s="21"/>
      <c r="E174" s="21"/>
      <c r="F174" s="21"/>
      <c r="G174" s="154">
        <f>SUM(D174:F174)</f>
        <v>0</v>
      </c>
      <c r="H174" s="151"/>
      <c r="I174" s="200"/>
      <c r="J174" s="134"/>
      <c r="K174" s="60"/>
    </row>
    <row r="175" spans="2:11" ht="15.75" hidden="1" x14ac:dyDescent="0.25">
      <c r="B175" s="174" t="s">
        <v>173</v>
      </c>
      <c r="C175" s="19"/>
      <c r="D175" s="21"/>
      <c r="E175" s="21"/>
      <c r="F175" s="21"/>
      <c r="G175" s="154">
        <f t="shared" si="15"/>
        <v>0</v>
      </c>
      <c r="H175" s="151"/>
      <c r="I175" s="200"/>
      <c r="J175" s="134"/>
      <c r="K175" s="60"/>
    </row>
    <row r="176" spans="2:11" ht="15.75" hidden="1" x14ac:dyDescent="0.25">
      <c r="B176" s="174" t="s">
        <v>174</v>
      </c>
      <c r="C176" s="55"/>
      <c r="D176" s="22"/>
      <c r="E176" s="22"/>
      <c r="F176" s="22"/>
      <c r="G176" s="154">
        <f t="shared" si="15"/>
        <v>0</v>
      </c>
      <c r="H176" s="152"/>
      <c r="I176" s="201"/>
      <c r="J176" s="135"/>
      <c r="K176" s="60"/>
    </row>
    <row r="177" spans="2:11" ht="15.75" hidden="1" x14ac:dyDescent="0.25">
      <c r="B177" s="174" t="s">
        <v>175</v>
      </c>
      <c r="C177" s="55"/>
      <c r="D177" s="22"/>
      <c r="E177" s="22"/>
      <c r="F177" s="22"/>
      <c r="G177" s="154">
        <f t="shared" si="15"/>
        <v>0</v>
      </c>
      <c r="H177" s="152"/>
      <c r="I177" s="201"/>
      <c r="J177" s="135"/>
      <c r="K177" s="60"/>
    </row>
    <row r="178" spans="2:11" ht="15.75" hidden="1" x14ac:dyDescent="0.25">
      <c r="C178" s="117" t="s">
        <v>176</v>
      </c>
      <c r="D178" s="23">
        <f>SUM(D170:D177)</f>
        <v>0</v>
      </c>
      <c r="E178" s="23">
        <f>SUM(E170:E177)</f>
        <v>0</v>
      </c>
      <c r="F178" s="23">
        <f>SUM(F170:F177)</f>
        <v>0</v>
      </c>
      <c r="G178" s="23">
        <f>SUM(G170:G177)</f>
        <v>0</v>
      </c>
      <c r="H178" s="140">
        <f>(H170*G170)+(H171*G171)+(H172*G172)+(H173*G173)+(H174*G174)+(H175*G175)+(H176*G176)+(H177*G177)</f>
        <v>0</v>
      </c>
      <c r="I178" s="207">
        <f>SUM(I170:I177)</f>
        <v>0</v>
      </c>
      <c r="J178" s="135"/>
      <c r="K178" s="62"/>
    </row>
    <row r="179" spans="2:11" ht="15.75" customHeight="1" x14ac:dyDescent="0.25">
      <c r="B179" s="7"/>
      <c r="C179" s="13"/>
      <c r="D179" s="28"/>
      <c r="E179" s="28"/>
      <c r="F179" s="28"/>
      <c r="G179" s="28"/>
      <c r="H179" s="28"/>
      <c r="I179" s="28"/>
      <c r="J179" s="13"/>
      <c r="K179" s="4"/>
    </row>
    <row r="180" spans="2:11" ht="15.75" customHeight="1" x14ac:dyDescent="0.25">
      <c r="B180" s="7"/>
      <c r="C180" s="13"/>
      <c r="D180" s="28"/>
      <c r="E180" s="28"/>
      <c r="F180" s="28"/>
      <c r="G180" s="28"/>
      <c r="H180" s="28"/>
      <c r="I180" s="28"/>
      <c r="J180" s="13"/>
      <c r="K180" s="4"/>
    </row>
    <row r="181" spans="2:11" ht="63.75" customHeight="1" x14ac:dyDescent="0.25">
      <c r="B181" s="117" t="s">
        <v>553</v>
      </c>
      <c r="C181" s="18"/>
      <c r="D181" s="36"/>
      <c r="E181" s="36"/>
      <c r="F181" s="36"/>
      <c r="G181" s="141">
        <f>SUM(D181:F181)</f>
        <v>0</v>
      </c>
      <c r="H181" s="153"/>
      <c r="I181" s="243"/>
      <c r="J181" s="145"/>
      <c r="K181" s="62"/>
    </row>
    <row r="182" spans="2:11" ht="69.75" customHeight="1" x14ac:dyDescent="0.25">
      <c r="B182" s="117" t="s">
        <v>551</v>
      </c>
      <c r="C182" s="18"/>
      <c r="D182" s="36">
        <f>140000-9158.88</f>
        <v>130841.12</v>
      </c>
      <c r="E182" s="36"/>
      <c r="F182" s="36"/>
      <c r="G182" s="141">
        <f>SUM(D182:F182)</f>
        <v>130841.12</v>
      </c>
      <c r="H182" s="153"/>
      <c r="I182" s="243">
        <f>65052.35+23833.37+30206.08+1570.52</f>
        <v>120662.32</v>
      </c>
      <c r="J182" s="145"/>
      <c r="K182" s="62"/>
    </row>
    <row r="183" spans="2:11" ht="57" customHeight="1" x14ac:dyDescent="0.25">
      <c r="B183" s="117" t="s">
        <v>554</v>
      </c>
      <c r="C183" s="146"/>
      <c r="D183" s="36">
        <f>295500-19331.78</f>
        <v>276168.21999999997</v>
      </c>
      <c r="E183" s="36"/>
      <c r="F183" s="36"/>
      <c r="G183" s="141">
        <f>SUM(D183:F183)</f>
        <v>276168.21999999997</v>
      </c>
      <c r="H183" s="153"/>
      <c r="I183" s="243">
        <f>48753.8+4658.12+6362.7+20522.1457</f>
        <v>80296.765700000004</v>
      </c>
      <c r="J183" s="145"/>
      <c r="K183" s="62"/>
    </row>
    <row r="184" spans="2:11" ht="65.25" customHeight="1" x14ac:dyDescent="0.25">
      <c r="B184" s="147" t="s">
        <v>558</v>
      </c>
      <c r="C184" s="18"/>
      <c r="D184" s="36">
        <f>107000-7000</f>
        <v>100000</v>
      </c>
      <c r="E184" s="36"/>
      <c r="F184" s="36"/>
      <c r="G184" s="141">
        <f>SUM(D184:F184)</f>
        <v>100000</v>
      </c>
      <c r="H184" s="153"/>
      <c r="I184" s="243"/>
      <c r="J184" s="145"/>
      <c r="K184" s="62"/>
    </row>
    <row r="185" spans="2:11" ht="21.75" customHeight="1" x14ac:dyDescent="0.25">
      <c r="B185" s="7"/>
      <c r="C185" s="148" t="s">
        <v>552</v>
      </c>
      <c r="D185" s="155">
        <f>SUM(D181:D184)</f>
        <v>507009.33999999997</v>
      </c>
      <c r="E185" s="155">
        <f>SUM(E181:E184)</f>
        <v>0</v>
      </c>
      <c r="F185" s="155">
        <f>SUM(F181:F184)</f>
        <v>0</v>
      </c>
      <c r="G185" s="155">
        <f>SUM(G181:G184)</f>
        <v>507009.33999999997</v>
      </c>
      <c r="H185" s="140">
        <f>(H181*G181)+(H182*G182)+(H183*G183)+(H184*G184)</f>
        <v>0</v>
      </c>
      <c r="I185" s="207">
        <f>SUM(I181:I184)</f>
        <v>200959.0857</v>
      </c>
      <c r="J185" s="18"/>
      <c r="K185" s="16"/>
    </row>
    <row r="186" spans="2:11" ht="15.75" customHeight="1" x14ac:dyDescent="0.25">
      <c r="B186" s="7"/>
      <c r="C186" s="13"/>
      <c r="D186" s="28"/>
      <c r="E186" s="28"/>
      <c r="F186" s="28"/>
      <c r="G186" s="28"/>
      <c r="H186" s="28"/>
      <c r="I186" s="28"/>
      <c r="J186" s="13"/>
      <c r="K186" s="16"/>
    </row>
    <row r="187" spans="2:11" ht="15.75" customHeight="1" x14ac:dyDescent="0.25">
      <c r="B187" s="7"/>
      <c r="C187" s="13"/>
      <c r="D187" s="202">
        <f>SUM(I14,I15,I34,I35,I36,I44,I45,I46,I56,I57,I76,I77,I108,I109,I111,I118,I119,I182,I184,I183)</f>
        <v>791196.71725630003</v>
      </c>
      <c r="E187" s="202">
        <f>SUM(I16,I58,I78,I120)</f>
        <v>148319.13</v>
      </c>
      <c r="F187" s="202">
        <f>SUM(I24,I25,I26,I27,I28,I66,I67,I68,I98,I99,I110)</f>
        <v>251374.22999999998</v>
      </c>
      <c r="G187" s="28"/>
      <c r="H187" s="28"/>
      <c r="I187" s="28"/>
      <c r="J187" s="13"/>
      <c r="K187" s="16"/>
    </row>
    <row r="188" spans="2:11" ht="15.75" customHeight="1" x14ac:dyDescent="0.25">
      <c r="B188" s="7"/>
      <c r="C188" s="13"/>
      <c r="D188" s="28">
        <f>SUM(D22,D32,D42,D52,D64,D74,D84,D116,D126,D185)</f>
        <v>1255103.68</v>
      </c>
      <c r="E188" s="28"/>
      <c r="F188" s="28"/>
      <c r="G188" s="28"/>
      <c r="H188" s="28"/>
      <c r="I188" s="28"/>
      <c r="J188" s="231"/>
      <c r="K188" s="16"/>
    </row>
    <row r="189" spans="2:11" ht="15.75" customHeight="1" x14ac:dyDescent="0.25">
      <c r="B189" s="7"/>
      <c r="C189" s="13"/>
      <c r="D189" s="28"/>
      <c r="E189" s="28"/>
      <c r="F189" s="28"/>
      <c r="G189" s="28"/>
      <c r="H189" s="28"/>
      <c r="I189" s="248"/>
      <c r="J189" s="13"/>
      <c r="K189" s="16"/>
    </row>
    <row r="190" spans="2:11" ht="15.75" customHeight="1" x14ac:dyDescent="0.25">
      <c r="B190" s="7"/>
      <c r="C190" s="13"/>
      <c r="D190" s="28"/>
      <c r="E190" s="28"/>
      <c r="F190" s="28"/>
      <c r="G190" s="28"/>
      <c r="H190" s="28"/>
      <c r="I190" s="28"/>
      <c r="J190" s="231"/>
      <c r="K190" s="232"/>
    </row>
    <row r="191" spans="2:11" ht="15.75" customHeight="1" x14ac:dyDescent="0.25">
      <c r="B191" s="7"/>
      <c r="C191" s="13"/>
      <c r="D191" s="28"/>
      <c r="E191" s="28"/>
      <c r="F191" s="28"/>
      <c r="G191" s="28"/>
      <c r="H191" s="28"/>
      <c r="I191" s="28"/>
      <c r="J191" s="13"/>
      <c r="K191" s="16"/>
    </row>
    <row r="192" spans="2:11" ht="15.75" customHeight="1" thickBot="1" x14ac:dyDescent="0.3">
      <c r="B192" s="7"/>
      <c r="C192" s="13"/>
      <c r="D192" s="28"/>
      <c r="E192" s="28"/>
      <c r="F192" s="28"/>
      <c r="G192" s="28"/>
      <c r="H192" s="28"/>
      <c r="I192" s="28"/>
      <c r="J192" s="13">
        <v>0</v>
      </c>
      <c r="K192" s="29">
        <v>251374</v>
      </c>
    </row>
    <row r="193" spans="2:11" ht="15.75" x14ac:dyDescent="0.25">
      <c r="B193" s="7"/>
      <c r="C193" s="289" t="s">
        <v>19</v>
      </c>
      <c r="D193" s="290"/>
      <c r="E193" s="290"/>
      <c r="F193" s="290"/>
      <c r="G193" s="291"/>
      <c r="H193" s="16"/>
      <c r="I193" s="28"/>
      <c r="J193" s="16"/>
    </row>
    <row r="194" spans="2:11" ht="40.5" customHeight="1" x14ac:dyDescent="0.25">
      <c r="B194" s="7"/>
      <c r="C194" s="279"/>
      <c r="D194" s="140" t="s">
        <v>548</v>
      </c>
      <c r="E194" s="140" t="s">
        <v>549</v>
      </c>
      <c r="F194" s="140" t="s">
        <v>550</v>
      </c>
      <c r="G194" s="281" t="s">
        <v>65</v>
      </c>
      <c r="H194" s="13"/>
      <c r="I194" s="28"/>
      <c r="J194" s="16"/>
    </row>
    <row r="195" spans="2:11" ht="24.75" customHeight="1" x14ac:dyDescent="0.25">
      <c r="B195" s="7"/>
      <c r="C195" s="280"/>
      <c r="D195" s="130" t="str">
        <f>D11</f>
        <v>ONU Mujeres</v>
      </c>
      <c r="E195" s="130" t="str">
        <f>E11</f>
        <v>OACNUDH</v>
      </c>
      <c r="F195" s="130" t="str">
        <f>F11</f>
        <v>FAO</v>
      </c>
      <c r="G195" s="282"/>
      <c r="H195" s="13"/>
      <c r="I195" s="28"/>
      <c r="J195" s="16"/>
    </row>
    <row r="196" spans="2:11" ht="41.25" customHeight="1" x14ac:dyDescent="0.25">
      <c r="B196" s="29"/>
      <c r="C196" s="142" t="s">
        <v>64</v>
      </c>
      <c r="D196" s="118">
        <f>SUM(D22,D32,D42,D52,D64,D74,D84,D94,D106,D116,D126,D136,D148,D158,D168,D178,D181,D182,D183,D184)</f>
        <v>1255103.68</v>
      </c>
      <c r="E196" s="118">
        <f>SUM(E22,E32,E42,E52,E64,E74,E84,E94,E106,E116,E126,E136,E148,E158,E168,E178,E181,E182,E183,E184)</f>
        <v>228782.18</v>
      </c>
      <c r="F196" s="118">
        <f>SUM(F22,F32,F42,F52,F64,F74,F84,F94,F106,F116,F126,F136,F148,F158,F168,F178,F181,F182,F183,F184)</f>
        <v>385273.43</v>
      </c>
      <c r="G196" s="143">
        <f>SUM(D196:F196)</f>
        <v>1869159.2899999998</v>
      </c>
      <c r="H196" s="13"/>
      <c r="I196" s="203"/>
      <c r="J196" s="17"/>
    </row>
    <row r="197" spans="2:11" ht="51.75" customHeight="1" x14ac:dyDescent="0.25">
      <c r="B197" s="5"/>
      <c r="C197" s="142" t="s">
        <v>9</v>
      </c>
      <c r="D197" s="118">
        <f>D196*0.07</f>
        <v>87857.257599999997</v>
      </c>
      <c r="E197" s="118">
        <f>E196*0.07</f>
        <v>16014.752600000002</v>
      </c>
      <c r="F197" s="118">
        <f>F196*0.07</f>
        <v>26969.140100000001</v>
      </c>
      <c r="G197" s="143">
        <f>G196*0.07</f>
        <v>130841.15029999999</v>
      </c>
      <c r="H197" s="5"/>
      <c r="I197" s="203"/>
      <c r="J197" s="2"/>
    </row>
    <row r="198" spans="2:11" ht="51.75" customHeight="1" thickBot="1" x14ac:dyDescent="0.3">
      <c r="B198" s="5"/>
      <c r="C198" s="38" t="s">
        <v>65</v>
      </c>
      <c r="D198" s="123">
        <f>SUM(D196:D197)</f>
        <v>1342960.9375999998</v>
      </c>
      <c r="E198" s="123">
        <f>SUM(E196:E197)</f>
        <v>244796.9326</v>
      </c>
      <c r="F198" s="123">
        <f>SUM(F196:F197)</f>
        <v>412242.57010000001</v>
      </c>
      <c r="G198" s="144">
        <f>SUM(G196:G197)</f>
        <v>2000000.4402999999</v>
      </c>
      <c r="H198" s="233"/>
      <c r="J198" s="2"/>
    </row>
    <row r="199" spans="2:11" ht="42" customHeight="1" x14ac:dyDescent="0.25">
      <c r="B199" s="5"/>
      <c r="I199" s="204"/>
      <c r="J199" s="4"/>
      <c r="K199" s="2"/>
    </row>
    <row r="200" spans="2:11" s="46" customFormat="1" ht="29.25" customHeight="1" thickBot="1" x14ac:dyDescent="0.3">
      <c r="B200" s="13"/>
      <c r="C200" s="40"/>
      <c r="D200" s="41"/>
      <c r="E200" s="41"/>
      <c r="F200" s="41"/>
      <c r="G200" s="41"/>
      <c r="H200" s="41"/>
      <c r="I200" s="208"/>
      <c r="J200" s="16"/>
      <c r="K200" s="17"/>
    </row>
    <row r="201" spans="2:11" ht="23.25" customHeight="1" x14ac:dyDescent="0.25">
      <c r="B201" s="2"/>
      <c r="C201" s="273" t="s">
        <v>29</v>
      </c>
      <c r="D201" s="274"/>
      <c r="E201" s="275"/>
      <c r="F201" s="275"/>
      <c r="G201" s="275"/>
      <c r="H201" s="276"/>
      <c r="I201" s="208"/>
      <c r="J201" s="2"/>
      <c r="K201" s="47"/>
    </row>
    <row r="202" spans="2:11" ht="41.25" customHeight="1" x14ac:dyDescent="0.25">
      <c r="B202" s="2"/>
      <c r="C202" s="119"/>
      <c r="D202" s="120" t="s">
        <v>548</v>
      </c>
      <c r="E202" s="120" t="s">
        <v>549</v>
      </c>
      <c r="F202" s="120" t="s">
        <v>550</v>
      </c>
      <c r="G202" s="283" t="s">
        <v>65</v>
      </c>
      <c r="H202" s="285" t="s">
        <v>31</v>
      </c>
      <c r="I202" s="208"/>
      <c r="J202" s="2"/>
      <c r="K202" s="47"/>
    </row>
    <row r="203" spans="2:11" ht="27.75" customHeight="1" x14ac:dyDescent="0.25">
      <c r="B203" s="2"/>
      <c r="C203" s="119"/>
      <c r="D203" s="120" t="str">
        <f>D11</f>
        <v>ONU Mujeres</v>
      </c>
      <c r="E203" s="120" t="str">
        <f>E11</f>
        <v>OACNUDH</v>
      </c>
      <c r="F203" s="120" t="str">
        <f>F11</f>
        <v>FAO</v>
      </c>
      <c r="G203" s="284"/>
      <c r="H203" s="286"/>
      <c r="I203" s="202"/>
      <c r="J203" s="2"/>
      <c r="K203" s="47"/>
    </row>
    <row r="204" spans="2:11" ht="55.5" customHeight="1" x14ac:dyDescent="0.25">
      <c r="B204" s="2"/>
      <c r="C204" s="37" t="s">
        <v>30</v>
      </c>
      <c r="D204" s="121">
        <f>$D$198*H204</f>
        <v>940072.65631999983</v>
      </c>
      <c r="E204" s="122">
        <f>$E$198*H204</f>
        <v>171357.85282</v>
      </c>
      <c r="F204" s="122">
        <f>$F$198*H204</f>
        <v>288569.79907000001</v>
      </c>
      <c r="G204" s="122">
        <f>SUM(D204:F204)</f>
        <v>1400000.3082099997</v>
      </c>
      <c r="H204" s="166">
        <v>0.7</v>
      </c>
      <c r="I204" s="202"/>
      <c r="J204" s="2"/>
      <c r="K204" s="47"/>
    </row>
    <row r="205" spans="2:11" ht="57.75" customHeight="1" x14ac:dyDescent="0.25">
      <c r="B205" s="272"/>
      <c r="C205" s="149" t="s">
        <v>32</v>
      </c>
      <c r="D205" s="121">
        <f>$D$198*H205</f>
        <v>402888.28127999994</v>
      </c>
      <c r="E205" s="122">
        <f>$E$198*H205</f>
        <v>73439.07978</v>
      </c>
      <c r="F205" s="122">
        <f>$F$198*H205</f>
        <v>123672.77103</v>
      </c>
      <c r="G205" s="150">
        <f>SUM(D205:F205)</f>
        <v>600000.13208999997</v>
      </c>
      <c r="H205" s="167">
        <v>0.3</v>
      </c>
      <c r="I205" s="205"/>
      <c r="J205" s="47"/>
      <c r="K205" s="47"/>
    </row>
    <row r="206" spans="2:11" ht="57.75" customHeight="1" x14ac:dyDescent="0.25">
      <c r="B206" s="272"/>
      <c r="C206" s="149" t="s">
        <v>562</v>
      </c>
      <c r="D206" s="121">
        <f>$D$198*H206</f>
        <v>0</v>
      </c>
      <c r="E206" s="122">
        <f>$E$198*H206</f>
        <v>0</v>
      </c>
      <c r="F206" s="122">
        <f>$F$198*H206</f>
        <v>0</v>
      </c>
      <c r="G206" s="150">
        <f>SUM(D206:F206)</f>
        <v>0</v>
      </c>
      <c r="H206" s="168">
        <v>0</v>
      </c>
      <c r="I206" s="209"/>
      <c r="J206" s="47"/>
      <c r="K206" s="47"/>
    </row>
    <row r="207" spans="2:11" ht="38.25" customHeight="1" thickBot="1" x14ac:dyDescent="0.3">
      <c r="B207" s="272"/>
      <c r="C207" s="38" t="s">
        <v>557</v>
      </c>
      <c r="D207" s="123">
        <f>SUM(D204:D206)</f>
        <v>1342960.9375999998</v>
      </c>
      <c r="E207" s="123">
        <f>SUM(E204:E206)</f>
        <v>244796.9326</v>
      </c>
      <c r="F207" s="123">
        <f>SUM(F204:F206)</f>
        <v>412242.57010000001</v>
      </c>
      <c r="G207" s="123">
        <f>SUM(G204:G206)</f>
        <v>2000000.4402999997</v>
      </c>
      <c r="H207" s="124">
        <f>SUM(H204:H206)</f>
        <v>1</v>
      </c>
      <c r="I207" s="206"/>
      <c r="J207" s="47"/>
      <c r="K207" s="47"/>
    </row>
    <row r="208" spans="2:11" ht="21.75" customHeight="1" thickBot="1" x14ac:dyDescent="0.3">
      <c r="B208" s="272"/>
      <c r="C208" s="3"/>
      <c r="D208" s="8"/>
      <c r="E208" s="8"/>
      <c r="F208" s="8"/>
      <c r="G208" s="8"/>
      <c r="H208" s="8"/>
      <c r="I208" s="206"/>
      <c r="J208" s="47"/>
      <c r="K208" s="47"/>
    </row>
    <row r="209" spans="1:11" ht="49.5" customHeight="1" x14ac:dyDescent="0.25">
      <c r="B209" s="272"/>
      <c r="C209" s="125" t="s">
        <v>574</v>
      </c>
      <c r="D209" s="126">
        <f>SUM(H22,H32,H42,H52,H64,H74,H84,H94,H106,H116,H126,H136,H148,H158,H168,H178,H185)*1.07</f>
        <v>1457500.4465000001</v>
      </c>
      <c r="E209" s="41"/>
      <c r="F209" s="41"/>
      <c r="G209" s="41"/>
      <c r="H209" s="212" t="s">
        <v>576</v>
      </c>
      <c r="I209" s="213">
        <f>SUM(I185,I178,I168,I158,I148,I136,I126,I116,I106,I94,I84,I74,I64,I52,I42,I32,I22)</f>
        <v>1190890.0772563</v>
      </c>
      <c r="J209" s="47"/>
      <c r="K209" s="47"/>
    </row>
    <row r="210" spans="1:11" ht="28.5" customHeight="1" thickBot="1" x14ac:dyDescent="0.3">
      <c r="B210" s="272"/>
      <c r="C210" s="127" t="s">
        <v>16</v>
      </c>
      <c r="D210" s="194">
        <f>D209/G198</f>
        <v>0.72875006281567378</v>
      </c>
      <c r="E210" s="52"/>
      <c r="F210" s="52"/>
      <c r="G210" s="52"/>
      <c r="H210" s="214" t="s">
        <v>577</v>
      </c>
      <c r="I210" s="215">
        <f>I209/G196</f>
        <v>0.63712605106882048</v>
      </c>
      <c r="J210" s="47"/>
      <c r="K210" s="47"/>
    </row>
    <row r="211" spans="1:11" ht="28.5" customHeight="1" x14ac:dyDescent="0.25">
      <c r="B211" s="272"/>
      <c r="C211" s="287"/>
      <c r="D211" s="288"/>
      <c r="E211" s="53"/>
      <c r="F211" s="53"/>
      <c r="G211" s="53"/>
      <c r="J211" s="47"/>
      <c r="K211" s="47"/>
    </row>
    <row r="212" spans="1:11" ht="32.25" customHeight="1" x14ac:dyDescent="0.25">
      <c r="B212" s="272"/>
      <c r="C212" s="127" t="s">
        <v>575</v>
      </c>
      <c r="D212" s="128">
        <f>SUM(D183:F184)*1.07</f>
        <v>402499.99540000001</v>
      </c>
      <c r="E212" s="54"/>
      <c r="F212" s="54"/>
      <c r="G212" s="54"/>
      <c r="J212" s="47"/>
      <c r="K212" s="47"/>
    </row>
    <row r="213" spans="1:11" ht="23.25" customHeight="1" x14ac:dyDescent="0.25">
      <c r="B213" s="272"/>
      <c r="C213" s="127" t="s">
        <v>17</v>
      </c>
      <c r="D213" s="194">
        <f>D212/G198</f>
        <v>0.20124995339482277</v>
      </c>
      <c r="E213" s="54"/>
      <c r="F213" s="54"/>
      <c r="G213" s="54"/>
      <c r="I213" s="198"/>
      <c r="J213" s="47"/>
      <c r="K213" s="47"/>
    </row>
    <row r="214" spans="1:11" ht="66.75" customHeight="1" thickBot="1" x14ac:dyDescent="0.3">
      <c r="B214" s="272"/>
      <c r="C214" s="277" t="s">
        <v>571</v>
      </c>
      <c r="D214" s="278"/>
      <c r="E214" s="42"/>
      <c r="F214" s="42"/>
      <c r="G214" s="42"/>
      <c r="H214" s="47"/>
      <c r="J214" s="47"/>
      <c r="K214" s="47"/>
    </row>
    <row r="215" spans="1:11" ht="55.5" customHeight="1" x14ac:dyDescent="0.25">
      <c r="B215" s="272"/>
      <c r="K215" s="46"/>
    </row>
    <row r="216" spans="1:11" ht="42.75" customHeight="1" x14ac:dyDescent="0.25">
      <c r="B216" s="272"/>
      <c r="J216" s="47"/>
    </row>
    <row r="217" spans="1:11" ht="21.75" customHeight="1" x14ac:dyDescent="0.25">
      <c r="B217" s="272"/>
      <c r="J217" s="47"/>
    </row>
    <row r="218" spans="1:11" ht="21.75" customHeight="1" x14ac:dyDescent="0.25">
      <c r="A218" s="47"/>
      <c r="B218" s="272"/>
    </row>
    <row r="219" spans="1:11" s="47" customFormat="1" ht="23.25" customHeight="1" x14ac:dyDescent="0.25">
      <c r="A219" s="45"/>
      <c r="B219" s="272"/>
      <c r="C219" s="45"/>
      <c r="D219" s="45"/>
      <c r="E219" s="45"/>
      <c r="F219" s="45"/>
      <c r="G219" s="45"/>
      <c r="H219" s="45"/>
      <c r="I219" s="196"/>
      <c r="J219" s="45"/>
      <c r="K219" s="45"/>
    </row>
    <row r="220" spans="1:11" ht="23.25" customHeight="1" x14ac:dyDescent="0.25"/>
    <row r="221" spans="1:11" ht="21.75" customHeight="1" x14ac:dyDescent="0.25"/>
    <row r="222" spans="1:11" ht="16.5" customHeight="1" x14ac:dyDescent="0.25"/>
    <row r="223" spans="1:11" ht="29.25" customHeight="1" x14ac:dyDescent="0.25"/>
    <row r="224" spans="1:11" ht="24.75" customHeight="1" x14ac:dyDescent="0.25"/>
    <row r="225" ht="33" customHeight="1" x14ac:dyDescent="0.25"/>
    <row r="227" ht="15" customHeight="1" x14ac:dyDescent="0.25"/>
    <row r="228" ht="25.5" customHeight="1" x14ac:dyDescent="0.25"/>
  </sheetData>
  <sheetProtection formatCells="0" formatColumns="0" formatRows="0"/>
  <mergeCells count="32">
    <mergeCell ref="C159:J159"/>
    <mergeCell ref="C169:J169"/>
    <mergeCell ref="B205:B219"/>
    <mergeCell ref="C201:H201"/>
    <mergeCell ref="C214:D214"/>
    <mergeCell ref="C194:C195"/>
    <mergeCell ref="G194:G195"/>
    <mergeCell ref="G202:G203"/>
    <mergeCell ref="H202:H203"/>
    <mergeCell ref="C211:D211"/>
    <mergeCell ref="C193:G193"/>
    <mergeCell ref="B2:E2"/>
    <mergeCell ref="B8:H8"/>
    <mergeCell ref="C23:J23"/>
    <mergeCell ref="C13:J13"/>
    <mergeCell ref="C33:J33"/>
    <mergeCell ref="C43:J43"/>
    <mergeCell ref="C12:J12"/>
    <mergeCell ref="B5:J5"/>
    <mergeCell ref="C54:J54"/>
    <mergeCell ref="C55:J55"/>
    <mergeCell ref="C65:J65"/>
    <mergeCell ref="C75:J75"/>
    <mergeCell ref="C85:J85"/>
    <mergeCell ref="C96:J96"/>
    <mergeCell ref="C97:J97"/>
    <mergeCell ref="C107:J107"/>
    <mergeCell ref="C117:J117"/>
    <mergeCell ref="C138:J138"/>
    <mergeCell ref="C127:J127"/>
    <mergeCell ref="C149:J149"/>
    <mergeCell ref="C139:J139"/>
  </mergeCells>
  <conditionalFormatting sqref="D210">
    <cfRule type="cellIs" dxfId="26" priority="46" operator="lessThan">
      <formula>0.15</formula>
    </cfRule>
  </conditionalFormatting>
  <conditionalFormatting sqref="D213">
    <cfRule type="cellIs" dxfId="25" priority="44" operator="lessThan">
      <formula>0.05</formula>
    </cfRule>
  </conditionalFormatting>
  <conditionalFormatting sqref="H207 I206">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0:G210" xr:uid="{00000000-0002-0000-0000-000000000000}"/>
    <dataValidation allowBlank="1" showInputMessage="1" showErrorMessage="1" prompt="M&amp;E Budget Cannot be Less than 5%_x000a_" sqref="D213:G213" xr:uid="{00000000-0002-0000-0000-000001000000}"/>
    <dataValidation allowBlank="1" showInputMessage="1" showErrorMessage="1" prompt="Insert *text* description of Outcome here" sqref="C12:J12 C54:J54 C96:J96 C138:J138" xr:uid="{00000000-0002-0000-0000-000002000000}"/>
    <dataValidation allowBlank="1" showInputMessage="1" showErrorMessage="1" prompt="Insert *text* description of Output here" sqref="C13 C23 C33 C43 C55 C65 C75 C85 C97 C107 C117 C127 C139 C149 C159 C169" xr:uid="{00000000-0002-0000-0000-000003000000}"/>
    <dataValidation allowBlank="1" showInputMessage="1" showErrorMessage="1" prompt="Insert *text* description of Activity here" sqref="C14 C24 C34 C44 C56 C66 C76 C86 C98 C108 C118 C128 C140 C150 C160 C170" xr:uid="{00000000-0002-0000-0000-000004000000}"/>
    <dataValidation allowBlank="1" showInputMessage="1" showErrorMessage="1" prompt="Insert name of recipient agency here _x000a_" sqref="D11:G11" xr:uid="{00000000-0002-0000-0000-000005000000}"/>
    <dataValidation allowBlank="1" showErrorMessage="1" prompt="% Towards Gender Equality and Women's Empowerment Must be Higher than 15%_x000a_" sqref="D212:G212" xr:uid="{00000000-0002-0000-0000-000006000000}"/>
  </dataValidations>
  <pageMargins left="0.25" right="0.25" top="0.75" bottom="0.75" header="0.3" footer="0.3"/>
  <pageSetup scale="52" fitToHeight="0" orientation="landscape" r:id="rId1"/>
  <rowBreaks count="6" manualBreakCount="6">
    <brk id="22" max="9" man="1"/>
    <brk id="32" max="9" man="1"/>
    <brk id="56" max="9" man="1"/>
    <brk id="77" max="9" man="1"/>
    <brk id="110" max="9" man="1"/>
    <brk id="186"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abSelected="1" topLeftCell="D211" zoomScale="55" zoomScaleNormal="55" workbookViewId="0">
      <selection activeCell="F124" sqref="F124"/>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71093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66" t="s">
        <v>546</v>
      </c>
      <c r="D2" s="266"/>
      <c r="E2" s="266"/>
      <c r="F2" s="266"/>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00" t="s">
        <v>15</v>
      </c>
      <c r="D5" s="301"/>
      <c r="E5" s="301"/>
      <c r="F5" s="301"/>
      <c r="G5" s="302"/>
      <c r="J5" s="25"/>
      <c r="K5" s="6"/>
      <c r="N5" s="65"/>
    </row>
    <row r="6" spans="2:14" ht="24" customHeight="1" x14ac:dyDescent="0.25">
      <c r="C6" s="305" t="s">
        <v>547</v>
      </c>
      <c r="D6" s="306"/>
      <c r="E6" s="306"/>
      <c r="F6" s="306"/>
      <c r="G6" s="307"/>
      <c r="J6" s="25"/>
      <c r="K6" s="6"/>
      <c r="N6" s="65"/>
    </row>
    <row r="7" spans="2:14" ht="24" customHeight="1" x14ac:dyDescent="0.25">
      <c r="C7" s="305"/>
      <c r="D7" s="306"/>
      <c r="E7" s="306"/>
      <c r="F7" s="306"/>
      <c r="G7" s="307"/>
      <c r="J7" s="25"/>
      <c r="K7" s="6"/>
      <c r="N7" s="65"/>
    </row>
    <row r="8" spans="2:14" ht="24" customHeight="1" thickBot="1" x14ac:dyDescent="0.3">
      <c r="C8" s="308"/>
      <c r="D8" s="309"/>
      <c r="E8" s="309"/>
      <c r="F8" s="309"/>
      <c r="G8" s="310"/>
      <c r="J8" s="25"/>
      <c r="K8" s="6"/>
      <c r="N8" s="65"/>
    </row>
    <row r="9" spans="2:14" ht="24" customHeight="1" thickBot="1" x14ac:dyDescent="0.3">
      <c r="C9" s="58"/>
      <c r="D9" s="58"/>
      <c r="E9" s="58"/>
      <c r="F9" s="58"/>
      <c r="L9" s="25"/>
      <c r="M9" s="6"/>
      <c r="N9" s="65"/>
    </row>
    <row r="10" spans="2:14" ht="24" customHeight="1" thickBot="1" x14ac:dyDescent="0.3">
      <c r="C10" s="295" t="s">
        <v>178</v>
      </c>
      <c r="D10" s="296"/>
      <c r="E10" s="296"/>
      <c r="F10" s="297"/>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98" t="s">
        <v>65</v>
      </c>
      <c r="L12" s="25"/>
      <c r="M12" s="6"/>
      <c r="N12" s="65"/>
    </row>
    <row r="13" spans="2:14" ht="24" customHeight="1" x14ac:dyDescent="0.25">
      <c r="C13" s="58"/>
      <c r="D13" s="130" t="str">
        <f>'1) Budget Table'!D11</f>
        <v>ONU Mujeres</v>
      </c>
      <c r="E13" s="130" t="str">
        <f>'1) Budget Table'!E11</f>
        <v>OACNUDH</v>
      </c>
      <c r="F13" s="130" t="str">
        <f>'1) Budget Table'!F11</f>
        <v>FAO</v>
      </c>
      <c r="G13" s="299"/>
      <c r="L13" s="25"/>
      <c r="M13" s="6"/>
      <c r="N13" s="65"/>
    </row>
    <row r="14" spans="2:14" ht="24" customHeight="1" x14ac:dyDescent="0.25">
      <c r="B14" s="292" t="s">
        <v>189</v>
      </c>
      <c r="C14" s="293"/>
      <c r="D14" s="293"/>
      <c r="E14" s="293"/>
      <c r="F14" s="293"/>
      <c r="G14" s="294"/>
      <c r="L14" s="25"/>
      <c r="M14" s="6"/>
      <c r="N14" s="65"/>
    </row>
    <row r="15" spans="2:14" ht="22.5" customHeight="1" x14ac:dyDescent="0.25">
      <c r="C15" s="292" t="s">
        <v>186</v>
      </c>
      <c r="D15" s="293"/>
      <c r="E15" s="293"/>
      <c r="F15" s="293"/>
      <c r="G15" s="294"/>
      <c r="L15" s="25"/>
      <c r="M15" s="6"/>
      <c r="N15" s="65"/>
    </row>
    <row r="16" spans="2:14" ht="24.75" customHeight="1" thickBot="1" x14ac:dyDescent="0.3">
      <c r="C16" s="77" t="s">
        <v>185</v>
      </c>
      <c r="D16" s="78">
        <f>'1) Budget Table'!D22</f>
        <v>57702.1</v>
      </c>
      <c r="E16" s="78">
        <f>'1) Budget Table'!E22</f>
        <v>64581</v>
      </c>
      <c r="F16" s="78">
        <f>'1) Budget Table'!F22</f>
        <v>0</v>
      </c>
      <c r="G16" s="79">
        <f>SUM(D16:F16)</f>
        <v>122283.1</v>
      </c>
      <c r="L16" s="25"/>
      <c r="M16" s="6"/>
      <c r="N16" s="65"/>
    </row>
    <row r="17" spans="3:14" ht="21.75" customHeight="1" x14ac:dyDescent="0.25">
      <c r="C17" s="75" t="s">
        <v>10</v>
      </c>
      <c r="D17" s="229">
        <v>6100</v>
      </c>
      <c r="E17" s="342">
        <v>10000</v>
      </c>
      <c r="F17" s="226"/>
      <c r="G17" s="76">
        <f t="shared" ref="G17:G24" si="0">SUM(D17:F17)</f>
        <v>16100</v>
      </c>
      <c r="N17" s="65"/>
    </row>
    <row r="18" spans="3:14" x14ac:dyDescent="0.25">
      <c r="C18" s="63" t="s">
        <v>11</v>
      </c>
      <c r="D18" s="229"/>
      <c r="E18" s="343">
        <v>1000</v>
      </c>
      <c r="F18" s="226"/>
      <c r="G18" s="74">
        <f t="shared" si="0"/>
        <v>1000</v>
      </c>
      <c r="N18" s="65"/>
    </row>
    <row r="19" spans="3:14" ht="15.75" customHeight="1" x14ac:dyDescent="0.25">
      <c r="C19" s="63" t="s">
        <v>12</v>
      </c>
      <c r="D19" s="229"/>
      <c r="E19" s="344"/>
      <c r="F19" s="226"/>
      <c r="G19" s="74">
        <f t="shared" si="0"/>
        <v>0</v>
      </c>
      <c r="N19" s="65"/>
    </row>
    <row r="20" spans="3:14" x14ac:dyDescent="0.25">
      <c r="C20" s="64" t="s">
        <v>13</v>
      </c>
      <c r="D20" s="229">
        <v>2000</v>
      </c>
      <c r="E20" s="344">
        <v>3000</v>
      </c>
      <c r="F20" s="227"/>
      <c r="G20" s="74">
        <f t="shared" si="0"/>
        <v>5000</v>
      </c>
      <c r="N20" s="65"/>
    </row>
    <row r="21" spans="3:14" x14ac:dyDescent="0.25">
      <c r="C21" s="63" t="s">
        <v>18</v>
      </c>
      <c r="D21" s="229"/>
      <c r="E21" s="344"/>
      <c r="F21" s="226"/>
      <c r="G21" s="74">
        <f t="shared" si="0"/>
        <v>0</v>
      </c>
      <c r="N21" s="65"/>
    </row>
    <row r="22" spans="3:14" ht="21.75" customHeight="1" x14ac:dyDescent="0.25">
      <c r="C22" s="63" t="s">
        <v>14</v>
      </c>
      <c r="D22" s="229">
        <v>47070</v>
      </c>
      <c r="E22" s="344">
        <v>50581</v>
      </c>
      <c r="F22" s="226"/>
      <c r="G22" s="74">
        <f t="shared" si="0"/>
        <v>97651</v>
      </c>
      <c r="N22" s="65"/>
    </row>
    <row r="23" spans="3:14" ht="21.75" customHeight="1" x14ac:dyDescent="0.25">
      <c r="C23" s="63" t="s">
        <v>184</v>
      </c>
      <c r="D23" s="229">
        <v>2532.1</v>
      </c>
      <c r="E23" s="344"/>
      <c r="F23" s="226"/>
      <c r="G23" s="74">
        <f t="shared" si="0"/>
        <v>2532.1</v>
      </c>
      <c r="N23" s="65"/>
    </row>
    <row r="24" spans="3:14" ht="15.75" customHeight="1" x14ac:dyDescent="0.25">
      <c r="C24" s="68" t="s">
        <v>187</v>
      </c>
      <c r="D24" s="80">
        <f>SUM(D17:D23)</f>
        <v>57702.1</v>
      </c>
      <c r="E24" s="80">
        <f>SUM(E17:E23)</f>
        <v>64581</v>
      </c>
      <c r="F24" s="80">
        <f>SUM(F17:F23)</f>
        <v>0</v>
      </c>
      <c r="G24" s="156">
        <f t="shared" si="0"/>
        <v>122283.1</v>
      </c>
      <c r="N24" s="65"/>
    </row>
    <row r="25" spans="3:14" s="67" customFormat="1" x14ac:dyDescent="0.25">
      <c r="C25" s="84"/>
      <c r="D25" s="85"/>
      <c r="E25" s="85"/>
      <c r="F25" s="85"/>
      <c r="G25" s="157"/>
    </row>
    <row r="26" spans="3:14" x14ac:dyDescent="0.25">
      <c r="C26" s="292" t="s">
        <v>190</v>
      </c>
      <c r="D26" s="293"/>
      <c r="E26" s="293"/>
      <c r="F26" s="293"/>
      <c r="G26" s="294"/>
      <c r="N26" s="65"/>
    </row>
    <row r="27" spans="3:14" ht="27" customHeight="1" thickBot="1" x14ac:dyDescent="0.3">
      <c r="C27" s="77" t="s">
        <v>185</v>
      </c>
      <c r="D27" s="78">
        <f>'1) Budget Table'!D32</f>
        <v>0</v>
      </c>
      <c r="E27" s="78">
        <f>'1) Budget Table'!E32</f>
        <v>0</v>
      </c>
      <c r="F27" s="78">
        <f>'1) Budget Table'!F32</f>
        <v>91125.010000000009</v>
      </c>
      <c r="G27" s="79">
        <f t="shared" ref="G27:G35" si="1">SUM(D27:F27)</f>
        <v>91125.010000000009</v>
      </c>
      <c r="N27" s="65"/>
    </row>
    <row r="28" spans="3:14" x14ac:dyDescent="0.25">
      <c r="C28" s="75" t="s">
        <v>10</v>
      </c>
      <c r="D28" s="114"/>
      <c r="E28" s="115"/>
      <c r="F28" s="342">
        <v>10191.25</v>
      </c>
      <c r="G28" s="76">
        <f t="shared" si="1"/>
        <v>10191.25</v>
      </c>
      <c r="N28" s="65"/>
    </row>
    <row r="29" spans="3:14" x14ac:dyDescent="0.25">
      <c r="C29" s="63" t="s">
        <v>11</v>
      </c>
      <c r="D29" s="116"/>
      <c r="E29" s="22"/>
      <c r="F29" s="343">
        <v>1705.75</v>
      </c>
      <c r="G29" s="74">
        <f t="shared" si="1"/>
        <v>1705.75</v>
      </c>
      <c r="N29" s="65"/>
    </row>
    <row r="30" spans="3:14" ht="31.5" x14ac:dyDescent="0.25">
      <c r="C30" s="63" t="s">
        <v>12</v>
      </c>
      <c r="D30" s="116"/>
      <c r="E30" s="116"/>
      <c r="F30" s="344">
        <v>8375</v>
      </c>
      <c r="G30" s="74">
        <f t="shared" si="1"/>
        <v>8375</v>
      </c>
      <c r="N30" s="65"/>
    </row>
    <row r="31" spans="3:14" x14ac:dyDescent="0.25">
      <c r="C31" s="64" t="s">
        <v>13</v>
      </c>
      <c r="D31" s="116"/>
      <c r="E31" s="116"/>
      <c r="F31" s="344"/>
      <c r="G31" s="74">
        <f t="shared" si="1"/>
        <v>0</v>
      </c>
      <c r="N31" s="65"/>
    </row>
    <row r="32" spans="3:14" x14ac:dyDescent="0.25">
      <c r="C32" s="63" t="s">
        <v>18</v>
      </c>
      <c r="D32" s="116"/>
      <c r="E32" s="116"/>
      <c r="F32" s="344">
        <v>3775</v>
      </c>
      <c r="G32" s="74">
        <f t="shared" si="1"/>
        <v>3775</v>
      </c>
      <c r="N32" s="65"/>
    </row>
    <row r="33" spans="3:14" x14ac:dyDescent="0.25">
      <c r="C33" s="63" t="s">
        <v>14</v>
      </c>
      <c r="D33" s="116"/>
      <c r="E33" s="116"/>
      <c r="F33" s="344">
        <v>59633</v>
      </c>
      <c r="G33" s="74">
        <f t="shared" si="1"/>
        <v>59633</v>
      </c>
      <c r="N33" s="65"/>
    </row>
    <row r="34" spans="3:14" x14ac:dyDescent="0.25">
      <c r="C34" s="63" t="s">
        <v>184</v>
      </c>
      <c r="D34" s="116"/>
      <c r="E34" s="116"/>
      <c r="F34" s="342">
        <v>7445.01</v>
      </c>
      <c r="G34" s="74">
        <f t="shared" si="1"/>
        <v>7445.01</v>
      </c>
      <c r="N34" s="65"/>
    </row>
    <row r="35" spans="3:14" x14ac:dyDescent="0.25">
      <c r="C35" s="68" t="s">
        <v>187</v>
      </c>
      <c r="D35" s="80">
        <f>SUM(D28:D34)</f>
        <v>0</v>
      </c>
      <c r="E35" s="80">
        <f>SUM(E28:E34)</f>
        <v>0</v>
      </c>
      <c r="F35" s="80">
        <f>SUM(F28:F34)</f>
        <v>91125.01</v>
      </c>
      <c r="G35" s="74">
        <f t="shared" si="1"/>
        <v>91125.01</v>
      </c>
      <c r="N35" s="65"/>
    </row>
    <row r="36" spans="3:14" s="67" customFormat="1" x14ac:dyDescent="0.25">
      <c r="C36" s="84"/>
      <c r="D36" s="85"/>
      <c r="E36" s="85"/>
      <c r="F36" s="85"/>
      <c r="G36" s="86"/>
    </row>
    <row r="37" spans="3:14" x14ac:dyDescent="0.25">
      <c r="C37" s="292" t="s">
        <v>191</v>
      </c>
      <c r="D37" s="293"/>
      <c r="E37" s="293"/>
      <c r="F37" s="293"/>
      <c r="G37" s="294"/>
      <c r="N37" s="65"/>
    </row>
    <row r="38" spans="3:14" ht="21.75" customHeight="1" thickBot="1" x14ac:dyDescent="0.3">
      <c r="C38" s="77" t="s">
        <v>185</v>
      </c>
      <c r="D38" s="78">
        <f>'1) Budget Table'!D42</f>
        <v>84000</v>
      </c>
      <c r="E38" s="78">
        <f>'1) Budget Table'!E42</f>
        <v>0</v>
      </c>
      <c r="F38" s="78">
        <f>'1) Budget Table'!F42</f>
        <v>0</v>
      </c>
      <c r="G38" s="79">
        <f t="shared" ref="G38:G46" si="2">SUM(D38:F38)</f>
        <v>84000</v>
      </c>
      <c r="N38" s="65"/>
    </row>
    <row r="39" spans="3:14" x14ac:dyDescent="0.25">
      <c r="C39" s="75" t="s">
        <v>10</v>
      </c>
      <c r="D39" s="229">
        <v>10000</v>
      </c>
      <c r="E39" s="115"/>
      <c r="F39" s="115"/>
      <c r="G39" s="76">
        <f t="shared" si="2"/>
        <v>10000</v>
      </c>
      <c r="N39" s="65"/>
    </row>
    <row r="40" spans="3:14" s="67" customFormat="1" ht="15.75" customHeight="1" x14ac:dyDescent="0.25">
      <c r="C40" s="63" t="s">
        <v>11</v>
      </c>
      <c r="D40" s="229">
        <v>1000</v>
      </c>
      <c r="E40" s="22"/>
      <c r="F40" s="22"/>
      <c r="G40" s="74">
        <f t="shared" si="2"/>
        <v>1000</v>
      </c>
    </row>
    <row r="41" spans="3:14" s="67" customFormat="1" ht="31.5" x14ac:dyDescent="0.25">
      <c r="C41" s="63" t="s">
        <v>12</v>
      </c>
      <c r="D41" s="229"/>
      <c r="E41" s="116"/>
      <c r="F41" s="116"/>
      <c r="G41" s="74">
        <f t="shared" si="2"/>
        <v>0</v>
      </c>
    </row>
    <row r="42" spans="3:14" s="67" customFormat="1" x14ac:dyDescent="0.25">
      <c r="C42" s="64" t="s">
        <v>13</v>
      </c>
      <c r="D42" s="229"/>
      <c r="E42" s="116"/>
      <c r="F42" s="116"/>
      <c r="G42" s="74">
        <f t="shared" si="2"/>
        <v>0</v>
      </c>
    </row>
    <row r="43" spans="3:14" x14ac:dyDescent="0.25">
      <c r="C43" s="63" t="s">
        <v>18</v>
      </c>
      <c r="D43" s="229">
        <v>4000</v>
      </c>
      <c r="E43" s="116"/>
      <c r="F43" s="116"/>
      <c r="G43" s="74">
        <f t="shared" si="2"/>
        <v>4000</v>
      </c>
      <c r="N43" s="65"/>
    </row>
    <row r="44" spans="3:14" x14ac:dyDescent="0.25">
      <c r="C44" s="63" t="s">
        <v>14</v>
      </c>
      <c r="D44" s="229">
        <v>65000</v>
      </c>
      <c r="E44" s="116"/>
      <c r="F44" s="116"/>
      <c r="G44" s="74">
        <f t="shared" si="2"/>
        <v>65000</v>
      </c>
      <c r="N44" s="65"/>
    </row>
    <row r="45" spans="3:14" x14ac:dyDescent="0.25">
      <c r="C45" s="63" t="s">
        <v>184</v>
      </c>
      <c r="D45" s="229">
        <v>4000</v>
      </c>
      <c r="E45" s="116"/>
      <c r="F45" s="116"/>
      <c r="G45" s="74">
        <f t="shared" si="2"/>
        <v>4000</v>
      </c>
      <c r="N45" s="65"/>
    </row>
    <row r="46" spans="3:14" x14ac:dyDescent="0.25">
      <c r="C46" s="68" t="s">
        <v>187</v>
      </c>
      <c r="D46" s="80">
        <f>SUM(D39:D45)</f>
        <v>84000</v>
      </c>
      <c r="E46" s="80">
        <f>SUM(E39:E45)</f>
        <v>0</v>
      </c>
      <c r="F46" s="80">
        <f>SUM(F39:F45)</f>
        <v>0</v>
      </c>
      <c r="G46" s="74">
        <f t="shared" si="2"/>
        <v>84000</v>
      </c>
      <c r="N46" s="65"/>
    </row>
    <row r="47" spans="3:14" x14ac:dyDescent="0.25">
      <c r="C47" s="292" t="s">
        <v>192</v>
      </c>
      <c r="D47" s="293"/>
      <c r="E47" s="293"/>
      <c r="F47" s="293"/>
      <c r="G47" s="294"/>
      <c r="N47" s="65"/>
    </row>
    <row r="48" spans="3:14" s="67" customFormat="1" x14ac:dyDescent="0.25">
      <c r="C48" s="81"/>
      <c r="D48" s="82"/>
      <c r="E48" s="82"/>
      <c r="F48" s="82"/>
      <c r="G48" s="83"/>
    </row>
    <row r="49" spans="2:14" ht="20.25" customHeight="1" thickBot="1" x14ac:dyDescent="0.3">
      <c r="C49" s="77" t="s">
        <v>185</v>
      </c>
      <c r="D49" s="78">
        <f>'1) Budget Table'!D52</f>
        <v>190973.7</v>
      </c>
      <c r="E49" s="78">
        <f>'1) Budget Table'!E52</f>
        <v>0</v>
      </c>
      <c r="F49" s="78">
        <f>'1) Budget Table'!F52</f>
        <v>0</v>
      </c>
      <c r="G49" s="79">
        <f t="shared" ref="G49:G57" si="3">SUM(D49:F49)</f>
        <v>190973.7</v>
      </c>
      <c r="N49" s="65"/>
    </row>
    <row r="50" spans="2:14" x14ac:dyDescent="0.25">
      <c r="C50" s="75" t="s">
        <v>10</v>
      </c>
      <c r="D50" s="229">
        <f>30000+5000</f>
        <v>35000</v>
      </c>
      <c r="E50" s="115"/>
      <c r="F50" s="115"/>
      <c r="G50" s="76">
        <f t="shared" si="3"/>
        <v>35000</v>
      </c>
      <c r="N50" s="65"/>
    </row>
    <row r="51" spans="2:14" ht="15.75" customHeight="1" x14ac:dyDescent="0.25">
      <c r="C51" s="63" t="s">
        <v>11</v>
      </c>
      <c r="D51" s="229">
        <f>1000+1000</f>
        <v>2000</v>
      </c>
      <c r="E51" s="22"/>
      <c r="F51" s="22"/>
      <c r="G51" s="74">
        <f t="shared" si="3"/>
        <v>2000</v>
      </c>
      <c r="N51" s="65"/>
    </row>
    <row r="52" spans="2:14" ht="32.25" customHeight="1" x14ac:dyDescent="0.25">
      <c r="C52" s="63" t="s">
        <v>12</v>
      </c>
      <c r="D52" s="229">
        <v>12000</v>
      </c>
      <c r="E52" s="116"/>
      <c r="F52" s="116"/>
      <c r="G52" s="74">
        <f t="shared" si="3"/>
        <v>12000</v>
      </c>
      <c r="N52" s="65"/>
    </row>
    <row r="53" spans="2:14" s="67" customFormat="1" x14ac:dyDescent="0.25">
      <c r="C53" s="64" t="s">
        <v>13</v>
      </c>
      <c r="D53" s="229">
        <v>4468.5</v>
      </c>
      <c r="E53" s="116"/>
      <c r="F53" s="116"/>
      <c r="G53" s="74">
        <f t="shared" si="3"/>
        <v>4468.5</v>
      </c>
    </row>
    <row r="54" spans="2:14" x14ac:dyDescent="0.25">
      <c r="C54" s="63" t="s">
        <v>18</v>
      </c>
      <c r="D54" s="229">
        <f>5000+2000</f>
        <v>7000</v>
      </c>
      <c r="E54" s="116"/>
      <c r="F54" s="116"/>
      <c r="G54" s="74">
        <f t="shared" si="3"/>
        <v>7000</v>
      </c>
      <c r="N54" s="65"/>
    </row>
    <row r="55" spans="2:14" x14ac:dyDescent="0.25">
      <c r="C55" s="63" t="s">
        <v>14</v>
      </c>
      <c r="D55" s="229">
        <f>43000+80505.2</f>
        <v>123505.2</v>
      </c>
      <c r="E55" s="116"/>
      <c r="F55" s="116"/>
      <c r="G55" s="74">
        <f t="shared" si="3"/>
        <v>123505.2</v>
      </c>
      <c r="N55" s="65"/>
    </row>
    <row r="56" spans="2:14" x14ac:dyDescent="0.25">
      <c r="C56" s="63" t="s">
        <v>184</v>
      </c>
      <c r="D56" s="230">
        <f>4000+3000</f>
        <v>7000</v>
      </c>
      <c r="E56" s="116"/>
      <c r="F56" s="116"/>
      <c r="G56" s="74">
        <f t="shared" si="3"/>
        <v>7000</v>
      </c>
      <c r="N56" s="65"/>
    </row>
    <row r="57" spans="2:14" ht="21" customHeight="1" x14ac:dyDescent="0.25">
      <c r="C57" s="68" t="s">
        <v>187</v>
      </c>
      <c r="D57" s="80">
        <f>SUM(D50:D56)</f>
        <v>190973.7</v>
      </c>
      <c r="E57" s="80">
        <f>SUM(E50:E56)</f>
        <v>0</v>
      </c>
      <c r="F57" s="80">
        <f>SUM(F50:F56)</f>
        <v>0</v>
      </c>
      <c r="G57" s="74">
        <f t="shared" si="3"/>
        <v>190973.7</v>
      </c>
      <c r="N57" s="65"/>
    </row>
    <row r="58" spans="2:14" s="67" customFormat="1" ht="22.5" customHeight="1" x14ac:dyDescent="0.25">
      <c r="C58" s="87"/>
      <c r="D58" s="85"/>
      <c r="E58" s="85"/>
      <c r="F58" s="85"/>
      <c r="G58" s="86"/>
    </row>
    <row r="59" spans="2:14" x14ac:dyDescent="0.25">
      <c r="B59" s="292" t="s">
        <v>193</v>
      </c>
      <c r="C59" s="293"/>
      <c r="D59" s="293"/>
      <c r="E59" s="293"/>
      <c r="F59" s="293"/>
      <c r="G59" s="294"/>
      <c r="N59" s="65"/>
    </row>
    <row r="60" spans="2:14" x14ac:dyDescent="0.25">
      <c r="C60" s="292" t="s">
        <v>194</v>
      </c>
      <c r="D60" s="293"/>
      <c r="E60" s="293"/>
      <c r="F60" s="293"/>
      <c r="G60" s="294"/>
      <c r="N60" s="65"/>
    </row>
    <row r="61" spans="2:14" ht="24" customHeight="1" thickBot="1" x14ac:dyDescent="0.3">
      <c r="C61" s="77" t="s">
        <v>185</v>
      </c>
      <c r="D61" s="78">
        <f>'1) Budget Table'!D64</f>
        <v>84408.21</v>
      </c>
      <c r="E61" s="78">
        <f>'1) Budget Table'!E64</f>
        <v>56701</v>
      </c>
      <c r="F61" s="78">
        <f>'1) Budget Table'!F64</f>
        <v>0</v>
      </c>
      <c r="G61" s="79">
        <f>SUM(D61:F61)</f>
        <v>141109.21000000002</v>
      </c>
      <c r="N61" s="65"/>
    </row>
    <row r="62" spans="2:14" ht="15.75" customHeight="1" x14ac:dyDescent="0.25">
      <c r="C62" s="75" t="s">
        <v>10</v>
      </c>
      <c r="D62" s="229">
        <v>5000</v>
      </c>
      <c r="E62" s="342">
        <v>27000</v>
      </c>
      <c r="F62" s="115"/>
      <c r="G62" s="76">
        <f t="shared" ref="G62:G69" si="4">SUM(D62:F62)</f>
        <v>32000</v>
      </c>
      <c r="N62" s="65"/>
    </row>
    <row r="63" spans="2:14" ht="15.75" customHeight="1" x14ac:dyDescent="0.25">
      <c r="C63" s="63" t="s">
        <v>11</v>
      </c>
      <c r="D63" s="229">
        <v>1000</v>
      </c>
      <c r="E63" s="343">
        <v>3000</v>
      </c>
      <c r="F63" s="22"/>
      <c r="G63" s="74">
        <f t="shared" si="4"/>
        <v>4000</v>
      </c>
      <c r="N63" s="65"/>
    </row>
    <row r="64" spans="2:14" ht="15.75" customHeight="1" x14ac:dyDescent="0.25">
      <c r="C64" s="63" t="s">
        <v>12</v>
      </c>
      <c r="D64" s="229"/>
      <c r="E64" s="344">
        <v>5000</v>
      </c>
      <c r="F64" s="116"/>
      <c r="G64" s="74">
        <f t="shared" si="4"/>
        <v>5000</v>
      </c>
      <c r="N64" s="65"/>
    </row>
    <row r="65" spans="2:14" ht="18.75" customHeight="1" x14ac:dyDescent="0.25">
      <c r="C65" s="64" t="s">
        <v>13</v>
      </c>
      <c r="D65" s="229">
        <v>10000</v>
      </c>
      <c r="E65" s="344">
        <v>3000</v>
      </c>
      <c r="F65" s="116"/>
      <c r="G65" s="74">
        <f t="shared" si="4"/>
        <v>13000</v>
      </c>
      <c r="N65" s="65"/>
    </row>
    <row r="66" spans="2:14" x14ac:dyDescent="0.25">
      <c r="C66" s="63" t="s">
        <v>18</v>
      </c>
      <c r="D66" s="229">
        <v>2000</v>
      </c>
      <c r="E66" s="344">
        <v>12201</v>
      </c>
      <c r="F66" s="116"/>
      <c r="G66" s="74">
        <f t="shared" si="4"/>
        <v>14201</v>
      </c>
      <c r="N66" s="65"/>
    </row>
    <row r="67" spans="2:14" s="67" customFormat="1" ht="21.75" customHeight="1" x14ac:dyDescent="0.25">
      <c r="B67" s="65"/>
      <c r="C67" s="63" t="s">
        <v>14</v>
      </c>
      <c r="D67" s="229">
        <v>65508.21</v>
      </c>
      <c r="E67" s="344"/>
      <c r="F67" s="116"/>
      <c r="G67" s="74">
        <f t="shared" si="4"/>
        <v>65508.21</v>
      </c>
    </row>
    <row r="68" spans="2:14" s="67" customFormat="1" x14ac:dyDescent="0.25">
      <c r="B68" s="65"/>
      <c r="C68" s="63" t="s">
        <v>184</v>
      </c>
      <c r="D68" s="229">
        <v>900</v>
      </c>
      <c r="E68" s="344">
        <f>6500</f>
        <v>6500</v>
      </c>
      <c r="F68" s="116"/>
      <c r="G68" s="74">
        <f t="shared" si="4"/>
        <v>7400</v>
      </c>
    </row>
    <row r="69" spans="2:14" x14ac:dyDescent="0.25">
      <c r="C69" s="68" t="s">
        <v>187</v>
      </c>
      <c r="D69" s="80">
        <f>SUM(D62:D68)</f>
        <v>84408.209999999992</v>
      </c>
      <c r="E69" s="80">
        <f>SUM(E62:E68)</f>
        <v>56701</v>
      </c>
      <c r="F69" s="80">
        <f>SUM(F62:F68)</f>
        <v>0</v>
      </c>
      <c r="G69" s="74">
        <f t="shared" si="4"/>
        <v>141109.21</v>
      </c>
      <c r="N69" s="65"/>
    </row>
    <row r="70" spans="2:14" s="67" customFormat="1" x14ac:dyDescent="0.25">
      <c r="C70" s="84"/>
      <c r="D70" s="85"/>
      <c r="E70" s="85"/>
      <c r="F70" s="85"/>
      <c r="G70" s="86"/>
    </row>
    <row r="71" spans="2:14" x14ac:dyDescent="0.25">
      <c r="B71" s="67"/>
      <c r="C71" s="292" t="s">
        <v>76</v>
      </c>
      <c r="D71" s="293"/>
      <c r="E71" s="293"/>
      <c r="F71" s="293"/>
      <c r="G71" s="294"/>
      <c r="N71" s="65"/>
    </row>
    <row r="72" spans="2:14" ht="21.75" customHeight="1" thickBot="1" x14ac:dyDescent="0.3">
      <c r="C72" s="77" t="s">
        <v>185</v>
      </c>
      <c r="D72" s="78">
        <f>'1) Budget Table'!D74</f>
        <v>0</v>
      </c>
      <c r="E72" s="78">
        <f>'1) Budget Table'!E74</f>
        <v>0</v>
      </c>
      <c r="F72" s="78">
        <f>'1) Budget Table'!F74</f>
        <v>108197.01999999999</v>
      </c>
      <c r="G72" s="79">
        <f t="shared" ref="G72:G80" si="5">SUM(D72:F72)</f>
        <v>108197.01999999999</v>
      </c>
      <c r="N72" s="65"/>
    </row>
    <row r="73" spans="2:14" ht="15.75" customHeight="1" x14ac:dyDescent="0.25">
      <c r="C73" s="75" t="s">
        <v>10</v>
      </c>
      <c r="D73" s="114"/>
      <c r="E73" s="115"/>
      <c r="F73" s="228">
        <v>16887.37</v>
      </c>
      <c r="G73" s="76">
        <f t="shared" si="5"/>
        <v>16887.37</v>
      </c>
      <c r="N73" s="65"/>
    </row>
    <row r="74" spans="2:14" ht="15.75" customHeight="1" x14ac:dyDescent="0.25">
      <c r="C74" s="63" t="s">
        <v>11</v>
      </c>
      <c r="D74" s="116"/>
      <c r="E74" s="22"/>
      <c r="F74" s="228">
        <v>2558.63</v>
      </c>
      <c r="G74" s="74">
        <f t="shared" si="5"/>
        <v>2558.63</v>
      </c>
      <c r="N74" s="65"/>
    </row>
    <row r="75" spans="2:14" ht="15.75" customHeight="1" x14ac:dyDescent="0.25">
      <c r="C75" s="63" t="s">
        <v>12</v>
      </c>
      <c r="D75" s="116"/>
      <c r="E75" s="116"/>
      <c r="F75" s="228">
        <v>8375</v>
      </c>
      <c r="G75" s="74">
        <f t="shared" si="5"/>
        <v>8375</v>
      </c>
      <c r="N75" s="65"/>
    </row>
    <row r="76" spans="2:14" x14ac:dyDescent="0.25">
      <c r="C76" s="64" t="s">
        <v>13</v>
      </c>
      <c r="D76" s="116"/>
      <c r="E76" s="116"/>
      <c r="F76" s="344"/>
      <c r="G76" s="74">
        <f t="shared" si="5"/>
        <v>0</v>
      </c>
      <c r="N76" s="65"/>
    </row>
    <row r="77" spans="2:14" x14ac:dyDescent="0.25">
      <c r="C77" s="63" t="s">
        <v>18</v>
      </c>
      <c r="D77" s="116"/>
      <c r="E77" s="116"/>
      <c r="F77" s="228">
        <v>5675</v>
      </c>
      <c r="G77" s="74">
        <f t="shared" si="5"/>
        <v>5675</v>
      </c>
      <c r="N77" s="65"/>
    </row>
    <row r="78" spans="2:14" x14ac:dyDescent="0.25">
      <c r="C78" s="63" t="s">
        <v>14</v>
      </c>
      <c r="D78" s="116"/>
      <c r="E78" s="116"/>
      <c r="F78" s="228">
        <v>67270.02</v>
      </c>
      <c r="G78" s="74">
        <f t="shared" si="5"/>
        <v>67270.02</v>
      </c>
      <c r="N78" s="65"/>
    </row>
    <row r="79" spans="2:14" x14ac:dyDescent="0.25">
      <c r="C79" s="63" t="s">
        <v>184</v>
      </c>
      <c r="D79" s="116"/>
      <c r="E79" s="116"/>
      <c r="F79" s="228">
        <v>7431</v>
      </c>
      <c r="G79" s="74">
        <f t="shared" si="5"/>
        <v>7431</v>
      </c>
      <c r="N79" s="65"/>
    </row>
    <row r="80" spans="2:14" x14ac:dyDescent="0.25">
      <c r="C80" s="68" t="s">
        <v>187</v>
      </c>
      <c r="D80" s="80">
        <f>SUM(D73:D79)</f>
        <v>0</v>
      </c>
      <c r="E80" s="80">
        <f>SUM(E73:E79)</f>
        <v>0</v>
      </c>
      <c r="F80" s="80">
        <f>SUM(F73:F79)</f>
        <v>108197.02</v>
      </c>
      <c r="G80" s="74">
        <f t="shared" si="5"/>
        <v>108197.02</v>
      </c>
      <c r="N80" s="65"/>
    </row>
    <row r="81" spans="2:14" s="67" customFormat="1" x14ac:dyDescent="0.25">
      <c r="C81" s="84"/>
      <c r="D81" s="85"/>
      <c r="E81" s="85"/>
      <c r="F81" s="85"/>
      <c r="G81" s="86"/>
    </row>
    <row r="82" spans="2:14" x14ac:dyDescent="0.25">
      <c r="C82" s="292" t="s">
        <v>85</v>
      </c>
      <c r="D82" s="293"/>
      <c r="E82" s="293"/>
      <c r="F82" s="293"/>
      <c r="G82" s="294"/>
      <c r="N82" s="65"/>
    </row>
    <row r="83" spans="2:14" ht="21.75" customHeight="1" thickBot="1" x14ac:dyDescent="0.3">
      <c r="B83" s="67"/>
      <c r="C83" s="77" t="s">
        <v>185</v>
      </c>
      <c r="D83" s="78">
        <f>'1) Budget Table'!D84</f>
        <v>122380</v>
      </c>
      <c r="E83" s="78">
        <f>'1) Budget Table'!E84</f>
        <v>103000</v>
      </c>
      <c r="F83" s="78">
        <f>'1) Budget Table'!F84</f>
        <v>0</v>
      </c>
      <c r="G83" s="79">
        <f t="shared" ref="G83:G91" si="6">SUM(D83:F83)</f>
        <v>225380</v>
      </c>
      <c r="N83" s="65"/>
    </row>
    <row r="84" spans="2:14" ht="18" customHeight="1" x14ac:dyDescent="0.25">
      <c r="C84" s="75" t="s">
        <v>10</v>
      </c>
      <c r="D84" s="229">
        <v>20380</v>
      </c>
      <c r="E84" s="342"/>
      <c r="F84" s="115"/>
      <c r="G84" s="76">
        <f t="shared" si="6"/>
        <v>20380</v>
      </c>
      <c r="N84" s="65"/>
    </row>
    <row r="85" spans="2:14" ht="15.75" customHeight="1" x14ac:dyDescent="0.25">
      <c r="C85" s="63" t="s">
        <v>11</v>
      </c>
      <c r="D85" s="229">
        <v>5000</v>
      </c>
      <c r="E85" s="343"/>
      <c r="F85" s="22"/>
      <c r="G85" s="74">
        <f t="shared" si="6"/>
        <v>5000</v>
      </c>
      <c r="N85" s="65"/>
    </row>
    <row r="86" spans="2:14" s="67" customFormat="1" ht="15.75" customHeight="1" x14ac:dyDescent="0.25">
      <c r="B86" s="65"/>
      <c r="C86" s="63" t="s">
        <v>12</v>
      </c>
      <c r="D86" s="229"/>
      <c r="E86" s="344"/>
      <c r="F86" s="116"/>
      <c r="G86" s="74">
        <f t="shared" si="6"/>
        <v>0</v>
      </c>
    </row>
    <row r="87" spans="2:14" x14ac:dyDescent="0.25">
      <c r="B87" s="67"/>
      <c r="C87" s="64" t="s">
        <v>13</v>
      </c>
      <c r="D87" s="229">
        <v>16000</v>
      </c>
      <c r="E87" s="344">
        <v>3000</v>
      </c>
      <c r="F87" s="116"/>
      <c r="G87" s="74">
        <f t="shared" si="6"/>
        <v>19000</v>
      </c>
      <c r="N87" s="65"/>
    </row>
    <row r="88" spans="2:14" x14ac:dyDescent="0.25">
      <c r="B88" s="67"/>
      <c r="C88" s="63" t="s">
        <v>18</v>
      </c>
      <c r="D88" s="229">
        <v>10000</v>
      </c>
      <c r="E88" s="344"/>
      <c r="F88" s="116"/>
      <c r="G88" s="74">
        <f t="shared" si="6"/>
        <v>10000</v>
      </c>
      <c r="N88" s="65"/>
    </row>
    <row r="89" spans="2:14" x14ac:dyDescent="0.25">
      <c r="B89" s="67"/>
      <c r="C89" s="63" t="s">
        <v>14</v>
      </c>
      <c r="D89" s="229">
        <v>71000</v>
      </c>
      <c r="E89" s="344">
        <v>100000</v>
      </c>
      <c r="F89" s="116"/>
      <c r="G89" s="74">
        <f t="shared" si="6"/>
        <v>171000</v>
      </c>
      <c r="N89" s="65"/>
    </row>
    <row r="90" spans="2:14" x14ac:dyDescent="0.25">
      <c r="C90" s="63" t="s">
        <v>184</v>
      </c>
      <c r="D90" s="116"/>
      <c r="E90" s="344"/>
      <c r="F90" s="116"/>
      <c r="G90" s="74">
        <f t="shared" si="6"/>
        <v>0</v>
      </c>
      <c r="N90" s="65"/>
    </row>
    <row r="91" spans="2:14" x14ac:dyDescent="0.25">
      <c r="C91" s="68" t="s">
        <v>187</v>
      </c>
      <c r="D91" s="80">
        <f>SUM(D84:D90)</f>
        <v>122380</v>
      </c>
      <c r="E91" s="80">
        <f>SUM(E84:E90)</f>
        <v>103000</v>
      </c>
      <c r="F91" s="80">
        <f>SUM(F84:F90)</f>
        <v>0</v>
      </c>
      <c r="G91" s="74">
        <f t="shared" si="6"/>
        <v>225380</v>
      </c>
      <c r="N91" s="65"/>
    </row>
    <row r="92" spans="2:14" s="67" customFormat="1" x14ac:dyDescent="0.25">
      <c r="C92" s="84"/>
      <c r="D92" s="85"/>
      <c r="E92" s="85"/>
      <c r="F92" s="85"/>
      <c r="G92" s="86"/>
    </row>
    <row r="93" spans="2:14" x14ac:dyDescent="0.25">
      <c r="C93" s="292" t="s">
        <v>102</v>
      </c>
      <c r="D93" s="293"/>
      <c r="E93" s="293"/>
      <c r="F93" s="293"/>
      <c r="G93" s="294"/>
      <c r="N93" s="65"/>
    </row>
    <row r="94" spans="2:14" ht="21.75" customHeight="1" thickBot="1" x14ac:dyDescent="0.3">
      <c r="C94" s="77" t="s">
        <v>185</v>
      </c>
      <c r="D94" s="78">
        <f>'1) Budget Table'!D94</f>
        <v>0</v>
      </c>
      <c r="E94" s="78">
        <f>'1) Budget Table'!E94</f>
        <v>0</v>
      </c>
      <c r="F94" s="78">
        <f>'1) Budget Table'!F94</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92" t="s">
        <v>195</v>
      </c>
      <c r="C104" s="293"/>
      <c r="D104" s="293"/>
      <c r="E104" s="293"/>
      <c r="F104" s="293"/>
      <c r="G104" s="294"/>
      <c r="N104" s="65"/>
    </row>
    <row r="105" spans="2:14" x14ac:dyDescent="0.25">
      <c r="C105" s="292" t="s">
        <v>104</v>
      </c>
      <c r="D105" s="293"/>
      <c r="E105" s="293"/>
      <c r="F105" s="293"/>
      <c r="G105" s="294"/>
      <c r="N105" s="65"/>
    </row>
    <row r="106" spans="2:14" ht="22.5" customHeight="1" thickBot="1" x14ac:dyDescent="0.3">
      <c r="C106" s="77" t="s">
        <v>185</v>
      </c>
      <c r="D106" s="78">
        <f>'1) Budget Table'!D106</f>
        <v>0</v>
      </c>
      <c r="E106" s="78">
        <f>'1) Budget Table'!E106</f>
        <v>0</v>
      </c>
      <c r="F106" s="78">
        <f>'1) Budget Table'!F106</f>
        <v>148077.20000000001</v>
      </c>
      <c r="G106" s="79">
        <f>SUM(D106:F106)</f>
        <v>148077.20000000001</v>
      </c>
      <c r="N106" s="65"/>
    </row>
    <row r="107" spans="2:14" x14ac:dyDescent="0.25">
      <c r="C107" s="75" t="s">
        <v>10</v>
      </c>
      <c r="D107" s="114"/>
      <c r="E107" s="115"/>
      <c r="F107" s="226">
        <v>16887.37</v>
      </c>
      <c r="G107" s="76">
        <f t="shared" ref="G107:G114" si="8">SUM(D107:F107)</f>
        <v>16887.37</v>
      </c>
      <c r="N107" s="65"/>
    </row>
    <row r="108" spans="2:14" x14ac:dyDescent="0.25">
      <c r="C108" s="63" t="s">
        <v>11</v>
      </c>
      <c r="D108" s="116"/>
      <c r="E108" s="22"/>
      <c r="F108" s="226">
        <v>2558.62</v>
      </c>
      <c r="G108" s="74">
        <f t="shared" si="8"/>
        <v>2558.62</v>
      </c>
      <c r="N108" s="65"/>
    </row>
    <row r="109" spans="2:14" ht="15.75" customHeight="1" x14ac:dyDescent="0.25">
      <c r="C109" s="63" t="s">
        <v>12</v>
      </c>
      <c r="D109" s="116"/>
      <c r="E109" s="116"/>
      <c r="F109" s="226">
        <v>8375</v>
      </c>
      <c r="G109" s="74">
        <f t="shared" si="8"/>
        <v>8375</v>
      </c>
      <c r="N109" s="65"/>
    </row>
    <row r="110" spans="2:14" x14ac:dyDescent="0.25">
      <c r="C110" s="64" t="s">
        <v>13</v>
      </c>
      <c r="D110" s="116"/>
      <c r="E110" s="116"/>
      <c r="F110" s="344"/>
      <c r="G110" s="74">
        <f t="shared" si="8"/>
        <v>0</v>
      </c>
      <c r="N110" s="65"/>
    </row>
    <row r="111" spans="2:14" x14ac:dyDescent="0.25">
      <c r="C111" s="63" t="s">
        <v>18</v>
      </c>
      <c r="D111" s="116"/>
      <c r="E111" s="116"/>
      <c r="F111" s="226">
        <v>5650</v>
      </c>
      <c r="G111" s="74">
        <f t="shared" si="8"/>
        <v>5650</v>
      </c>
      <c r="N111" s="65"/>
    </row>
    <row r="112" spans="2:14" x14ac:dyDescent="0.25">
      <c r="C112" s="63" t="s">
        <v>14</v>
      </c>
      <c r="D112" s="116"/>
      <c r="E112" s="116"/>
      <c r="F112" s="226">
        <v>107168.21</v>
      </c>
      <c r="G112" s="74">
        <f t="shared" si="8"/>
        <v>107168.21</v>
      </c>
      <c r="N112" s="65"/>
    </row>
    <row r="113" spans="3:14" x14ac:dyDescent="0.25">
      <c r="C113" s="63" t="s">
        <v>184</v>
      </c>
      <c r="D113" s="116"/>
      <c r="E113" s="116"/>
      <c r="F113" s="226">
        <v>7438</v>
      </c>
      <c r="G113" s="74">
        <f t="shared" si="8"/>
        <v>7438</v>
      </c>
      <c r="N113" s="65"/>
    </row>
    <row r="114" spans="3:14" x14ac:dyDescent="0.25">
      <c r="C114" s="68" t="s">
        <v>187</v>
      </c>
      <c r="D114" s="80">
        <f>SUM(D107:D113)</f>
        <v>0</v>
      </c>
      <c r="E114" s="80">
        <f>SUM(E107:E113)</f>
        <v>0</v>
      </c>
      <c r="F114" s="80">
        <f>SUM(F107:F113)</f>
        <v>148077.20000000001</v>
      </c>
      <c r="G114" s="74">
        <f t="shared" si="8"/>
        <v>148077.20000000001</v>
      </c>
      <c r="N114" s="65"/>
    </row>
    <row r="115" spans="3:14" s="67" customFormat="1" x14ac:dyDescent="0.25">
      <c r="C115" s="84"/>
      <c r="D115" s="85"/>
      <c r="E115" s="85"/>
      <c r="F115" s="85"/>
      <c r="G115" s="86"/>
    </row>
    <row r="116" spans="3:14" ht="15.75" customHeight="1" x14ac:dyDescent="0.25">
      <c r="C116" s="292" t="s">
        <v>196</v>
      </c>
      <c r="D116" s="293"/>
      <c r="E116" s="293"/>
      <c r="F116" s="293"/>
      <c r="G116" s="294"/>
      <c r="N116" s="65"/>
    </row>
    <row r="117" spans="3:14" ht="21.75" customHeight="1" thickBot="1" x14ac:dyDescent="0.3">
      <c r="C117" s="77" t="s">
        <v>185</v>
      </c>
      <c r="D117" s="78">
        <f>'1) Budget Table'!D116</f>
        <v>120627</v>
      </c>
      <c r="E117" s="78">
        <f>'1) Budget Table'!E116</f>
        <v>0</v>
      </c>
      <c r="F117" s="78">
        <f>'1) Budget Table'!F116</f>
        <v>37874.199999999997</v>
      </c>
      <c r="G117" s="79">
        <f t="shared" ref="G117:G125" si="9">SUM(D117:F117)</f>
        <v>158501.20000000001</v>
      </c>
      <c r="N117" s="65"/>
    </row>
    <row r="118" spans="3:14" x14ac:dyDescent="0.25">
      <c r="C118" s="75" t="s">
        <v>10</v>
      </c>
      <c r="D118" s="229">
        <f>26000</f>
        <v>26000</v>
      </c>
      <c r="E118" s="115"/>
      <c r="F118" s="345">
        <v>16800.009999999998</v>
      </c>
      <c r="G118" s="76">
        <f t="shared" si="9"/>
        <v>42800.009999999995</v>
      </c>
      <c r="N118" s="65"/>
    </row>
    <row r="119" spans="3:14" x14ac:dyDescent="0.25">
      <c r="C119" s="63" t="s">
        <v>11</v>
      </c>
      <c r="D119" s="229"/>
      <c r="E119" s="22"/>
      <c r="F119" s="345"/>
      <c r="G119" s="74">
        <f t="shared" si="9"/>
        <v>0</v>
      </c>
      <c r="N119" s="65"/>
    </row>
    <row r="120" spans="3:14" ht="31.5" x14ac:dyDescent="0.25">
      <c r="C120" s="63" t="s">
        <v>12</v>
      </c>
      <c r="D120" s="229"/>
      <c r="E120" s="116"/>
      <c r="F120" s="345">
        <v>8375</v>
      </c>
      <c r="G120" s="74">
        <f t="shared" si="9"/>
        <v>8375</v>
      </c>
      <c r="N120" s="65"/>
    </row>
    <row r="121" spans="3:14" x14ac:dyDescent="0.25">
      <c r="C121" s="64" t="s">
        <v>13</v>
      </c>
      <c r="D121" s="229">
        <f>3100</f>
        <v>3100</v>
      </c>
      <c r="E121" s="116"/>
      <c r="F121" s="345"/>
      <c r="G121" s="74">
        <f t="shared" si="9"/>
        <v>3100</v>
      </c>
      <c r="N121" s="65"/>
    </row>
    <row r="122" spans="3:14" x14ac:dyDescent="0.25">
      <c r="C122" s="63" t="s">
        <v>18</v>
      </c>
      <c r="D122" s="229">
        <f>9927+5000</f>
        <v>14927</v>
      </c>
      <c r="E122" s="116"/>
      <c r="F122" s="345"/>
      <c r="G122" s="74">
        <f t="shared" si="9"/>
        <v>14927</v>
      </c>
      <c r="N122" s="65"/>
    </row>
    <row r="123" spans="3:14" x14ac:dyDescent="0.25">
      <c r="C123" s="63" t="s">
        <v>14</v>
      </c>
      <c r="D123" s="229">
        <f>28000+44600</f>
        <v>72600</v>
      </c>
      <c r="E123" s="116"/>
      <c r="F123" s="345">
        <v>5261.16</v>
      </c>
      <c r="G123" s="74">
        <f t="shared" si="9"/>
        <v>77861.16</v>
      </c>
      <c r="N123" s="65"/>
    </row>
    <row r="124" spans="3:14" x14ac:dyDescent="0.25">
      <c r="C124" s="63" t="s">
        <v>184</v>
      </c>
      <c r="D124" s="229">
        <v>4000</v>
      </c>
      <c r="E124" s="116"/>
      <c r="F124" s="345">
        <v>7438</v>
      </c>
      <c r="G124" s="74">
        <f t="shared" si="9"/>
        <v>11438</v>
      </c>
      <c r="N124" s="65"/>
    </row>
    <row r="125" spans="3:14" x14ac:dyDescent="0.25">
      <c r="C125" s="68" t="s">
        <v>187</v>
      </c>
      <c r="D125" s="80">
        <f>SUM(D118:D124)</f>
        <v>120627</v>
      </c>
      <c r="E125" s="80">
        <f>SUM(E118:E124)</f>
        <v>0</v>
      </c>
      <c r="F125" s="80">
        <f>SUM(F118:F124)</f>
        <v>37874.17</v>
      </c>
      <c r="G125" s="74">
        <f t="shared" si="9"/>
        <v>158501.16999999998</v>
      </c>
      <c r="N125" s="65"/>
    </row>
    <row r="126" spans="3:14" s="67" customFormat="1" x14ac:dyDescent="0.25">
      <c r="C126" s="84"/>
      <c r="D126" s="85"/>
      <c r="E126" s="85"/>
      <c r="F126" s="85"/>
      <c r="G126" s="86"/>
    </row>
    <row r="127" spans="3:14" x14ac:dyDescent="0.25">
      <c r="C127" s="292" t="s">
        <v>121</v>
      </c>
      <c r="D127" s="293"/>
      <c r="E127" s="293"/>
      <c r="F127" s="293"/>
      <c r="G127" s="294"/>
      <c r="N127" s="65"/>
    </row>
    <row r="128" spans="3:14" ht="21" customHeight="1" thickBot="1" x14ac:dyDescent="0.3">
      <c r="C128" s="77" t="s">
        <v>185</v>
      </c>
      <c r="D128" s="78">
        <f>'1) Budget Table'!D126</f>
        <v>88003.33</v>
      </c>
      <c r="E128" s="78">
        <f>'1) Budget Table'!E126</f>
        <v>4500.18</v>
      </c>
      <c r="F128" s="78">
        <f>'1) Budget Table'!F126</f>
        <v>0</v>
      </c>
      <c r="G128" s="79">
        <f t="shared" ref="G128:G136" si="10">SUM(D128:F128)</f>
        <v>92503.510000000009</v>
      </c>
      <c r="N128" s="65"/>
    </row>
    <row r="129" spans="3:14" x14ac:dyDescent="0.25">
      <c r="C129" s="75" t="s">
        <v>10</v>
      </c>
      <c r="D129" s="229">
        <v>15000</v>
      </c>
      <c r="E129" s="342"/>
      <c r="F129" s="115"/>
      <c r="G129" s="76">
        <f t="shared" si="10"/>
        <v>15000</v>
      </c>
      <c r="N129" s="65"/>
    </row>
    <row r="130" spans="3:14" x14ac:dyDescent="0.25">
      <c r="C130" s="63" t="s">
        <v>11</v>
      </c>
      <c r="D130" s="229"/>
      <c r="E130" s="343">
        <v>4500.18</v>
      </c>
      <c r="F130" s="22"/>
      <c r="G130" s="74">
        <f t="shared" si="10"/>
        <v>4500.18</v>
      </c>
      <c r="N130" s="65"/>
    </row>
    <row r="131" spans="3:14" ht="31.5" x14ac:dyDescent="0.25">
      <c r="C131" s="63" t="s">
        <v>12</v>
      </c>
      <c r="D131" s="229"/>
      <c r="E131" s="344"/>
      <c r="F131" s="116"/>
      <c r="G131" s="74">
        <f t="shared" si="10"/>
        <v>0</v>
      </c>
      <c r="N131" s="65"/>
    </row>
    <row r="132" spans="3:14" x14ac:dyDescent="0.25">
      <c r="C132" s="64" t="s">
        <v>13</v>
      </c>
      <c r="D132" s="229">
        <v>8000</v>
      </c>
      <c r="E132" s="344"/>
      <c r="F132" s="116"/>
      <c r="G132" s="74">
        <f t="shared" si="10"/>
        <v>8000</v>
      </c>
      <c r="N132" s="65"/>
    </row>
    <row r="133" spans="3:14" x14ac:dyDescent="0.25">
      <c r="C133" s="63" t="s">
        <v>18</v>
      </c>
      <c r="D133" s="229"/>
      <c r="E133" s="344"/>
      <c r="F133" s="116"/>
      <c r="G133" s="74">
        <f t="shared" si="10"/>
        <v>0</v>
      </c>
      <c r="N133" s="65"/>
    </row>
    <row r="134" spans="3:14" x14ac:dyDescent="0.25">
      <c r="C134" s="63" t="s">
        <v>14</v>
      </c>
      <c r="D134" s="229">
        <v>64003.360000000001</v>
      </c>
      <c r="E134" s="344"/>
      <c r="F134" s="116"/>
      <c r="G134" s="74">
        <f t="shared" si="10"/>
        <v>64003.360000000001</v>
      </c>
      <c r="N134" s="65"/>
    </row>
    <row r="135" spans="3:14" x14ac:dyDescent="0.25">
      <c r="C135" s="63" t="s">
        <v>184</v>
      </c>
      <c r="D135" s="229">
        <v>1000</v>
      </c>
      <c r="E135" s="344"/>
      <c r="F135" s="116"/>
      <c r="G135" s="74">
        <f t="shared" si="10"/>
        <v>1000</v>
      </c>
      <c r="N135" s="65"/>
    </row>
    <row r="136" spans="3:14" x14ac:dyDescent="0.25">
      <c r="C136" s="68" t="s">
        <v>187</v>
      </c>
      <c r="D136" s="80">
        <f>SUM(D129:D135)</f>
        <v>88003.36</v>
      </c>
      <c r="E136" s="80">
        <f>SUM(E129:E135)</f>
        <v>4500.18</v>
      </c>
      <c r="F136" s="80">
        <f>SUM(F129:F135)</f>
        <v>0</v>
      </c>
      <c r="G136" s="74">
        <f t="shared" si="10"/>
        <v>92503.540000000008</v>
      </c>
      <c r="N136" s="65"/>
    </row>
    <row r="137" spans="3:14" s="67" customFormat="1" x14ac:dyDescent="0.25">
      <c r="C137" s="84"/>
      <c r="D137" s="85"/>
      <c r="E137" s="85"/>
      <c r="F137" s="85"/>
      <c r="G137" s="86"/>
    </row>
    <row r="138" spans="3:14" x14ac:dyDescent="0.25">
      <c r="C138" s="292" t="s">
        <v>130</v>
      </c>
      <c r="D138" s="293"/>
      <c r="E138" s="293"/>
      <c r="F138" s="293"/>
      <c r="G138" s="294"/>
      <c r="N138" s="65"/>
    </row>
    <row r="139" spans="3:14" ht="24" customHeight="1" thickBot="1" x14ac:dyDescent="0.3">
      <c r="C139" s="77" t="s">
        <v>185</v>
      </c>
      <c r="D139" s="78">
        <f>'1) Budget Table'!D136</f>
        <v>0</v>
      </c>
      <c r="E139" s="78">
        <f>'1) Budget Table'!E136</f>
        <v>0</v>
      </c>
      <c r="F139" s="78">
        <f>'1) Budget Table'!F136</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92" t="s">
        <v>197</v>
      </c>
      <c r="C149" s="293"/>
      <c r="D149" s="293"/>
      <c r="E149" s="293"/>
      <c r="F149" s="293"/>
      <c r="G149" s="294"/>
    </row>
    <row r="150" spans="2:7" s="69" customFormat="1" x14ac:dyDescent="0.25">
      <c r="B150" s="65"/>
      <c r="C150" s="292" t="s">
        <v>140</v>
      </c>
      <c r="D150" s="293"/>
      <c r="E150" s="293"/>
      <c r="F150" s="293"/>
      <c r="G150" s="294"/>
    </row>
    <row r="151" spans="2:7" s="69" customFormat="1" ht="24" customHeight="1" thickBot="1" x14ac:dyDescent="0.3">
      <c r="B151" s="65"/>
      <c r="C151" s="77" t="s">
        <v>185</v>
      </c>
      <c r="D151" s="78">
        <f>'1) Budget Table'!D148</f>
        <v>0</v>
      </c>
      <c r="E151" s="78">
        <f>'1) Budget Table'!E148</f>
        <v>0</v>
      </c>
      <c r="F151" s="78">
        <f>'1) Budget Table'!F148</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92" t="s">
        <v>149</v>
      </c>
      <c r="D161" s="293"/>
      <c r="E161" s="293"/>
      <c r="F161" s="293"/>
      <c r="G161" s="294"/>
    </row>
    <row r="162" spans="3:7" s="69" customFormat="1" ht="21" customHeight="1" thickBot="1" x14ac:dyDescent="0.3">
      <c r="C162" s="77" t="s">
        <v>185</v>
      </c>
      <c r="D162" s="78">
        <f>'1) Budget Table'!D158</f>
        <v>0</v>
      </c>
      <c r="E162" s="78">
        <f>'1) Budget Table'!E158</f>
        <v>0</v>
      </c>
      <c r="F162" s="78">
        <f>'1) Budget Table'!F158</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92" t="s">
        <v>158</v>
      </c>
      <c r="D172" s="293"/>
      <c r="E172" s="293"/>
      <c r="F172" s="293"/>
      <c r="G172" s="294"/>
    </row>
    <row r="173" spans="3:7" s="69" customFormat="1" ht="19.5" customHeight="1" thickBot="1" x14ac:dyDescent="0.3">
      <c r="C173" s="77" t="s">
        <v>185</v>
      </c>
      <c r="D173" s="78">
        <f>'1) Budget Table'!D168</f>
        <v>0</v>
      </c>
      <c r="E173" s="78">
        <f>'1) Budget Table'!E168</f>
        <v>0</v>
      </c>
      <c r="F173" s="78">
        <f>'1) Budget Table'!F168</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92" t="s">
        <v>167</v>
      </c>
      <c r="D183" s="293"/>
      <c r="E183" s="293"/>
      <c r="F183" s="293"/>
      <c r="G183" s="294"/>
    </row>
    <row r="184" spans="3:7" s="69" customFormat="1" ht="22.5" customHeight="1" thickBot="1" x14ac:dyDescent="0.3">
      <c r="C184" s="77" t="s">
        <v>185</v>
      </c>
      <c r="D184" s="78">
        <f>'1) Budget Table'!D178</f>
        <v>0</v>
      </c>
      <c r="E184" s="78">
        <f>'1) Budget Table'!E178</f>
        <v>0</v>
      </c>
      <c r="F184" s="78">
        <f>'1) Budget Table'!F178</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92" t="s">
        <v>555</v>
      </c>
      <c r="D194" s="293"/>
      <c r="E194" s="293"/>
      <c r="F194" s="293"/>
      <c r="G194" s="294"/>
    </row>
    <row r="195" spans="3:7" s="69" customFormat="1" ht="19.5" customHeight="1" thickBot="1" x14ac:dyDescent="0.3">
      <c r="C195" s="77" t="s">
        <v>556</v>
      </c>
      <c r="D195" s="78">
        <f>'1) Budget Table'!D185</f>
        <v>507009.33999999997</v>
      </c>
      <c r="E195" s="78">
        <f>'1) Budget Table'!E185</f>
        <v>0</v>
      </c>
      <c r="F195" s="78">
        <f>'1) Budget Table'!F185</f>
        <v>0</v>
      </c>
      <c r="G195" s="79">
        <f t="shared" ref="G195:G203" si="16">SUM(D195:F195)</f>
        <v>507009.33999999997</v>
      </c>
    </row>
    <row r="196" spans="3:7" s="69" customFormat="1" ht="15.75" customHeight="1" x14ac:dyDescent="0.25">
      <c r="C196" s="75" t="s">
        <v>10</v>
      </c>
      <c r="D196" s="229">
        <f>42379.15+64864.72</f>
        <v>107243.87</v>
      </c>
      <c r="E196" s="115"/>
      <c r="F196" s="115"/>
      <c r="G196" s="76">
        <f t="shared" si="16"/>
        <v>107243.87</v>
      </c>
    </row>
    <row r="197" spans="3:7" s="69" customFormat="1" ht="15.75" customHeight="1" x14ac:dyDescent="0.25">
      <c r="C197" s="63" t="s">
        <v>11</v>
      </c>
      <c r="D197" s="229">
        <f>3000+5000</f>
        <v>8000</v>
      </c>
      <c r="E197" s="22"/>
      <c r="F197" s="22"/>
      <c r="G197" s="74">
        <f t="shared" si="16"/>
        <v>8000</v>
      </c>
    </row>
    <row r="198" spans="3:7" s="69" customFormat="1" ht="15.75" customHeight="1" x14ac:dyDescent="0.25">
      <c r="C198" s="63" t="s">
        <v>12</v>
      </c>
      <c r="D198" s="229">
        <v>0</v>
      </c>
      <c r="E198" s="116"/>
      <c r="F198" s="116"/>
      <c r="G198" s="74">
        <f t="shared" si="16"/>
        <v>0</v>
      </c>
    </row>
    <row r="199" spans="3:7" s="69" customFormat="1" ht="15.75" customHeight="1" x14ac:dyDescent="0.25">
      <c r="C199" s="64" t="s">
        <v>13</v>
      </c>
      <c r="D199" s="229">
        <f>77571.06+85000</f>
        <v>162571.06</v>
      </c>
      <c r="E199" s="116"/>
      <c r="F199" s="116"/>
      <c r="G199" s="74">
        <f t="shared" si="16"/>
        <v>162571.06</v>
      </c>
    </row>
    <row r="200" spans="3:7" s="69" customFormat="1" ht="15.75" customHeight="1" x14ac:dyDescent="0.25">
      <c r="C200" s="63" t="s">
        <v>18</v>
      </c>
      <c r="D200" s="229">
        <f>10000</f>
        <v>10000</v>
      </c>
      <c r="E200" s="116"/>
      <c r="F200" s="116"/>
      <c r="G200" s="74">
        <f t="shared" si="16"/>
        <v>10000</v>
      </c>
    </row>
    <row r="201" spans="3:7" s="69" customFormat="1" ht="15.75" customHeight="1" x14ac:dyDescent="0.25">
      <c r="C201" s="63" t="s">
        <v>14</v>
      </c>
      <c r="D201" s="229">
        <f>85461+123733.41</f>
        <v>209194.41</v>
      </c>
      <c r="E201" s="116"/>
      <c r="F201" s="116"/>
      <c r="G201" s="74">
        <f t="shared" si="16"/>
        <v>209194.41</v>
      </c>
    </row>
    <row r="202" spans="3:7" s="69" customFormat="1" ht="15.75" customHeight="1" x14ac:dyDescent="0.25">
      <c r="C202" s="63" t="s">
        <v>184</v>
      </c>
      <c r="D202" s="229">
        <f>10000</f>
        <v>10000</v>
      </c>
      <c r="E202" s="116"/>
      <c r="F202" s="116"/>
      <c r="G202" s="74">
        <f t="shared" si="16"/>
        <v>10000</v>
      </c>
    </row>
    <row r="203" spans="3:7" s="69" customFormat="1" ht="15.75" customHeight="1" x14ac:dyDescent="0.25">
      <c r="C203" s="68" t="s">
        <v>187</v>
      </c>
      <c r="D203" s="80">
        <f>SUM(D196:D202)</f>
        <v>507009.33999999997</v>
      </c>
      <c r="E203" s="80">
        <f>SUM(E196:E202)</f>
        <v>0</v>
      </c>
      <c r="F203" s="80">
        <f>SUM(F196:F202)</f>
        <v>0</v>
      </c>
      <c r="G203" s="74">
        <f t="shared" si="16"/>
        <v>507009.33999999997</v>
      </c>
    </row>
    <row r="204" spans="3:7" s="69" customFormat="1" ht="15.75" customHeight="1" thickBot="1" x14ac:dyDescent="0.3">
      <c r="C204" s="65"/>
      <c r="D204" s="67"/>
      <c r="E204" s="67"/>
      <c r="F204" s="67"/>
      <c r="G204" s="65"/>
    </row>
    <row r="205" spans="3:7" s="69" customFormat="1" ht="19.5" customHeight="1" thickBot="1" x14ac:dyDescent="0.3">
      <c r="C205" s="311" t="s">
        <v>19</v>
      </c>
      <c r="D205" s="312"/>
      <c r="E205" s="312"/>
      <c r="F205" s="312"/>
      <c r="G205" s="313"/>
    </row>
    <row r="206" spans="3:7" s="69" customFormat="1" ht="19.5" customHeight="1" x14ac:dyDescent="0.25">
      <c r="C206" s="92"/>
      <c r="D206" s="73" t="s">
        <v>548</v>
      </c>
      <c r="E206" s="73" t="s">
        <v>549</v>
      </c>
      <c r="F206" s="73" t="s">
        <v>550</v>
      </c>
      <c r="G206" s="303" t="s">
        <v>19</v>
      </c>
    </row>
    <row r="207" spans="3:7" s="69" customFormat="1" ht="19.5" customHeight="1" x14ac:dyDescent="0.25">
      <c r="C207" s="92"/>
      <c r="D207" s="66" t="str">
        <f>'1) Budget Table'!D11</f>
        <v>ONU Mujeres</v>
      </c>
      <c r="E207" s="66" t="str">
        <f>'1) Budget Table'!E11</f>
        <v>OACNUDH</v>
      </c>
      <c r="F207" s="66" t="str">
        <f>'1) Budget Table'!F11</f>
        <v>FAO</v>
      </c>
      <c r="G207" s="304"/>
    </row>
    <row r="208" spans="3:7" s="69" customFormat="1" ht="19.5" customHeight="1" x14ac:dyDescent="0.25">
      <c r="C208" s="24" t="s">
        <v>10</v>
      </c>
      <c r="D208" s="93">
        <f t="shared" ref="D208:F211" si="17">SUM(D185,D174,D163,D152,D140,D129,D118,D107,D95,D84,D73,D62,D50,D39,D28,D17,D196)</f>
        <v>224723.87</v>
      </c>
      <c r="E208" s="93">
        <f t="shared" si="17"/>
        <v>37000</v>
      </c>
      <c r="F208" s="93">
        <f t="shared" si="17"/>
        <v>60766</v>
      </c>
      <c r="G208" s="90">
        <f t="shared" ref="G208:G215" si="18">SUM(D208:F208)</f>
        <v>322489.87</v>
      </c>
    </row>
    <row r="209" spans="3:14" s="69" customFormat="1" ht="34.5" customHeight="1" x14ac:dyDescent="0.25">
      <c r="C209" s="24" t="s">
        <v>11</v>
      </c>
      <c r="D209" s="93">
        <f t="shared" si="17"/>
        <v>17000</v>
      </c>
      <c r="E209" s="93">
        <f t="shared" si="17"/>
        <v>8500.18</v>
      </c>
      <c r="F209" s="93">
        <f t="shared" si="17"/>
        <v>6823</v>
      </c>
      <c r="G209" s="91">
        <f t="shared" si="18"/>
        <v>32323.18</v>
      </c>
    </row>
    <row r="210" spans="3:14" s="69" customFormat="1" ht="48" customHeight="1" x14ac:dyDescent="0.25">
      <c r="C210" s="24" t="s">
        <v>12</v>
      </c>
      <c r="D210" s="93">
        <f t="shared" si="17"/>
        <v>12000</v>
      </c>
      <c r="E210" s="93">
        <f t="shared" si="17"/>
        <v>5000</v>
      </c>
      <c r="F210" s="93">
        <f t="shared" si="17"/>
        <v>33500</v>
      </c>
      <c r="G210" s="91">
        <f t="shared" si="18"/>
        <v>50500</v>
      </c>
    </row>
    <row r="211" spans="3:14" s="69" customFormat="1" ht="33" customHeight="1" x14ac:dyDescent="0.25">
      <c r="C211" s="39" t="s">
        <v>13</v>
      </c>
      <c r="D211" s="93">
        <f t="shared" si="17"/>
        <v>206139.56</v>
      </c>
      <c r="E211" s="93">
        <f t="shared" si="17"/>
        <v>9000</v>
      </c>
      <c r="F211" s="93">
        <f t="shared" si="17"/>
        <v>0</v>
      </c>
      <c r="G211" s="91">
        <f t="shared" si="18"/>
        <v>215139.56</v>
      </c>
    </row>
    <row r="212" spans="3:14" s="69" customFormat="1" ht="21" customHeight="1" x14ac:dyDescent="0.25">
      <c r="C212" s="24" t="s">
        <v>18</v>
      </c>
      <c r="D212" s="93">
        <f t="shared" ref="D212:F214" si="19">SUM(D189,D178,D167,D156,D144,D133,D122,D111,D99,D88,D77,D66,D54,D43,D32,D21,D200)</f>
        <v>47927</v>
      </c>
      <c r="E212" s="93">
        <f t="shared" si="19"/>
        <v>12201</v>
      </c>
      <c r="F212" s="93">
        <f t="shared" si="19"/>
        <v>15100</v>
      </c>
      <c r="G212" s="91">
        <f t="shared" si="18"/>
        <v>75228</v>
      </c>
      <c r="H212" s="28"/>
      <c r="I212" s="28"/>
      <c r="J212" s="28"/>
      <c r="K212" s="28"/>
      <c r="L212" s="28"/>
      <c r="M212" s="27"/>
    </row>
    <row r="213" spans="3:14" s="69" customFormat="1" ht="39.75" customHeight="1" x14ac:dyDescent="0.25">
      <c r="C213" s="24" t="s">
        <v>14</v>
      </c>
      <c r="D213" s="93">
        <f t="shared" si="19"/>
        <v>717881.18</v>
      </c>
      <c r="E213" s="93">
        <f t="shared" si="19"/>
        <v>150581</v>
      </c>
      <c r="F213" s="93">
        <f t="shared" si="19"/>
        <v>239332.39</v>
      </c>
      <c r="G213" s="91">
        <f t="shared" si="18"/>
        <v>1107794.57</v>
      </c>
      <c r="H213" s="28"/>
      <c r="I213" s="28"/>
      <c r="J213" s="28"/>
      <c r="K213" s="28"/>
      <c r="L213" s="28"/>
      <c r="M213" s="27"/>
    </row>
    <row r="214" spans="3:14" s="69" customFormat="1" ht="23.25" customHeight="1" x14ac:dyDescent="0.25">
      <c r="C214" s="24" t="s">
        <v>184</v>
      </c>
      <c r="D214" s="158">
        <f t="shared" si="19"/>
        <v>29432.1</v>
      </c>
      <c r="E214" s="158">
        <f t="shared" si="19"/>
        <v>6500</v>
      </c>
      <c r="F214" s="158">
        <f t="shared" si="19"/>
        <v>29752.010000000002</v>
      </c>
      <c r="G214" s="91">
        <f t="shared" si="18"/>
        <v>65684.11</v>
      </c>
      <c r="H214" s="28"/>
      <c r="I214" s="28"/>
      <c r="J214" s="28"/>
      <c r="K214" s="28"/>
      <c r="L214" s="28"/>
      <c r="M214" s="27"/>
    </row>
    <row r="215" spans="3:14" s="69" customFormat="1" ht="22.5" customHeight="1" x14ac:dyDescent="0.25">
      <c r="C215" s="160" t="s">
        <v>561</v>
      </c>
      <c r="D215" s="159">
        <f>SUM(D208:D214)</f>
        <v>1255103.7100000002</v>
      </c>
      <c r="E215" s="159">
        <f>SUM(E208:E214)</f>
        <v>228782.18</v>
      </c>
      <c r="F215" s="159">
        <f>SUM(F208:F214)</f>
        <v>385273.4</v>
      </c>
      <c r="G215" s="161">
        <f t="shared" si="18"/>
        <v>1869159.29</v>
      </c>
      <c r="H215" s="28"/>
      <c r="I215" s="28"/>
      <c r="J215" s="28"/>
      <c r="K215" s="28"/>
      <c r="L215" s="28"/>
      <c r="M215" s="27"/>
    </row>
    <row r="216" spans="3:14" s="69" customFormat="1" ht="26.25" customHeight="1" thickBot="1" x14ac:dyDescent="0.3">
      <c r="C216" s="164" t="s">
        <v>559</v>
      </c>
      <c r="D216" s="95">
        <f>D215*0.07</f>
        <v>87857.259700000024</v>
      </c>
      <c r="E216" s="95">
        <f t="shared" ref="E216:G216" si="20">E215*0.07</f>
        <v>16014.752600000002</v>
      </c>
      <c r="F216" s="95">
        <f t="shared" si="20"/>
        <v>26969.138000000003</v>
      </c>
      <c r="G216" s="165">
        <f t="shared" si="20"/>
        <v>130841.15030000001</v>
      </c>
      <c r="H216" s="41"/>
      <c r="I216" s="41"/>
      <c r="J216" s="41"/>
      <c r="K216" s="41"/>
      <c r="L216" s="70"/>
      <c r="M216" s="67"/>
    </row>
    <row r="217" spans="3:14" s="69" customFormat="1" ht="23.25" customHeight="1" thickBot="1" x14ac:dyDescent="0.3">
      <c r="C217" s="162" t="s">
        <v>560</v>
      </c>
      <c r="D217" s="163">
        <f>SUM(D215:D216)</f>
        <v>1342960.9697000002</v>
      </c>
      <c r="E217" s="163">
        <f t="shared" ref="E217:G217" si="21">SUM(E215:E216)</f>
        <v>244796.9326</v>
      </c>
      <c r="F217" s="163">
        <f t="shared" si="21"/>
        <v>412242.538</v>
      </c>
      <c r="G217" s="94">
        <f t="shared" si="21"/>
        <v>2000000.4403000001</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Table'!$G$198</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71093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327" t="s">
        <v>570</v>
      </c>
      <c r="C2" s="328"/>
      <c r="D2" s="329"/>
    </row>
    <row r="3" spans="2:4" ht="15.75" thickBot="1" x14ac:dyDescent="0.3">
      <c r="B3" s="330"/>
      <c r="C3" s="331"/>
      <c r="D3" s="332"/>
    </row>
    <row r="4" spans="2:4" ht="15.75" thickBot="1" x14ac:dyDescent="0.3"/>
    <row r="5" spans="2:4" x14ac:dyDescent="0.25">
      <c r="B5" s="318" t="s">
        <v>188</v>
      </c>
      <c r="C5" s="319"/>
      <c r="D5" s="320"/>
    </row>
    <row r="6" spans="2:4" ht="15.75" thickBot="1" x14ac:dyDescent="0.3">
      <c r="B6" s="321"/>
      <c r="C6" s="322"/>
      <c r="D6" s="323"/>
    </row>
    <row r="7" spans="2:4" x14ac:dyDescent="0.25">
      <c r="B7" s="103" t="s">
        <v>198</v>
      </c>
      <c r="C7" s="316">
        <f>SUM('1) Budget Table'!D22:F22,'1) Budget Table'!D32:F32,'1) Budget Table'!D42:F42,'1) Budget Table'!D52:F52)</f>
        <v>488381.81</v>
      </c>
      <c r="D7" s="317"/>
    </row>
    <row r="8" spans="2:4" x14ac:dyDescent="0.25">
      <c r="B8" s="103" t="s">
        <v>545</v>
      </c>
      <c r="C8" s="314">
        <f>SUM(D10:D14)</f>
        <v>0</v>
      </c>
      <c r="D8" s="315"/>
    </row>
    <row r="9" spans="2:4" x14ac:dyDescent="0.25">
      <c r="B9" s="104" t="s">
        <v>539</v>
      </c>
      <c r="C9" s="105" t="s">
        <v>540</v>
      </c>
      <c r="D9" s="106" t="s">
        <v>541</v>
      </c>
    </row>
    <row r="10" spans="2:4" ht="35.25" customHeight="1" x14ac:dyDescent="0.25">
      <c r="B10" s="131"/>
      <c r="C10" s="108"/>
      <c r="D10" s="109">
        <f>$C$7*C10</f>
        <v>0</v>
      </c>
    </row>
    <row r="11" spans="2:4" ht="35.25" customHeight="1" x14ac:dyDescent="0.25">
      <c r="B11" s="131"/>
      <c r="C11" s="108"/>
      <c r="D11" s="109">
        <f>C7*C11</f>
        <v>0</v>
      </c>
    </row>
    <row r="12" spans="2:4" ht="35.25" customHeight="1" x14ac:dyDescent="0.25">
      <c r="B12" s="132"/>
      <c r="C12" s="108"/>
      <c r="D12" s="109">
        <f>C7*C12</f>
        <v>0</v>
      </c>
    </row>
    <row r="13" spans="2:4" ht="35.25" customHeight="1" x14ac:dyDescent="0.25">
      <c r="B13" s="132"/>
      <c r="C13" s="108"/>
      <c r="D13" s="109">
        <f>C7*C13</f>
        <v>0</v>
      </c>
    </row>
    <row r="14" spans="2:4" ht="35.25" customHeight="1" thickBot="1" x14ac:dyDescent="0.3">
      <c r="B14" s="133"/>
      <c r="C14" s="108"/>
      <c r="D14" s="113">
        <f>C7*C14</f>
        <v>0</v>
      </c>
    </row>
    <row r="15" spans="2:4" ht="15.75" thickBot="1" x14ac:dyDescent="0.3"/>
    <row r="16" spans="2:4" x14ac:dyDescent="0.25">
      <c r="B16" s="318" t="s">
        <v>542</v>
      </c>
      <c r="C16" s="319"/>
      <c r="D16" s="320"/>
    </row>
    <row r="17" spans="2:4" ht="15.75" thickBot="1" x14ac:dyDescent="0.3">
      <c r="B17" s="324"/>
      <c r="C17" s="325"/>
      <c r="D17" s="326"/>
    </row>
    <row r="18" spans="2:4" x14ac:dyDescent="0.25">
      <c r="B18" s="103" t="s">
        <v>198</v>
      </c>
      <c r="C18" s="316">
        <f>SUM('1) Budget Table'!D64:F64,'1) Budget Table'!D74:F74,'1) Budget Table'!D84:F84,'1) Budget Table'!D94:F94)</f>
        <v>474686.23</v>
      </c>
      <c r="D18" s="317"/>
    </row>
    <row r="19" spans="2:4" x14ac:dyDescent="0.25">
      <c r="B19" s="103" t="s">
        <v>545</v>
      </c>
      <c r="C19" s="314">
        <f>SUM(D21:D25)</f>
        <v>0</v>
      </c>
      <c r="D19" s="315"/>
    </row>
    <row r="20" spans="2:4" x14ac:dyDescent="0.25">
      <c r="B20" s="104" t="s">
        <v>539</v>
      </c>
      <c r="C20" s="105" t="s">
        <v>540</v>
      </c>
      <c r="D20" s="106" t="s">
        <v>541</v>
      </c>
    </row>
    <row r="21" spans="2:4" ht="35.25" customHeight="1" x14ac:dyDescent="0.25">
      <c r="B21" s="107"/>
      <c r="C21" s="108"/>
      <c r="D21" s="109">
        <f>$C$18*C21</f>
        <v>0</v>
      </c>
    </row>
    <row r="22" spans="2:4" ht="35.25" customHeight="1" x14ac:dyDescent="0.25">
      <c r="B22" s="110"/>
      <c r="C22" s="108"/>
      <c r="D22" s="109">
        <f>$C$18*C22</f>
        <v>0</v>
      </c>
    </row>
    <row r="23" spans="2:4" ht="35.25" customHeight="1" x14ac:dyDescent="0.25">
      <c r="B23" s="111"/>
      <c r="C23" s="108"/>
      <c r="D23" s="109">
        <f>$C$18*C23</f>
        <v>0</v>
      </c>
    </row>
    <row r="24" spans="2:4" ht="35.25" customHeight="1" x14ac:dyDescent="0.25">
      <c r="B24" s="111"/>
      <c r="C24" s="108"/>
      <c r="D24" s="109">
        <f>$C$18*C24</f>
        <v>0</v>
      </c>
    </row>
    <row r="25" spans="2:4" ht="35.25" customHeight="1" thickBot="1" x14ac:dyDescent="0.3">
      <c r="B25" s="112"/>
      <c r="C25" s="108"/>
      <c r="D25" s="109">
        <f>$C$18*C25</f>
        <v>0</v>
      </c>
    </row>
    <row r="26" spans="2:4" ht="15.75" thickBot="1" x14ac:dyDescent="0.3"/>
    <row r="27" spans="2:4" x14ac:dyDescent="0.25">
      <c r="B27" s="318" t="s">
        <v>543</v>
      </c>
      <c r="C27" s="319"/>
      <c r="D27" s="320"/>
    </row>
    <row r="28" spans="2:4" ht="15.75" thickBot="1" x14ac:dyDescent="0.3">
      <c r="B28" s="321"/>
      <c r="C28" s="322"/>
      <c r="D28" s="323"/>
    </row>
    <row r="29" spans="2:4" x14ac:dyDescent="0.25">
      <c r="B29" s="103" t="s">
        <v>198</v>
      </c>
      <c r="C29" s="316">
        <f>SUM('1) Budget Table'!D106:F106,'1) Budget Table'!D116:F116,'1) Budget Table'!D126:F126,'1) Budget Table'!D136:F136)</f>
        <v>399081.91000000003</v>
      </c>
      <c r="D29" s="317"/>
    </row>
    <row r="30" spans="2:4" x14ac:dyDescent="0.25">
      <c r="B30" s="103" t="s">
        <v>545</v>
      </c>
      <c r="C30" s="314">
        <f>SUM(D32:D36)</f>
        <v>0</v>
      </c>
      <c r="D30" s="315"/>
    </row>
    <row r="31" spans="2:4" x14ac:dyDescent="0.25">
      <c r="B31" s="104" t="s">
        <v>539</v>
      </c>
      <c r="C31" s="105" t="s">
        <v>540</v>
      </c>
      <c r="D31" s="106" t="s">
        <v>541</v>
      </c>
    </row>
    <row r="32" spans="2:4" ht="35.25" customHeight="1" x14ac:dyDescent="0.25">
      <c r="B32" s="107"/>
      <c r="C32" s="108"/>
      <c r="D32" s="109">
        <f>$C$29*C32</f>
        <v>0</v>
      </c>
    </row>
    <row r="33" spans="2:4" ht="35.25" customHeight="1" x14ac:dyDescent="0.25">
      <c r="B33" s="110"/>
      <c r="C33" s="108"/>
      <c r="D33" s="109">
        <f>$C$29*C33</f>
        <v>0</v>
      </c>
    </row>
    <row r="34" spans="2:4" ht="35.25" customHeight="1" x14ac:dyDescent="0.25">
      <c r="B34" s="111"/>
      <c r="C34" s="108"/>
      <c r="D34" s="109">
        <f>$C$29*C34</f>
        <v>0</v>
      </c>
    </row>
    <row r="35" spans="2:4" ht="35.25" customHeight="1" x14ac:dyDescent="0.25">
      <c r="B35" s="111"/>
      <c r="C35" s="108"/>
      <c r="D35" s="109">
        <f>$C$29*C35</f>
        <v>0</v>
      </c>
    </row>
    <row r="36" spans="2:4" ht="35.25" customHeight="1" thickBot="1" x14ac:dyDescent="0.3">
      <c r="B36" s="112"/>
      <c r="C36" s="108"/>
      <c r="D36" s="109">
        <f>$C$29*C36</f>
        <v>0</v>
      </c>
    </row>
    <row r="37" spans="2:4" ht="15.75" thickBot="1" x14ac:dyDescent="0.3"/>
    <row r="38" spans="2:4" x14ac:dyDescent="0.25">
      <c r="B38" s="318" t="s">
        <v>544</v>
      </c>
      <c r="C38" s="319"/>
      <c r="D38" s="320"/>
    </row>
    <row r="39" spans="2:4" ht="15.75" thickBot="1" x14ac:dyDescent="0.3">
      <c r="B39" s="321"/>
      <c r="C39" s="322"/>
      <c r="D39" s="323"/>
    </row>
    <row r="40" spans="2:4" x14ac:dyDescent="0.25">
      <c r="B40" s="103" t="s">
        <v>198</v>
      </c>
      <c r="C40" s="316">
        <f>SUM('1) Budget Table'!D148:F148,'1) Budget Table'!D158:F158,'1) Budget Table'!D168:F168,'1) Budget Table'!D178:F178)</f>
        <v>0</v>
      </c>
      <c r="D40" s="317"/>
    </row>
    <row r="41" spans="2:4" x14ac:dyDescent="0.25">
      <c r="B41" s="103" t="s">
        <v>545</v>
      </c>
      <c r="C41" s="314">
        <f>SUM(D43:D47)</f>
        <v>0</v>
      </c>
      <c r="D41" s="315"/>
    </row>
    <row r="42" spans="2:4" x14ac:dyDescent="0.25">
      <c r="B42" s="104" t="s">
        <v>539</v>
      </c>
      <c r="C42" s="105" t="s">
        <v>540</v>
      </c>
      <c r="D42" s="106" t="s">
        <v>541</v>
      </c>
    </row>
    <row r="43" spans="2:4" ht="35.25" customHeight="1" x14ac:dyDescent="0.25">
      <c r="B43" s="107"/>
      <c r="C43" s="108"/>
      <c r="D43" s="109">
        <f>$C$40*C43</f>
        <v>0</v>
      </c>
    </row>
    <row r="44" spans="2:4" ht="35.25" customHeight="1" x14ac:dyDescent="0.25">
      <c r="B44" s="110"/>
      <c r="C44" s="108"/>
      <c r="D44" s="109">
        <f>$C$40*C44</f>
        <v>0</v>
      </c>
    </row>
    <row r="45" spans="2:4" ht="35.25" customHeight="1" x14ac:dyDescent="0.25">
      <c r="B45" s="111"/>
      <c r="C45" s="108"/>
      <c r="D45" s="109">
        <f>$C$40*C45</f>
        <v>0</v>
      </c>
    </row>
    <row r="46" spans="2:4" ht="35.25" customHeight="1" x14ac:dyDescent="0.25">
      <c r="B46" s="111"/>
      <c r="C46" s="108"/>
      <c r="D46" s="109">
        <f>$C$40*C46</f>
        <v>0</v>
      </c>
    </row>
    <row r="47" spans="2:4" ht="35.25" customHeight="1" thickBot="1" x14ac:dyDescent="0.3">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6" zoomScale="80" zoomScaleNormal="80" workbookViewId="0"/>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96" customFormat="1" ht="15.75" x14ac:dyDescent="0.25">
      <c r="B2" s="336" t="s">
        <v>66</v>
      </c>
      <c r="C2" s="337"/>
      <c r="D2" s="337"/>
      <c r="E2" s="337"/>
      <c r="F2" s="338"/>
    </row>
    <row r="3" spans="2:6" s="96" customFormat="1" ht="16.5" thickBot="1" x14ac:dyDescent="0.3">
      <c r="B3" s="339"/>
      <c r="C3" s="340"/>
      <c r="D3" s="340"/>
      <c r="E3" s="340"/>
      <c r="F3" s="341"/>
    </row>
    <row r="4" spans="2:6" s="96" customFormat="1" ht="16.5" thickBot="1" x14ac:dyDescent="0.3"/>
    <row r="5" spans="2:6" s="96" customFormat="1" ht="16.5" thickBot="1" x14ac:dyDescent="0.3">
      <c r="B5" s="311" t="s">
        <v>19</v>
      </c>
      <c r="C5" s="312"/>
      <c r="D5" s="312"/>
      <c r="E5" s="312"/>
      <c r="F5" s="313"/>
    </row>
    <row r="6" spans="2:6" s="96" customFormat="1" ht="15.75" x14ac:dyDescent="0.25">
      <c r="B6" s="183"/>
      <c r="C6" s="179" t="s">
        <v>33</v>
      </c>
      <c r="D6" s="179" t="s">
        <v>179</v>
      </c>
      <c r="E6" s="179" t="s">
        <v>180</v>
      </c>
      <c r="F6" s="303" t="s">
        <v>19</v>
      </c>
    </row>
    <row r="7" spans="2:6" s="96" customFormat="1" ht="15.75" x14ac:dyDescent="0.25">
      <c r="B7" s="183"/>
      <c r="C7" s="178" t="str">
        <f>'1) Budget Table'!D11</f>
        <v>ONU Mujeres</v>
      </c>
      <c r="D7" s="178" t="str">
        <f>'1) Budget Table'!E11</f>
        <v>OACNUDH</v>
      </c>
      <c r="E7" s="178" t="str">
        <f>'1) Budget Table'!F11</f>
        <v>FAO</v>
      </c>
      <c r="F7" s="304"/>
    </row>
    <row r="8" spans="2:6" s="96" customFormat="1" ht="31.5" x14ac:dyDescent="0.25">
      <c r="B8" s="175" t="s">
        <v>10</v>
      </c>
      <c r="C8" s="184">
        <f>'2) By Category'!D208</f>
        <v>224723.87</v>
      </c>
      <c r="D8" s="184">
        <f>'2) By Category'!E208</f>
        <v>37000</v>
      </c>
      <c r="E8" s="184">
        <f>'2) By Category'!F208</f>
        <v>60766</v>
      </c>
      <c r="F8" s="180">
        <f t="shared" ref="F8:F15" si="0">SUM(C8:E8)</f>
        <v>322489.87</v>
      </c>
    </row>
    <row r="9" spans="2:6" s="96" customFormat="1" ht="47.25" x14ac:dyDescent="0.25">
      <c r="B9" s="175" t="s">
        <v>11</v>
      </c>
      <c r="C9" s="184">
        <f>'2) By Category'!D209</f>
        <v>17000</v>
      </c>
      <c r="D9" s="184">
        <f>'2) By Category'!E209</f>
        <v>8500.18</v>
      </c>
      <c r="E9" s="184">
        <f>'2) By Category'!F209</f>
        <v>6823</v>
      </c>
      <c r="F9" s="181">
        <f t="shared" si="0"/>
        <v>32323.18</v>
      </c>
    </row>
    <row r="10" spans="2:6" s="96" customFormat="1" ht="78.75" x14ac:dyDescent="0.25">
      <c r="B10" s="175" t="s">
        <v>12</v>
      </c>
      <c r="C10" s="184">
        <f>'2) By Category'!D210</f>
        <v>12000</v>
      </c>
      <c r="D10" s="184">
        <f>'2) By Category'!E210</f>
        <v>5000</v>
      </c>
      <c r="E10" s="184">
        <f>'2) By Category'!F210</f>
        <v>33500</v>
      </c>
      <c r="F10" s="181">
        <f t="shared" si="0"/>
        <v>50500</v>
      </c>
    </row>
    <row r="11" spans="2:6" s="96" customFormat="1" ht="31.5" x14ac:dyDescent="0.25">
      <c r="B11" s="177" t="s">
        <v>13</v>
      </c>
      <c r="C11" s="184">
        <f>'2) By Category'!D211</f>
        <v>206139.56</v>
      </c>
      <c r="D11" s="184">
        <f>'2) By Category'!E211</f>
        <v>9000</v>
      </c>
      <c r="E11" s="184">
        <f>'2) By Category'!F211</f>
        <v>0</v>
      </c>
      <c r="F11" s="181">
        <f t="shared" si="0"/>
        <v>215139.56</v>
      </c>
    </row>
    <row r="12" spans="2:6" s="96" customFormat="1" ht="15.75" x14ac:dyDescent="0.25">
      <c r="B12" s="175" t="s">
        <v>18</v>
      </c>
      <c r="C12" s="184">
        <f>'2) By Category'!D212</f>
        <v>47927</v>
      </c>
      <c r="D12" s="184">
        <f>'2) By Category'!E212</f>
        <v>12201</v>
      </c>
      <c r="E12" s="184">
        <f>'2) By Category'!F212</f>
        <v>15100</v>
      </c>
      <c r="F12" s="181">
        <f t="shared" si="0"/>
        <v>75228</v>
      </c>
    </row>
    <row r="13" spans="2:6" s="96" customFormat="1" ht="47.25" x14ac:dyDescent="0.25">
      <c r="B13" s="175" t="s">
        <v>14</v>
      </c>
      <c r="C13" s="184">
        <f>'2) By Category'!D213</f>
        <v>717881.18</v>
      </c>
      <c r="D13" s="184">
        <f>'2) By Category'!E213</f>
        <v>150581</v>
      </c>
      <c r="E13" s="184">
        <f>'2) By Category'!F213</f>
        <v>239332.39</v>
      </c>
      <c r="F13" s="181">
        <f t="shared" si="0"/>
        <v>1107794.57</v>
      </c>
    </row>
    <row r="14" spans="2:6" s="96" customFormat="1" ht="48" thickBot="1" x14ac:dyDescent="0.3">
      <c r="B14" s="176" t="s">
        <v>184</v>
      </c>
      <c r="C14" s="185">
        <f>'2) By Category'!D214</f>
        <v>29432.1</v>
      </c>
      <c r="D14" s="185">
        <f>'2) By Category'!E214</f>
        <v>6500</v>
      </c>
      <c r="E14" s="185">
        <f>'2) By Category'!F214</f>
        <v>29752.010000000002</v>
      </c>
      <c r="F14" s="182">
        <f t="shared" si="0"/>
        <v>65684.11</v>
      </c>
    </row>
    <row r="15" spans="2:6" s="96" customFormat="1" ht="30" customHeight="1" x14ac:dyDescent="0.25">
      <c r="B15" s="188" t="s">
        <v>572</v>
      </c>
      <c r="C15" s="189">
        <f>SUM(C8:C14)</f>
        <v>1255103.7100000002</v>
      </c>
      <c r="D15" s="189">
        <f>SUM(D8:D14)</f>
        <v>228782.18</v>
      </c>
      <c r="E15" s="189">
        <f>SUM(E8:E14)</f>
        <v>385273.4</v>
      </c>
      <c r="F15" s="190">
        <f t="shared" si="0"/>
        <v>1869159.29</v>
      </c>
    </row>
    <row r="16" spans="2:6" s="186" customFormat="1" ht="19.5" customHeight="1" x14ac:dyDescent="0.25">
      <c r="B16" s="187" t="s">
        <v>559</v>
      </c>
      <c r="C16" s="191">
        <f>C15*0.07</f>
        <v>87857.259700000024</v>
      </c>
      <c r="D16" s="191">
        <f t="shared" ref="D16:F16" si="1">D15*0.07</f>
        <v>16014.752600000002</v>
      </c>
      <c r="E16" s="191">
        <f t="shared" si="1"/>
        <v>26969.138000000003</v>
      </c>
      <c r="F16" s="191">
        <f t="shared" si="1"/>
        <v>130841.15030000001</v>
      </c>
    </row>
    <row r="17" spans="2:6" s="186" customFormat="1" ht="25.5" customHeight="1" thickBot="1" x14ac:dyDescent="0.3">
      <c r="B17" s="192" t="s">
        <v>65</v>
      </c>
      <c r="C17" s="193">
        <f>C15+C16</f>
        <v>1342960.9697000002</v>
      </c>
      <c r="D17" s="193">
        <f t="shared" ref="D17:F17" si="2">D15+D16</f>
        <v>244796.9326</v>
      </c>
      <c r="E17" s="193">
        <f t="shared" si="2"/>
        <v>412242.538</v>
      </c>
      <c r="F17" s="193">
        <f t="shared" si="2"/>
        <v>2000000.4403000001</v>
      </c>
    </row>
    <row r="18" spans="2:6" s="96" customFormat="1" ht="16.5" thickBot="1" x14ac:dyDescent="0.3"/>
    <row r="19" spans="2:6" s="96" customFormat="1" ht="15.75" customHeight="1" x14ac:dyDescent="0.25">
      <c r="B19" s="333" t="s">
        <v>29</v>
      </c>
      <c r="C19" s="334"/>
      <c r="D19" s="334"/>
      <c r="E19" s="334"/>
      <c r="F19" s="335"/>
    </row>
    <row r="20" spans="2:6" ht="15.75" x14ac:dyDescent="0.25">
      <c r="B20" s="33"/>
      <c r="C20" s="31" t="s">
        <v>181</v>
      </c>
      <c r="D20" s="31" t="s">
        <v>182</v>
      </c>
      <c r="E20" s="31" t="s">
        <v>183</v>
      </c>
      <c r="F20" s="34" t="s">
        <v>31</v>
      </c>
    </row>
    <row r="21" spans="2:6" ht="15.75" x14ac:dyDescent="0.25">
      <c r="B21" s="33"/>
      <c r="C21" s="31" t="str">
        <f>'1) Budget Table'!D11</f>
        <v>ONU Mujeres</v>
      </c>
      <c r="D21" s="31" t="str">
        <f>'1) Budget Table'!E11</f>
        <v>OACNUDH</v>
      </c>
      <c r="E21" s="31" t="str">
        <f>'1) Budget Table'!F11</f>
        <v>FAO</v>
      </c>
      <c r="F21" s="34"/>
    </row>
    <row r="22" spans="2:6" ht="23.25" customHeight="1" x14ac:dyDescent="0.25">
      <c r="B22" s="32" t="s">
        <v>30</v>
      </c>
      <c r="C22" s="30">
        <f>'1) Budget Table'!D204</f>
        <v>940072.65631999983</v>
      </c>
      <c r="D22" s="30">
        <f>'1) Budget Table'!E204</f>
        <v>171357.85282</v>
      </c>
      <c r="E22" s="30">
        <f>'1) Budget Table'!F204</f>
        <v>288569.79907000001</v>
      </c>
      <c r="F22" s="9">
        <f>'1) Budget Table'!H204</f>
        <v>0.7</v>
      </c>
    </row>
    <row r="23" spans="2:6" ht="24.75" customHeight="1" x14ac:dyDescent="0.25">
      <c r="B23" s="32" t="s">
        <v>32</v>
      </c>
      <c r="C23" s="30">
        <f>'1) Budget Table'!D205</f>
        <v>402888.28127999994</v>
      </c>
      <c r="D23" s="30">
        <f>'1) Budget Table'!E205</f>
        <v>73439.07978</v>
      </c>
      <c r="E23" s="30">
        <f>'1) Budget Table'!F205</f>
        <v>123672.77103</v>
      </c>
      <c r="F23" s="9">
        <f>'1) Budget Table'!H205</f>
        <v>0.3</v>
      </c>
    </row>
    <row r="24" spans="2:6" ht="24.75" customHeight="1" thickBot="1" x14ac:dyDescent="0.3">
      <c r="B24" s="10" t="s">
        <v>578</v>
      </c>
      <c r="C24" s="35">
        <f>'1) Budget Table'!D206</f>
        <v>0</v>
      </c>
      <c r="D24" s="35">
        <f>'1) Budget Table'!E206</f>
        <v>0</v>
      </c>
      <c r="E24" s="35">
        <f>'1) Budget Table'!F206</f>
        <v>0</v>
      </c>
      <c r="F24" s="11">
        <f>'1) Budget Table'!H206</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Table'!$G$198</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1093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38A95D7BE9544F8DF60F12B0617C04" ma:contentTypeVersion="8" ma:contentTypeDescription="Create a new document." ma:contentTypeScope="" ma:versionID="7181e4231ebf24075ca005eaad04868e">
  <xsd:schema xmlns:xsd="http://www.w3.org/2001/XMLSchema" xmlns:xs="http://www.w3.org/2001/XMLSchema" xmlns:p="http://schemas.microsoft.com/office/2006/metadata/properties" xmlns:ns3="5c6f82ab-935e-4b7c-b1d2-d1da81d75a49" targetNamespace="http://schemas.microsoft.com/office/2006/metadata/properties" ma:root="true" ma:fieldsID="60e40e69da5167387ba048ea84cb834f" ns3:_="">
    <xsd:import namespace="5c6f82ab-935e-4b7c-b1d2-d1da81d75a4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f82ab-935e-4b7c-b1d2-d1da81d75a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222D4-BD74-4430-9A7F-F8829AD1D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f82ab-935e-4b7c-b1d2-d1da81d75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8DF9B4-73A7-4704-9D71-536E211209E0}">
  <ds:schemaRef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microsoft.com/office/infopath/2007/PartnerControls"/>
    <ds:schemaRef ds:uri="5c6f82ab-935e-4b7c-b1d2-d1da81d75a49"/>
  </ds:schemaRefs>
</ds:datastoreItem>
</file>

<file path=customXml/itemProps3.xml><?xml version="1.0" encoding="utf-8"?>
<ds:datastoreItem xmlns:ds="http://schemas.openxmlformats.org/officeDocument/2006/customXml" ds:itemID="{D70B6A12-9730-4609-B450-191296594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A Paredes S</cp:lastModifiedBy>
  <cp:lastPrinted>2020-06-09T15:23:50Z</cp:lastPrinted>
  <dcterms:created xsi:type="dcterms:W3CDTF">2017-11-15T21:17:43Z</dcterms:created>
  <dcterms:modified xsi:type="dcterms:W3CDTF">2020-06-15T22:07:09Z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0x0101005438A95D7BE9544F8DF60F12B0617C04</vt:lpwstr>
  </property>
</Properties>
</file>