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808" tabRatio="834"/>
  </bookViews>
  <sheets>
    <sheet name="PAR CATEGORIE BUDGETAIRE CLJ" sheetId="3" r:id="rId1"/>
    <sheet name="PAR RESULTAT CLJ 1 6 20" sheetId="4" r:id="rId2"/>
  </sheets>
  <definedNames>
    <definedName name="_xlnm._FilterDatabase" localSheetId="1" hidden="1">'PAR RESULTAT CLJ 1 6 20'!$A$1:$Q$51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3" l="1"/>
  <c r="B31" i="3"/>
  <c r="D37" i="3"/>
  <c r="D36" i="3"/>
  <c r="D35" i="3"/>
  <c r="E24" i="3"/>
  <c r="I24" i="3" s="1"/>
  <c r="E23" i="3"/>
  <c r="I23" i="3" s="1"/>
  <c r="E26" i="3"/>
  <c r="I26" i="3" s="1"/>
  <c r="E27" i="3"/>
  <c r="I27" i="3" s="1"/>
  <c r="E25" i="3"/>
  <c r="E28" i="3"/>
  <c r="H28" i="3" s="1"/>
  <c r="I30" i="3"/>
  <c r="H30" i="3"/>
  <c r="H24" i="3"/>
  <c r="H23" i="3"/>
  <c r="D31" i="3"/>
  <c r="D29" i="3"/>
  <c r="B28" i="3"/>
  <c r="B27" i="3"/>
  <c r="B26" i="3"/>
  <c r="B25" i="3"/>
  <c r="B24" i="3"/>
  <c r="B23" i="3"/>
  <c r="B8" i="3"/>
  <c r="B9" i="3"/>
  <c r="B10" i="3"/>
  <c r="B11" i="3"/>
  <c r="B12" i="3"/>
  <c r="B13" i="3"/>
  <c r="G14" i="3"/>
  <c r="H7" i="3"/>
  <c r="B7" i="3" s="1"/>
  <c r="E14" i="3"/>
  <c r="M14" i="4"/>
  <c r="M20" i="4"/>
  <c r="M24" i="4"/>
  <c r="M30" i="4"/>
  <c r="M33" i="4"/>
  <c r="M39" i="4"/>
  <c r="M42" i="4"/>
  <c r="M47" i="4"/>
  <c r="K44" i="4"/>
  <c r="K45" i="4"/>
  <c r="K43" i="4"/>
  <c r="E59" i="4"/>
  <c r="F59" i="4"/>
  <c r="F33" i="4"/>
  <c r="K27" i="4"/>
  <c r="K49" i="4"/>
  <c r="K41" i="4"/>
  <c r="K40" i="4"/>
  <c r="K37" i="4"/>
  <c r="K38" i="4"/>
  <c r="K36" i="4"/>
  <c r="K32" i="4"/>
  <c r="K31" i="4"/>
  <c r="K28" i="4"/>
  <c r="K29" i="4"/>
  <c r="K22" i="4"/>
  <c r="K23" i="4"/>
  <c r="K21" i="4"/>
  <c r="K16" i="4"/>
  <c r="K17" i="4"/>
  <c r="K18" i="4"/>
  <c r="K19" i="4"/>
  <c r="K15" i="4"/>
  <c r="K7" i="4"/>
  <c r="K8" i="4"/>
  <c r="K9" i="4"/>
  <c r="K10" i="4"/>
  <c r="K11" i="4"/>
  <c r="K12" i="4"/>
  <c r="K13" i="4"/>
  <c r="K6" i="4"/>
  <c r="H39" i="4"/>
  <c r="I47" i="4"/>
  <c r="H47" i="4"/>
  <c r="I42" i="4"/>
  <c r="J42" i="4"/>
  <c r="H42" i="4"/>
  <c r="I39" i="4"/>
  <c r="J39" i="4"/>
  <c r="G39" i="4"/>
  <c r="I33" i="4"/>
  <c r="J33" i="4"/>
  <c r="H33" i="4"/>
  <c r="I30" i="4"/>
  <c r="J30" i="4"/>
  <c r="H30" i="4"/>
  <c r="I24" i="4"/>
  <c r="J24" i="4"/>
  <c r="H24" i="4"/>
  <c r="I20" i="4"/>
  <c r="J20" i="4"/>
  <c r="H20" i="4"/>
  <c r="I14" i="4"/>
  <c r="J14" i="4"/>
  <c r="H14" i="4"/>
  <c r="G34" i="4"/>
  <c r="G25" i="4"/>
  <c r="D20" i="4"/>
  <c r="E20" i="4"/>
  <c r="F20" i="4"/>
  <c r="C7" i="4"/>
  <c r="D42" i="4"/>
  <c r="D47" i="4"/>
  <c r="F30" i="4"/>
  <c r="E30" i="4"/>
  <c r="D30" i="4"/>
  <c r="E47" i="4"/>
  <c r="F47" i="4"/>
  <c r="C46" i="4"/>
  <c r="C45" i="4"/>
  <c r="C44" i="4"/>
  <c r="N44" i="4" s="1"/>
  <c r="C43" i="4"/>
  <c r="C41" i="4"/>
  <c r="C40" i="4"/>
  <c r="E42" i="4"/>
  <c r="F42" i="4"/>
  <c r="E39" i="4"/>
  <c r="F39" i="4"/>
  <c r="C37" i="4"/>
  <c r="C38" i="4"/>
  <c r="C36" i="4"/>
  <c r="E33" i="4"/>
  <c r="C32" i="4"/>
  <c r="C31" i="4"/>
  <c r="C29" i="4"/>
  <c r="C28" i="4"/>
  <c r="N28" i="4" s="1"/>
  <c r="C27" i="4"/>
  <c r="F24" i="4"/>
  <c r="E24" i="4"/>
  <c r="C22" i="4"/>
  <c r="C23" i="4"/>
  <c r="C21" i="4"/>
  <c r="C16" i="4"/>
  <c r="C17" i="4"/>
  <c r="C18" i="4"/>
  <c r="C19" i="4"/>
  <c r="C15" i="4"/>
  <c r="E14" i="4"/>
  <c r="F14" i="4"/>
  <c r="I28" i="3" l="1"/>
  <c r="H27" i="3"/>
  <c r="H26" i="3"/>
  <c r="E29" i="3"/>
  <c r="E31" i="3" s="1"/>
  <c r="I25" i="3"/>
  <c r="H25" i="3"/>
  <c r="N31" i="4"/>
  <c r="N43" i="4"/>
  <c r="M34" i="4"/>
  <c r="M25" i="4"/>
  <c r="N18" i="4"/>
  <c r="N23" i="4"/>
  <c r="F14" i="3"/>
  <c r="H14" i="3"/>
  <c r="H15" i="3" s="1"/>
  <c r="H16" i="3" s="1"/>
  <c r="G15" i="3"/>
  <c r="G16" i="3" s="1"/>
  <c r="F15" i="3"/>
  <c r="F16" i="3" s="1"/>
  <c r="E15" i="3"/>
  <c r="E16" i="3" s="1"/>
  <c r="N38" i="4"/>
  <c r="N41" i="4"/>
  <c r="I25" i="4"/>
  <c r="H34" i="4"/>
  <c r="N7" i="4"/>
  <c r="N17" i="4"/>
  <c r="N22" i="4"/>
  <c r="N32" i="4"/>
  <c r="N37" i="4"/>
  <c r="N27" i="4"/>
  <c r="K20" i="4"/>
  <c r="N16" i="4"/>
  <c r="N29" i="4"/>
  <c r="K33" i="4"/>
  <c r="K39" i="4"/>
  <c r="I34" i="4"/>
  <c r="N19" i="4"/>
  <c r="N21" i="4"/>
  <c r="K30" i="4"/>
  <c r="N36" i="4"/>
  <c r="K42" i="4"/>
  <c r="N15" i="4"/>
  <c r="K24" i="4"/>
  <c r="N40" i="4"/>
  <c r="N45" i="4"/>
  <c r="E34" i="4"/>
  <c r="J25" i="4"/>
  <c r="F34" i="4"/>
  <c r="H25" i="4"/>
  <c r="J34" i="4"/>
  <c r="K14" i="4"/>
  <c r="C20" i="4"/>
  <c r="F25" i="4"/>
  <c r="E25" i="4"/>
  <c r="J35" i="4" l="1"/>
  <c r="I35" i="4"/>
  <c r="I48" i="4" s="1"/>
  <c r="I50" i="4" s="1"/>
  <c r="D57" i="4" s="1"/>
  <c r="G57" i="4" s="1"/>
  <c r="E35" i="4"/>
  <c r="E48" i="4" s="1"/>
  <c r="E50" i="4" s="1"/>
  <c r="C57" i="4" s="1"/>
  <c r="L57" i="4" s="1"/>
  <c r="M35" i="4"/>
  <c r="M48" i="4" s="1"/>
  <c r="M50" i="4" s="1"/>
  <c r="I29" i="3"/>
  <c r="H29" i="3"/>
  <c r="H31" i="3" s="1"/>
  <c r="K34" i="4"/>
  <c r="K25" i="4"/>
  <c r="K35" i="4" s="1"/>
  <c r="H35" i="4"/>
  <c r="F35" i="4"/>
  <c r="M57" i="4" l="1"/>
  <c r="H48" i="4"/>
  <c r="H50" i="4" s="1"/>
  <c r="D56" i="4" s="1"/>
  <c r="G56" i="4" s="1"/>
  <c r="F48" i="4"/>
  <c r="F50" i="4" s="1"/>
  <c r="C58" i="4" s="1"/>
  <c r="C8" i="4" l="1"/>
  <c r="N8" i="4" s="1"/>
  <c r="C9" i="4"/>
  <c r="N9" i="4" s="1"/>
  <c r="C10" i="4"/>
  <c r="N10" i="4" s="1"/>
  <c r="C11" i="4"/>
  <c r="N11" i="4" s="1"/>
  <c r="C12" i="4"/>
  <c r="N12" i="4" s="1"/>
  <c r="C13" i="4"/>
  <c r="N13" i="4" s="1"/>
  <c r="C6" i="4"/>
  <c r="N6" i="4" s="1"/>
  <c r="K46" i="4" l="1"/>
  <c r="H22" i="3"/>
  <c r="L14" i="4"/>
  <c r="L20" i="4"/>
  <c r="N20" i="4" s="1"/>
  <c r="L24" i="4"/>
  <c r="L30" i="4"/>
  <c r="L33" i="4"/>
  <c r="L39" i="4"/>
  <c r="L42" i="4"/>
  <c r="L47" i="4"/>
  <c r="C42" i="4"/>
  <c r="N42" i="4" s="1"/>
  <c r="G42" i="4"/>
  <c r="D39" i="4"/>
  <c r="D33" i="4"/>
  <c r="D24" i="4"/>
  <c r="D14" i="4"/>
  <c r="L34" i="4" l="1"/>
  <c r="J47" i="4"/>
  <c r="D25" i="4"/>
  <c r="D34" i="4"/>
  <c r="C24" i="4"/>
  <c r="N24" i="4" s="1"/>
  <c r="C30" i="4"/>
  <c r="N30" i="4" s="1"/>
  <c r="C39" i="4"/>
  <c r="N39" i="4" s="1"/>
  <c r="C47" i="4"/>
  <c r="L25" i="4"/>
  <c r="C14" i="4"/>
  <c r="N14" i="4" s="1"/>
  <c r="C33" i="4"/>
  <c r="N33" i="4" s="1"/>
  <c r="G47" i="4"/>
  <c r="J48" i="4" l="1"/>
  <c r="J50" i="4" s="1"/>
  <c r="D58" i="4" s="1"/>
  <c r="N46" i="4"/>
  <c r="K47" i="4"/>
  <c r="C34" i="4"/>
  <c r="N34" i="4" s="1"/>
  <c r="L35" i="4"/>
  <c r="D35" i="4"/>
  <c r="C25" i="4"/>
  <c r="O42" i="4"/>
  <c r="O39" i="4"/>
  <c r="O30" i="4"/>
  <c r="O33" i="4"/>
  <c r="O47" i="4"/>
  <c r="O14" i="4"/>
  <c r="D59" i="4" l="1"/>
  <c r="G58" i="4"/>
  <c r="M58" i="4" s="1"/>
  <c r="O34" i="4"/>
  <c r="G59" i="4"/>
  <c r="C35" i="4"/>
  <c r="C48" i="4" s="1"/>
  <c r="C49" i="4" s="1"/>
  <c r="N49" i="4" s="1"/>
  <c r="N47" i="4"/>
  <c r="K48" i="4"/>
  <c r="K50" i="4" s="1"/>
  <c r="N25" i="4"/>
  <c r="D48" i="4"/>
  <c r="D50" i="4" s="1"/>
  <c r="C56" i="4" s="1"/>
  <c r="L48" i="4"/>
  <c r="G35" i="4"/>
  <c r="O20" i="4"/>
  <c r="O24" i="4"/>
  <c r="G31" i="3"/>
  <c r="B29" i="3"/>
  <c r="C29" i="3"/>
  <c r="C31" i="3" s="1"/>
  <c r="C14" i="3"/>
  <c r="C15" i="3" s="1"/>
  <c r="B14" i="3"/>
  <c r="B15" i="3" s="1"/>
  <c r="B16" i="3" s="1"/>
  <c r="L58" i="4" l="1"/>
  <c r="B30" i="3"/>
  <c r="C59" i="4"/>
  <c r="L59" i="4" s="1"/>
  <c r="M56" i="4"/>
  <c r="N35" i="4"/>
  <c r="N48" i="4"/>
  <c r="G48" i="4"/>
  <c r="G50" i="4" s="1"/>
  <c r="C50" i="4"/>
  <c r="L50" i="4"/>
  <c r="O25" i="4"/>
  <c r="O35" i="4" s="1"/>
  <c r="O48" i="4" s="1"/>
  <c r="D14" i="3"/>
  <c r="F31" i="3"/>
  <c r="C16" i="3"/>
  <c r="M59" i="4" l="1"/>
  <c r="N50" i="4"/>
  <c r="D15" i="3"/>
  <c r="D16" i="3" s="1"/>
  <c r="O50" i="4"/>
  <c r="L56" i="4" l="1"/>
</calcChain>
</file>

<file path=xl/sharedStrings.xml><?xml version="1.0" encoding="utf-8"?>
<sst xmlns="http://schemas.openxmlformats.org/spreadsheetml/2006/main" count="182" uniqueCount="157">
  <si>
    <t>Table 1 - PBF project budget by Outcome, output and activity</t>
  </si>
  <si>
    <t>Nombre de resultat / produit</t>
  </si>
  <si>
    <t>Formulation du resultat/ produit/ activite</t>
  </si>
  <si>
    <t xml:space="preserve">Pourcentage du budget pour chaque produit ou activite reserve pour action directe sur le genre (cas echeant) </t>
  </si>
  <si>
    <t>Commitment /po</t>
  </si>
  <si>
    <t xml:space="preserve">Avance </t>
  </si>
  <si>
    <t>Taux de Réalisation par ligne budgetaire</t>
  </si>
  <si>
    <t>Notes quelconque le cas echeant (.e.g sur types des entrants ou justification du budget)</t>
  </si>
  <si>
    <t>SOUS TOTAL RESULTAT 1:</t>
  </si>
  <si>
    <t>Frais du personnel du projet</t>
  </si>
  <si>
    <t>Sous Total le Cout du Personnel du projet:</t>
  </si>
  <si>
    <t>Evaluation finale du projet</t>
  </si>
  <si>
    <t>Frais généraux de fonctionnement</t>
  </si>
  <si>
    <t>Founitures et consommables de bureau</t>
  </si>
  <si>
    <t>Sous Total Frais généraux</t>
  </si>
  <si>
    <t xml:space="preserve">Indirect support costs (7%):                                                                            </t>
  </si>
  <si>
    <t xml:space="preserve">TOTAL PROJECT BUDGET:           </t>
  </si>
  <si>
    <t>RECAP Delivery par Agence par Agence</t>
  </si>
  <si>
    <t>Budget par agence recipiendiaire en USD</t>
  </si>
  <si>
    <t>Montant budget</t>
  </si>
  <si>
    <t>Dépenses</t>
  </si>
  <si>
    <t>Avance non Justifiée</t>
  </si>
  <si>
    <t>Solde</t>
  </si>
  <si>
    <t>%Tage de Réalisation</t>
  </si>
  <si>
    <t xml:space="preserve">Commentaire sur les dépenses / activités </t>
  </si>
  <si>
    <t>Totaux</t>
  </si>
  <si>
    <t>Tableau 2 - Budget de projet PBF par categorie de cout de l'ONU</t>
  </si>
  <si>
    <t>Note: S'il s'agit d'une revision budgetaire, veuillez inclure des colonnes additionnelles pour montrer les changements</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</si>
  <si>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</si>
  <si>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</si>
  <si>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</si>
  <si>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</si>
  <si>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</si>
  <si>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</si>
  <si>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</si>
  <si>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</si>
  <si>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</si>
  <si>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</si>
  <si>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</si>
  <si>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</si>
  <si>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</si>
  <si>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</si>
  <si>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</si>
  <si>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</si>
  <si>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</si>
  <si>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TABLEAU  AVEC DELIVERY</t>
  </si>
  <si>
    <t>Commitment</t>
  </si>
  <si>
    <t>Avances non justifiées</t>
  </si>
  <si>
    <t>SOLDE TOTAL</t>
  </si>
  <si>
    <t>% de Realisation par budget global</t>
  </si>
  <si>
    <t>TOTAL BUDGET PNUD</t>
  </si>
  <si>
    <t>PRODUITS</t>
  </si>
  <si>
    <t>ACTIVITES</t>
  </si>
  <si>
    <t>A</t>
  </si>
  <si>
    <t>B</t>
  </si>
  <si>
    <t>F</t>
  </si>
  <si>
    <t>ACT 1</t>
  </si>
  <si>
    <t>Sub Total OutPut 1.1</t>
  </si>
  <si>
    <t>ACT 2</t>
  </si>
  <si>
    <t>Sub Total OutPut 1.2</t>
  </si>
  <si>
    <t>ACT 3</t>
  </si>
  <si>
    <t>Sub Total OutPut 1.3</t>
  </si>
  <si>
    <t>ACT 4</t>
  </si>
  <si>
    <t>Sub Total OutPut 2.1</t>
  </si>
  <si>
    <t>ACT 5</t>
  </si>
  <si>
    <t>Sub Total OutPut 2.2</t>
  </si>
  <si>
    <t>SOUS TOTAL OUTCOME 2:</t>
  </si>
  <si>
    <t>TOTAL OUTCOME 1+2:</t>
  </si>
  <si>
    <t>ACT 7</t>
  </si>
  <si>
    <t>Budget S&amp;E du projet</t>
  </si>
  <si>
    <t>ACT 8</t>
  </si>
  <si>
    <t>Sous Total S &amp; E du projet:</t>
  </si>
  <si>
    <t>ACT 9</t>
  </si>
  <si>
    <t xml:space="preserve">SUB-TOTAL PROJECT BUDGET:                                                      </t>
  </si>
  <si>
    <t>Budget par agence recipiendiaire en USD - Veuillez ajouter une nouvelle colonne par agence recipiendiaire BUDGET TOTAL</t>
  </si>
  <si>
    <t>Total dépenses au 01  juin  2020</t>
  </si>
  <si>
    <t>D</t>
  </si>
  <si>
    <t>E</t>
  </si>
  <si>
    <t>G</t>
  </si>
  <si>
    <t>H</t>
  </si>
  <si>
    <t>RESULTAT 1:   Les Plans de Développement Locaux (PDL) et les Programmes Annuels d’Investissement (PAI) révisés des 20 Communes concernées sont sensibles aux conflits, a l’égalité de genre et aux préoccupations et besoins spécifiques des jeunes.</t>
  </si>
  <si>
    <r>
      <rPr>
        <b/>
        <sz val="10"/>
        <color theme="1"/>
        <rFont val="Times New Roman"/>
        <family val="1"/>
      </rPr>
      <t xml:space="preserve">Produit 1.1  </t>
    </r>
    <r>
      <rPr>
        <sz val="10"/>
        <color theme="1"/>
        <rFont val="Times New Roman"/>
        <family val="1"/>
      </rPr>
      <t xml:space="preserve">   Les Conseils Communaux de jeunes sont mis en place dans 20 communes les plus à risque aux conflits.</t>
    </r>
  </si>
  <si>
    <t>Réaliser une étude légère sur la participation des jeunes au processus de développement local et de leur perception sur la prise en compte de leurs préoccupations dans les PDL et PAI ;</t>
  </si>
  <si>
    <t xml:space="preserve">Appuyer l’organisation des ateliers d’échange et d’amendement des textes juridiques et règlementaires existants relatifs à la mise en place des Conseils Communaux de Jeunes (ces textes déjà élaborés de manière participative avec les jeunes sous la coordination du Ministère de la Jeunesse, prévoient une participation des jeunes femmes de 30%) ; </t>
  </si>
  <si>
    <t xml:space="preserve">Élaborer le code électoral des CCJ de manière inclusive ; </t>
  </si>
  <si>
    <t>Développer et mettre en place des activités de plaidoyer  visant à appliquer le quota de participation des jeunes femmes de 30%, au sein des CCJ, y compris au niveau des postes de représentation et prise de décision</t>
  </si>
  <si>
    <t>Mettre en place des équipes mixtes de supervision des élections qui se chargeront de la coordination des différentes phases du processus électoral et mettre à leur disposition du matériel et des outils nécessaires pour la bonne tenue des élections ;</t>
  </si>
  <si>
    <t>Mettre à disposition des 20 conseils communaux de jeunes du matériel et équipement pour leur fonctionnement (pour chaque conseil (1) bureau, (1) ordinateur et (1) kit de sonorisation). Un plaidoyer sera fait auprès des conseils municipaux afin qu’un local soit attribué aux CCJ ;</t>
  </si>
  <si>
    <t>Organiser 2 sessions de revues des pairs pour partager les expériences/bonnes pratiques au niveau local et national.</t>
  </si>
  <si>
    <r>
      <rPr>
        <b/>
        <sz val="10"/>
        <color theme="1"/>
        <rFont val="Times New Roman"/>
        <family val="1"/>
      </rPr>
      <t xml:space="preserve">Produit 1.2 </t>
    </r>
    <r>
      <rPr>
        <sz val="10"/>
        <color theme="1"/>
        <rFont val="Times New Roman"/>
        <family val="1"/>
      </rPr>
      <t xml:space="preserve">   les CCJ collectent, analysent et exploitent  les besoins spécifiques des jeunes y compris ceux des jeunes femmes.</t>
    </r>
  </si>
  <si>
    <t xml:space="preserve">Assurer la formation des membres des CCJ sur : (i) l’approche de planification locale sensible aux conflits, à l’égalité des sexes et aux besoins des jeunes ; (ii) les outils de communications et de plaidoyer ; (iii) la bonne gouvernance et citoyenneté (iiii) le fonctionnement des Conseils Municipaux et les processus d’élaboration des PDL et PAI ; </t>
  </si>
  <si>
    <t xml:space="preserve">Assurer la formation de jeunes femmes membres du CCJ sur la participation et le leadership féminin ; la prise de parole en public ; et une formation mixte spécifique sur la prise en compte de l’égalité de genre dans les actions menées par les CCJ 
</t>
  </si>
  <si>
    <t>Assurer l’enregistrement de 20,000 nouveaux U-reporters jeunes (femmes et hommes) dans les 20 communes concernées ;</t>
  </si>
  <si>
    <t>Réaliser 4 sondages à travers la plateforme numérique U-report pour recueillir la perception des jeunes sur la prise en compte de leurs préoccupations dans les PDL et PAI et du fonctionnement de leurs conseils ;</t>
  </si>
  <si>
    <t xml:space="preserve">Appuyer la réalisation de 80 sessions d’échange et de dialogue (focus group discussion) entre les jeunes pour recueillir leurs besoins spécifiques. </t>
  </si>
  <si>
    <r>
      <rPr>
        <b/>
        <sz val="10"/>
        <color theme="1"/>
        <rFont val="Times New Roman"/>
        <family val="1"/>
      </rPr>
      <t xml:space="preserve">Produit 1.3  </t>
    </r>
    <r>
      <rPr>
        <sz val="10"/>
        <color theme="1"/>
        <rFont val="Times New Roman"/>
        <family val="1"/>
      </rPr>
      <t xml:space="preserve"> les Conseils Municipaux et les Conseils Communaux de Jeunes travaillent ensemble pour une compréhension partagée des besoins spécifiques des jeunes </t>
    </r>
  </si>
  <si>
    <t xml:space="preserve">Former les conseillers municipaux des 20 collectivités sur : (i) l’approche de planification locale sensible aux conflits, a l’égalité des sexes et aux besoins spécifiques des jeunes ; </t>
  </si>
  <si>
    <t xml:space="preserve">Organiser des sessions de plaidoyer des CCJ auprès des autorités communales pour la prise en compte de leurs préoccupations spécifiques ;   </t>
  </si>
  <si>
    <t xml:space="preserve">Organiser les ateliers de révision des PDL et PAI afin d’intégrer les préoccupations des jeunes femmes et hommes </t>
  </si>
  <si>
    <t>RESULTAT 2: Les besoins spécifiques des jeunes et leur rôle d’agents de changement positif sont connus et discutés dans les 20 collectivités concernées.</t>
  </si>
  <si>
    <r>
      <rPr>
        <b/>
        <sz val="10"/>
        <color theme="1"/>
        <rFont val="Times New Roman"/>
        <family val="1"/>
      </rPr>
      <t xml:space="preserve">Produit 2.1 </t>
    </r>
    <r>
      <rPr>
        <sz val="10"/>
        <color theme="1"/>
        <rFont val="Times New Roman"/>
        <family val="1"/>
      </rPr>
      <t xml:space="preserve"> Les sessions de dialogue intergénérationnels sont organisées entre les jeunes-jeunes et entre jeunes et les acteurs locaux notamment les autorités locales sur le besoins spécifiques et la prévention des conflits.</t>
    </r>
  </si>
  <si>
    <t>Appuyer l’organisation de 60 sessions de dialogues communautaires (40 sessions entre jeunes-jeunes et 20 sessions jeunes et autres acteurs) sur les besoins spécifiques des jeunes et sur leur rôle d’acteurs clés de changements positifs. Les concernés par les dialogues sont : les jeunes eux-mêmes, les autorités politiques, administratives, les leaders traditionnels et religieux, les femmes, les entreprises minières, les services de sécurité, les structures spécialisées de l’Etat.</t>
  </si>
  <si>
    <t xml:space="preserve">Organiser un atelier de réflexion et dialogue entre les conseils municipaux et les CCJ sur la participation des femmes ; une séance spécifique de dialogue entre les femmes membres des Conseils Municipaux et les jeunes femmes des CCJ aura lieu. </t>
  </si>
  <si>
    <t xml:space="preserve">Appuyer les CCJ pour l’organisation des sessions de partage des informations   avec les autres jeunes (communication top-down). Il est important de s’assurer que les informations collectées par les CCJ sont partagées avec les autres jeunes qui ne font pas partie des CCJ. IL s’agit de la retro information pour s’assurer que les jeunes de toutes catégories sociales ont la bonne information. </t>
  </si>
  <si>
    <r>
      <rPr>
        <b/>
        <sz val="10"/>
        <color theme="1"/>
        <rFont val="Times New Roman"/>
        <family val="1"/>
      </rPr>
      <t>Produit 2.2</t>
    </r>
    <r>
      <rPr>
        <sz val="10"/>
        <color theme="1"/>
        <rFont val="Times New Roman"/>
        <family val="1"/>
      </rPr>
      <t xml:space="preserve">  Les produits médias (reportages radio/tv, débats, réseaux sociaux, vidéos, photos et affiches…) en lien avec la prévention des conflits, la promotion de la participation de jeunes femmes sont réalisés par les jeunes femmes et hommes et diffusés à travers les canaux appropriés.</t>
    </r>
  </si>
  <si>
    <t xml:space="preserve">Produire des reportages radio/tv, des émissions interactives, débats avec les radios communautaires et rurales ainsi que des articles dans les réseaux sociaux (Youtube, Facebook, Twitter)  
</t>
  </si>
  <si>
    <t>Produire des dépliants, des affiches, des vidéos et des articles de presse sensibles à la prévention des conflits et des violences, notamment des Violences Basées sur le Genre (VBG)..</t>
  </si>
  <si>
    <t xml:space="preserve">Budget par agence recipiendiaire en USD - Veuillez ajouter une nouvelle colonne par agence recipiendiaire UNFPA </t>
  </si>
  <si>
    <t xml:space="preserve">Un chargé de projet </t>
  </si>
  <si>
    <t>Other direct projet costs (Audit )</t>
  </si>
  <si>
    <t xml:space="preserve"> Équipement, véhicules et mobilier (compte tenu de la dépréciation)</t>
  </si>
  <si>
    <t xml:space="preserve"> Frais généraux de fonctionnement et autres coûts directs (Locaux       VSAT   Sécurité         
Assurance
Autres charges communes)</t>
  </si>
  <si>
    <t>BUDGET UNFPA</t>
  </si>
  <si>
    <t>UNICEF</t>
  </si>
  <si>
    <t>UNESCO</t>
  </si>
  <si>
    <t xml:space="preserve">Suivi du projet </t>
  </si>
  <si>
    <t xml:space="preserve">Coordonnateur projet  </t>
  </si>
  <si>
    <t xml:space="preserve">Un expert national </t>
  </si>
  <si>
    <t>Budget par agence recipiendiaire en USD - Veuillez ajouter une nouvelle colonne par agence recipiendiaire UNICEF</t>
  </si>
  <si>
    <t>Budget par agence recipiendiaire en USD - Veuillez ajouter une nouvelle colonne par agence recipiendiaire UNESCO</t>
  </si>
  <si>
    <t>Appui à la participation des jeunes hommes et jeunes femmes à la gouvernance dans  les 20 communes les plus  conflictogènes de la Guinée</t>
  </si>
  <si>
    <t>30% (9 000 $)</t>
  </si>
  <si>
    <t>40% (8000 $)</t>
  </si>
  <si>
    <t>30 % ( 13 500 $</t>
  </si>
  <si>
    <t>100%( 20 000)</t>
  </si>
  <si>
    <t>50% ( 11 000)</t>
  </si>
  <si>
    <t>30% ( 21 000)</t>
  </si>
  <si>
    <t>30% (9 000)</t>
  </si>
  <si>
    <t>30% ( 40 500 $)</t>
  </si>
  <si>
    <t>100% ( 60 000  $)</t>
  </si>
  <si>
    <t>30%( 6 000 $)</t>
  </si>
  <si>
    <t>30% ( 6 000 $)</t>
  </si>
  <si>
    <t>50% ( 40 000$)</t>
  </si>
  <si>
    <t>30% ( 18 000 $ )</t>
  </si>
  <si>
    <t>30% ( 21 000 $)</t>
  </si>
  <si>
    <t>50% ( 40 000 $)</t>
  </si>
  <si>
    <t>50% ( 37 500 $)</t>
  </si>
  <si>
    <t>30% ( 15 000 $)</t>
  </si>
  <si>
    <t>50% ( 20 000 $)</t>
  </si>
  <si>
    <t xml:space="preserve">Niveau de depense/ engagement actuel en USD (a remplir au moment des rapports de projet) UNFPA      </t>
  </si>
  <si>
    <t xml:space="preserve">Niveau de depense/ engagement actuel en USD (a remplir au moment des rapports de projet)UNICEF      </t>
  </si>
  <si>
    <t xml:space="preserve">Niveau de depense/ engagement actuel en USD (a remplir au moment des rapports de projet)      UNESCO    </t>
  </si>
  <si>
    <t xml:space="preserve">Total dépensé </t>
  </si>
  <si>
    <t>UNFPA</t>
  </si>
  <si>
    <t>Amount Recipient  Agency UNFPA</t>
  </si>
  <si>
    <t>Amount Recipient  Agency UNICEF</t>
  </si>
  <si>
    <t>Amount Recipient  Agency UNESCO</t>
  </si>
  <si>
    <t>Tranche 1 (60%)</t>
  </si>
  <si>
    <t xml:space="preserve">Décaissement UNFPA </t>
  </si>
  <si>
    <t>Décaissement UNCEF</t>
  </si>
  <si>
    <t xml:space="preserve">Décaissement UNESCO </t>
  </si>
  <si>
    <t>Fait le 11 JUIN 2020</t>
  </si>
  <si>
    <t>Délivery UNICEF</t>
  </si>
  <si>
    <t>Délivery UNFPA</t>
  </si>
  <si>
    <t>Délivery UNESCO</t>
  </si>
  <si>
    <t>TOTAL DELIVERY</t>
  </si>
  <si>
    <t xml:space="preserve">DEPENSES  AU 10 JUIN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</si>
</sst>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F_G_-;\-* #,##0\ _F_G_-;_-* &quot;-&quot;\ _F_G_-;_-@_-"/>
    <numFmt numFmtId="165" formatCode="_-* #,##0.00\ _F_G_-;\-* #,##0.00\ _F_G_-;_-* &quot;-&quot;??\ _F_G_-;_-@_-"/>
    <numFmt numFmtId="166" formatCode="_-* #,##0.00\ _F_G_-;\-* #,##0.00\ _F_G_-;_-* &quot;-&quot;\ _F_G_-;_-@_-"/>
    <numFmt numFmtId="167" formatCode="_-* #,##0\ _€_-;\-* #,##0\ _€_-;_-* &quot;-&quot;??\ _€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sz val="10"/>
      <name val="Times New Roman"/>
      <family val="1"/>
    </font>
    <font>
      <b/>
      <sz val="10"/>
      <name val="Times New Roman"/>
      <family val="1"/>
    </font>
    <font>
      <b/>
      <sz val="12"/>
      <color theme="1"/>
      <name val="Calibri"/>
      <family val="2"/>
      <scheme val="minor"/>
    </font>
    <font>
      <sz val="14"/>
      <color theme="1"/>
      <name val="Calibri"/>
      <family val="2"/>
      <scheme val="minor"/>
    </font>
    <font>
      <b/>
      <sz val="12"/>
      <color theme="1"/>
      <name val="Calibri"/>
      <family val="2"/>
    </font>
    <font>
      <sz val="11"/>
      <color theme="1"/>
      <name val="Times New Roman"/>
      <family val="1"/>
    </font>
    <font>
      <sz val="12"/>
      <color theme="1"/>
      <name val="Calibri"/>
      <family val="2"/>
    </font>
    <font>
      <b/>
      <sz val="10"/>
      <color theme="1"/>
      <name val="Calibri"/>
      <family val="2"/>
    </font>
    <font>
      <b/>
      <sz val="12"/>
      <color theme="1"/>
      <name val="Times New Roman"/>
      <family val="1"/>
    </font>
    <font>
      <b/>
      <sz val="8"/>
      <name val="Times New Roman"/>
      <family val="1"/>
    </font>
    <font>
      <b/>
      <sz val="9"/>
      <color theme="1"/>
      <name val="Calibri"/>
      <family val="2"/>
      <scheme val="minor"/>
    </font>
    <font>
      <sz val="12"/>
      <color theme="1"/>
      <name val="Times New Roman"/>
      <family val="1"/>
    </font>
    <font>
      <sz val="10"/>
      <color theme="1"/>
      <name val="Calibri"/>
      <family val="2"/>
    </font>
    <font>
      <sz val="11"/>
      <name val="Times New Roman"/>
      <family val="1"/>
    </font>
  </fonts>
  <fills count="19">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5" tint="0.39997558519241921"/>
        <bgColor indexed="64"/>
      </patternFill>
    </fill>
    <fill>
      <patternFill patternType="solid">
        <fgColor rgb="FFFFFF00"/>
        <bgColor indexed="64"/>
      </patternFill>
    </fill>
  </fills>
  <borders count="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indexed="64"/>
      </left>
      <right/>
      <top/>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right style="medium">
        <color rgb="FF000000"/>
      </right>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3" fillId="0" borderId="0" xfId="0" applyFont="1"/>
    <xf numFmtId="0" fontId="4" fillId="0" borderId="0" xfId="0" applyFont="1"/>
    <xf numFmtId="0" fontId="5" fillId="0" borderId="6" xfId="0" applyFont="1" applyBorder="1" applyAlignment="1">
      <alignment vertical="center" wrapText="1"/>
    </xf>
    <xf numFmtId="165" fontId="5" fillId="0" borderId="6" xfId="1" applyFont="1" applyBorder="1" applyAlignment="1">
      <alignment vertical="center" wrapText="1"/>
    </xf>
    <xf numFmtId="167" fontId="5" fillId="0" borderId="6" xfId="1" applyNumberFormat="1" applyFont="1" applyBorder="1" applyAlignment="1">
      <alignment horizontal="left" vertical="center" wrapText="1"/>
    </xf>
    <xf numFmtId="0" fontId="7" fillId="0" borderId="6" xfId="0" applyFont="1" applyBorder="1" applyAlignment="1">
      <alignment vertical="center" wrapText="1"/>
    </xf>
    <xf numFmtId="0" fontId="5" fillId="0" borderId="8" xfId="0" applyFont="1" applyBorder="1" applyAlignment="1">
      <alignment vertical="center" wrapText="1"/>
    </xf>
    <xf numFmtId="165" fontId="5" fillId="0" borderId="8" xfId="1" applyFont="1" applyBorder="1" applyAlignment="1">
      <alignment vertical="center" wrapText="1"/>
    </xf>
    <xf numFmtId="0" fontId="4" fillId="4" borderId="0" xfId="0" applyFont="1" applyFill="1"/>
    <xf numFmtId="165" fontId="6" fillId="5" borderId="6" xfId="1" applyFont="1" applyFill="1" applyBorder="1" applyAlignment="1">
      <alignment vertical="center" wrapText="1"/>
    </xf>
    <xf numFmtId="0" fontId="5" fillId="0" borderId="3" xfId="0" applyFont="1" applyBorder="1" applyAlignment="1">
      <alignment vertical="center"/>
    </xf>
    <xf numFmtId="0" fontId="0" fillId="0" borderId="0" xfId="0" applyFont="1"/>
    <xf numFmtId="166" fontId="0" fillId="0" borderId="0" xfId="2" applyNumberFormat="1" applyFont="1"/>
    <xf numFmtId="0" fontId="10" fillId="0" borderId="0" xfId="0" applyFont="1"/>
    <xf numFmtId="0" fontId="0" fillId="0" borderId="0" xfId="0" applyAlignment="1">
      <alignment horizontal="center"/>
    </xf>
    <xf numFmtId="15" fontId="0" fillId="0" borderId="0" xfId="0" applyNumberFormat="1" applyFont="1" applyAlignment="1">
      <alignment horizontal="left"/>
    </xf>
    <xf numFmtId="0" fontId="9" fillId="0" borderId="0" xfId="0" applyFont="1"/>
    <xf numFmtId="0" fontId="2" fillId="0" borderId="0" xfId="0" applyFont="1"/>
    <xf numFmtId="0" fontId="11" fillId="8" borderId="15" xfId="0" applyFont="1" applyFill="1" applyBorder="1" applyAlignment="1">
      <alignment horizontal="center" vertical="center" wrapText="1"/>
    </xf>
    <xf numFmtId="165" fontId="12" fillId="0" borderId="6" xfId="1" applyFont="1" applyFill="1" applyBorder="1" applyAlignment="1">
      <alignment horizontal="right" vertical="center" wrapText="1"/>
    </xf>
    <xf numFmtId="167" fontId="13" fillId="0" borderId="15" xfId="1" applyNumberFormat="1" applyFont="1" applyBorder="1" applyAlignment="1">
      <alignment horizontal="left" vertical="center" wrapText="1"/>
    </xf>
    <xf numFmtId="0" fontId="5" fillId="0" borderId="16" xfId="0" applyFont="1" applyBorder="1" applyAlignment="1">
      <alignment vertical="center" wrapText="1"/>
    </xf>
    <xf numFmtId="165" fontId="12" fillId="0" borderId="8" xfId="1" applyFont="1" applyFill="1" applyBorder="1" applyAlignment="1">
      <alignment horizontal="right" vertical="center" wrapText="1"/>
    </xf>
    <xf numFmtId="0" fontId="5" fillId="0" borderId="14" xfId="0" applyFont="1" applyBorder="1" applyAlignment="1">
      <alignment vertical="center" wrapText="1"/>
    </xf>
    <xf numFmtId="165" fontId="12" fillId="0" borderId="18" xfId="1" applyFont="1" applyFill="1" applyBorder="1" applyAlignment="1">
      <alignment horizontal="right" vertical="center" wrapText="1"/>
    </xf>
    <xf numFmtId="165" fontId="12" fillId="0" borderId="6" xfId="1" applyFont="1" applyFill="1" applyBorder="1" applyAlignment="1">
      <alignment vertical="center" wrapText="1"/>
    </xf>
    <xf numFmtId="165" fontId="6" fillId="3" borderId="18" xfId="1" applyFont="1" applyFill="1" applyBorder="1" applyAlignment="1">
      <alignment horizontal="right" vertical="center" wrapText="1"/>
    </xf>
    <xf numFmtId="165" fontId="5" fillId="0" borderId="18" xfId="1" applyFont="1" applyFill="1" applyBorder="1" applyAlignment="1">
      <alignment horizontal="right" vertical="center" wrapText="1"/>
    </xf>
    <xf numFmtId="167" fontId="6" fillId="3" borderId="18"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165" fontId="12" fillId="0" borderId="17" xfId="1" applyFont="1" applyFill="1" applyBorder="1" applyAlignment="1">
      <alignment horizontal="center" wrapText="1"/>
    </xf>
    <xf numFmtId="165" fontId="12" fillId="0" borderId="8" xfId="1" applyFont="1" applyFill="1" applyBorder="1" applyAlignment="1">
      <alignment horizontal="center" wrapText="1"/>
    </xf>
    <xf numFmtId="165" fontId="12" fillId="0" borderId="0" xfId="1" applyFont="1" applyFill="1" applyBorder="1" applyAlignment="1">
      <alignment horizontal="center" wrapText="1"/>
    </xf>
    <xf numFmtId="43" fontId="0" fillId="0" borderId="8" xfId="0" applyNumberFormat="1" applyBorder="1" applyAlignment="1">
      <alignment horizontal="center"/>
    </xf>
    <xf numFmtId="165" fontId="12" fillId="0" borderId="3" xfId="1" applyFont="1" applyFill="1" applyBorder="1" applyAlignment="1">
      <alignment horizontal="center" wrapText="1"/>
    </xf>
    <xf numFmtId="165" fontId="5" fillId="0" borderId="3" xfId="1" applyFont="1" applyFill="1" applyBorder="1" applyAlignment="1">
      <alignment horizontal="center" wrapText="1"/>
    </xf>
    <xf numFmtId="165" fontId="5" fillId="0" borderId="6" xfId="1" applyFont="1" applyFill="1" applyBorder="1" applyAlignment="1">
      <alignment horizontal="center" wrapText="1"/>
    </xf>
    <xf numFmtId="43" fontId="0" fillId="0" borderId="6" xfId="0" applyNumberFormat="1" applyBorder="1" applyAlignment="1">
      <alignment horizontal="center"/>
    </xf>
    <xf numFmtId="165" fontId="5" fillId="0" borderId="10" xfId="1" applyFont="1" applyFill="1" applyBorder="1" applyAlignment="1">
      <alignment horizontal="center" wrapText="1"/>
    </xf>
    <xf numFmtId="165" fontId="5" fillId="0" borderId="18" xfId="1" applyFont="1" applyFill="1" applyBorder="1" applyAlignment="1">
      <alignment horizontal="center" wrapText="1"/>
    </xf>
    <xf numFmtId="165" fontId="5" fillId="0" borderId="8" xfId="1" applyFont="1" applyFill="1" applyBorder="1" applyAlignment="1">
      <alignment horizontal="center" wrapText="1"/>
    </xf>
    <xf numFmtId="0" fontId="6" fillId="9" borderId="16" xfId="0" applyFont="1" applyFill="1" applyBorder="1" applyAlignment="1">
      <alignment vertical="center" wrapText="1"/>
    </xf>
    <xf numFmtId="165" fontId="6" fillId="3" borderId="6" xfId="1" applyFont="1" applyFill="1" applyBorder="1" applyAlignment="1">
      <alignment horizontal="right" vertical="center" wrapText="1"/>
    </xf>
    <xf numFmtId="43" fontId="0" fillId="3" borderId="6" xfId="0" applyNumberFormat="1" applyFill="1" applyBorder="1" applyAlignment="1">
      <alignment horizontal="center"/>
    </xf>
    <xf numFmtId="43" fontId="2" fillId="0" borderId="18" xfId="0" applyNumberFormat="1" applyFont="1" applyFill="1" applyBorder="1"/>
    <xf numFmtId="0" fontId="6" fillId="9" borderId="14" xfId="0" applyFont="1" applyFill="1" applyBorder="1" applyAlignment="1">
      <alignment horizontal="center" vertical="center" wrapText="1"/>
    </xf>
    <xf numFmtId="167" fontId="15" fillId="3" borderId="18" xfId="1" applyNumberFormat="1" applyFont="1" applyFill="1" applyBorder="1" applyAlignment="1">
      <alignment vertical="center" wrapText="1"/>
    </xf>
    <xf numFmtId="43" fontId="0" fillId="0" borderId="0" xfId="0" applyNumberFormat="1"/>
    <xf numFmtId="165" fontId="0" fillId="0" borderId="0" xfId="1" applyFont="1"/>
    <xf numFmtId="0" fontId="0" fillId="0" borderId="6" xfId="0" applyBorder="1"/>
    <xf numFmtId="9" fontId="0" fillId="10" borderId="6" xfId="3" applyFont="1" applyFill="1" applyBorder="1" applyAlignment="1">
      <alignment horizontal="center" vertical="center"/>
    </xf>
    <xf numFmtId="9" fontId="0" fillId="0" borderId="1" xfId="3" applyFont="1" applyBorder="1" applyAlignment="1">
      <alignment horizontal="center" vertical="center"/>
    </xf>
    <xf numFmtId="9" fontId="0" fillId="3" borderId="6" xfId="3" applyFont="1" applyFill="1" applyBorder="1" applyAlignment="1">
      <alignment horizontal="center" vertical="center"/>
    </xf>
    <xf numFmtId="9" fontId="0" fillId="0" borderId="6" xfId="3" applyFont="1" applyFill="1" applyBorder="1" applyAlignment="1">
      <alignment horizontal="center" vertical="center"/>
    </xf>
    <xf numFmtId="0" fontId="5" fillId="0" borderId="1" xfId="0" applyFont="1" applyBorder="1" applyAlignment="1">
      <alignment horizontal="left" vertical="center" wrapText="1"/>
    </xf>
    <xf numFmtId="0" fontId="14" fillId="12" borderId="21" xfId="0" applyFont="1" applyFill="1" applyBorder="1" applyAlignment="1">
      <alignment horizontal="center" vertical="center" wrapText="1"/>
    </xf>
    <xf numFmtId="0" fontId="8" fillId="12" borderId="12" xfId="0" applyFont="1" applyFill="1" applyBorder="1" applyAlignment="1">
      <alignment horizontal="center" vertical="center" wrapText="1"/>
    </xf>
    <xf numFmtId="165" fontId="16" fillId="2" borderId="6" xfId="1" applyFont="1" applyFill="1" applyBorder="1" applyAlignment="1">
      <alignment horizontal="center" vertical="center" wrapText="1"/>
    </xf>
    <xf numFmtId="0" fontId="4" fillId="17" borderId="0" xfId="0" applyFont="1" applyFill="1"/>
    <xf numFmtId="0" fontId="4" fillId="0" borderId="0" xfId="0" applyFont="1" applyAlignment="1">
      <alignment wrapText="1"/>
    </xf>
    <xf numFmtId="165" fontId="6" fillId="0" borderId="6" xfId="1" applyFont="1" applyBorder="1" applyAlignment="1">
      <alignment vertical="center" wrapText="1"/>
    </xf>
    <xf numFmtId="165" fontId="7" fillId="0" borderId="8" xfId="1" applyFont="1" applyBorder="1" applyAlignment="1">
      <alignment vertical="center" wrapText="1"/>
    </xf>
    <xf numFmtId="165" fontId="7" fillId="0" borderId="6" xfId="1" applyFont="1" applyBorder="1" applyAlignment="1">
      <alignment vertical="center" wrapText="1"/>
    </xf>
    <xf numFmtId="165" fontId="6" fillId="14" borderId="6" xfId="1" applyFont="1" applyFill="1" applyBorder="1" applyAlignment="1">
      <alignment vertical="center" wrapText="1"/>
    </xf>
    <xf numFmtId="165" fontId="5" fillId="4" borderId="6" xfId="1" applyFont="1" applyFill="1" applyBorder="1" applyAlignment="1">
      <alignment vertical="center" wrapText="1"/>
    </xf>
    <xf numFmtId="0" fontId="4" fillId="15" borderId="23" xfId="0" applyFont="1" applyFill="1" applyBorder="1" applyAlignment="1">
      <alignment vertical="center"/>
    </xf>
    <xf numFmtId="0" fontId="5" fillId="14" borderId="6" xfId="0" applyFont="1" applyFill="1" applyBorder="1" applyAlignment="1">
      <alignment vertical="center" wrapText="1"/>
    </xf>
    <xf numFmtId="165" fontId="6" fillId="11" borderId="6" xfId="1" applyFont="1" applyFill="1" applyBorder="1" applyAlignment="1">
      <alignment vertical="center" wrapText="1"/>
    </xf>
    <xf numFmtId="4" fontId="6" fillId="11" borderId="6" xfId="0" applyNumberFormat="1" applyFont="1" applyFill="1" applyBorder="1" applyAlignment="1">
      <alignment vertical="center" wrapText="1"/>
    </xf>
    <xf numFmtId="3" fontId="7" fillId="0" borderId="6" xfId="0" applyNumberFormat="1" applyFont="1" applyBorder="1" applyAlignment="1">
      <alignment vertical="center" wrapText="1"/>
    </xf>
    <xf numFmtId="165" fontId="8" fillId="5" borderId="6" xfId="1" applyFont="1" applyFill="1" applyBorder="1" applyAlignment="1">
      <alignment vertical="center" wrapText="1"/>
    </xf>
    <xf numFmtId="0" fontId="6" fillId="11" borderId="6" xfId="0" applyFont="1" applyFill="1" applyBorder="1" applyAlignment="1">
      <alignment vertical="center" wrapText="1"/>
    </xf>
    <xf numFmtId="165" fontId="6" fillId="16" borderId="6" xfId="1" applyFont="1" applyFill="1" applyBorder="1" applyAlignment="1">
      <alignment vertical="center" wrapText="1"/>
    </xf>
    <xf numFmtId="0" fontId="4" fillId="16" borderId="6" xfId="0" applyFont="1" applyFill="1" applyBorder="1"/>
    <xf numFmtId="165" fontId="8" fillId="12" borderId="12" xfId="1" applyFont="1" applyFill="1" applyBorder="1" applyAlignment="1">
      <alignment horizontal="center" vertical="center" wrapText="1"/>
    </xf>
    <xf numFmtId="9" fontId="3" fillId="0" borderId="0" xfId="3" applyFont="1"/>
    <xf numFmtId="43" fontId="4" fillId="0" borderId="0" xfId="0" applyNumberFormat="1" applyFont="1"/>
    <xf numFmtId="164" fontId="4" fillId="0" borderId="0" xfId="2" applyFont="1"/>
    <xf numFmtId="165" fontId="4" fillId="0" borderId="0" xfId="0" applyNumberFormat="1" applyFont="1"/>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1" xfId="0" applyFont="1" applyBorder="1" applyAlignment="1">
      <alignment horizontal="center" vertical="center"/>
    </xf>
    <xf numFmtId="43" fontId="4" fillId="0" borderId="11" xfId="3" applyNumberFormat="1" applyFont="1" applyFill="1" applyBorder="1" applyAlignment="1">
      <alignment horizontal="center" vertical="center"/>
    </xf>
    <xf numFmtId="43" fontId="4" fillId="0" borderId="2" xfId="3" applyNumberFormat="1" applyFont="1" applyFill="1" applyBorder="1" applyAlignment="1">
      <alignment horizontal="center" vertical="center"/>
    </xf>
    <xf numFmtId="0" fontId="3" fillId="0" borderId="3" xfId="0" applyFont="1" applyBorder="1" applyAlignment="1">
      <alignment horizontal="center"/>
    </xf>
    <xf numFmtId="165" fontId="6" fillId="0" borderId="8" xfId="0" applyNumberFormat="1" applyFont="1" applyBorder="1" applyAlignment="1">
      <alignment vertical="center" wrapText="1"/>
    </xf>
    <xf numFmtId="165" fontId="8" fillId="0" borderId="1" xfId="0" applyNumberFormat="1" applyFont="1" applyBorder="1" applyAlignment="1">
      <alignment horizontal="left" vertical="center" wrapText="1"/>
    </xf>
    <xf numFmtId="165" fontId="5" fillId="5" borderId="6" xfId="1" applyFont="1" applyFill="1" applyBorder="1" applyAlignment="1">
      <alignment vertical="center" wrapText="1"/>
    </xf>
    <xf numFmtId="165" fontId="5" fillId="14" borderId="6" xfId="1" applyFont="1" applyFill="1" applyBorder="1" applyAlignment="1">
      <alignment vertical="center" wrapText="1"/>
    </xf>
    <xf numFmtId="165" fontId="5" fillId="11" borderId="6" xfId="1" applyFont="1" applyFill="1" applyBorder="1" applyAlignment="1">
      <alignment vertical="center" wrapText="1"/>
    </xf>
    <xf numFmtId="165" fontId="7" fillId="5" borderId="6" xfId="1" applyFont="1" applyFill="1" applyBorder="1" applyAlignment="1">
      <alignment vertical="center" wrapText="1"/>
    </xf>
    <xf numFmtId="165" fontId="5" fillId="16" borderId="6" xfId="1" applyFont="1" applyFill="1" applyBorder="1" applyAlignment="1">
      <alignment vertical="center" wrapText="1"/>
    </xf>
    <xf numFmtId="165" fontId="6" fillId="0" borderId="6" xfId="0" applyNumberFormat="1" applyFont="1" applyBorder="1" applyAlignment="1">
      <alignment vertical="center" wrapText="1"/>
    </xf>
    <xf numFmtId="165" fontId="8" fillId="0" borderId="6" xfId="0" applyNumberFormat="1" applyFont="1" applyBorder="1" applyAlignment="1">
      <alignment vertical="center" wrapText="1"/>
    </xf>
    <xf numFmtId="165" fontId="6" fillId="0" borderId="3" xfId="0" applyNumberFormat="1" applyFont="1" applyBorder="1" applyAlignment="1">
      <alignment vertical="center"/>
    </xf>
    <xf numFmtId="9" fontId="4" fillId="6" borderId="1" xfId="3" applyFont="1" applyFill="1" applyBorder="1" applyAlignment="1">
      <alignment horizontal="center" vertical="center" wrapText="1"/>
    </xf>
    <xf numFmtId="165" fontId="12" fillId="5" borderId="3" xfId="1" applyFont="1" applyFill="1" applyBorder="1" applyAlignment="1">
      <alignment horizontal="center" wrapText="1"/>
    </xf>
    <xf numFmtId="165" fontId="5" fillId="5" borderId="18" xfId="1" applyFont="1" applyFill="1" applyBorder="1" applyAlignment="1">
      <alignment horizontal="center" vertical="center" wrapText="1"/>
    </xf>
    <xf numFmtId="0" fontId="17" fillId="6" borderId="9" xfId="0" applyFont="1" applyFill="1" applyBorder="1" applyAlignment="1">
      <alignment horizontal="center" vertical="center" wrapText="1"/>
    </xf>
    <xf numFmtId="0" fontId="3" fillId="6" borderId="11" xfId="0" applyFont="1" applyFill="1" applyBorder="1" applyAlignment="1">
      <alignment horizontal="center" vertical="center"/>
    </xf>
    <xf numFmtId="43" fontId="17" fillId="0" borderId="11" xfId="1" applyNumberFormat="1" applyFont="1" applyBorder="1" applyAlignment="1">
      <alignment horizontal="center" vertical="center"/>
    </xf>
    <xf numFmtId="43" fontId="3" fillId="0" borderId="3" xfId="0" applyNumberFormat="1" applyFont="1" applyBorder="1" applyAlignment="1">
      <alignment horizontal="center" vertical="center"/>
    </xf>
    <xf numFmtId="165" fontId="4" fillId="0" borderId="1" xfId="1" applyFont="1" applyFill="1" applyBorder="1" applyAlignment="1">
      <alignment horizontal="center" vertical="center"/>
    </xf>
    <xf numFmtId="43" fontId="3" fillId="0" borderId="20" xfId="3" applyNumberFormat="1" applyFont="1" applyFill="1" applyBorder="1" applyAlignment="1">
      <alignment horizontal="center" vertical="center"/>
    </xf>
    <xf numFmtId="166" fontId="4" fillId="0" borderId="22" xfId="2" applyNumberFormat="1" applyFont="1" applyFill="1" applyBorder="1" applyAlignment="1">
      <alignment horizontal="center" vertical="center"/>
    </xf>
    <xf numFmtId="166" fontId="3" fillId="0" borderId="13" xfId="2" applyNumberFormat="1" applyFont="1" applyFill="1" applyBorder="1" applyAlignment="1">
      <alignment horizontal="center" vertical="center"/>
    </xf>
    <xf numFmtId="0" fontId="3" fillId="6" borderId="2" xfId="0" applyFont="1" applyFill="1" applyBorder="1" applyAlignment="1">
      <alignment horizontal="center" vertical="center" wrapText="1"/>
    </xf>
    <xf numFmtId="9" fontId="4" fillId="0" borderId="2" xfId="3" applyFont="1" applyFill="1" applyBorder="1" applyAlignment="1">
      <alignment horizontal="center" vertical="center"/>
    </xf>
    <xf numFmtId="166" fontId="3" fillId="0" borderId="1" xfId="2" applyNumberFormat="1" applyFont="1" applyFill="1" applyBorder="1" applyAlignment="1">
      <alignment horizontal="center" vertical="center"/>
    </xf>
    <xf numFmtId="0" fontId="4" fillId="0" borderId="0" xfId="0" applyFont="1" applyAlignment="1">
      <alignment horizontal="center"/>
    </xf>
    <xf numFmtId="15" fontId="4" fillId="0" borderId="0" xfId="0" applyNumberFormat="1" applyFont="1" applyAlignment="1">
      <alignment horizontal="center"/>
    </xf>
    <xf numFmtId="9" fontId="5" fillId="0" borderId="8" xfId="3" applyFont="1" applyBorder="1" applyAlignment="1">
      <alignment horizontal="center" vertical="center" wrapText="1"/>
    </xf>
    <xf numFmtId="9" fontId="6" fillId="5" borderId="8" xfId="3" applyFont="1" applyFill="1" applyBorder="1" applyAlignment="1">
      <alignment horizontal="center" vertical="center" wrapText="1"/>
    </xf>
    <xf numFmtId="9" fontId="6" fillId="14" borderId="8" xfId="3" applyFont="1" applyFill="1" applyBorder="1" applyAlignment="1">
      <alignment horizontal="center" vertical="center" wrapText="1"/>
    </xf>
    <xf numFmtId="9" fontId="6" fillId="11" borderId="8" xfId="3" applyFont="1" applyFill="1" applyBorder="1" applyAlignment="1">
      <alignment horizontal="center" vertical="center" wrapText="1"/>
    </xf>
    <xf numFmtId="9" fontId="6" fillId="16" borderId="8" xfId="3" applyFont="1" applyFill="1" applyBorder="1" applyAlignment="1">
      <alignment horizontal="center" vertical="center" wrapText="1"/>
    </xf>
    <xf numFmtId="0" fontId="5" fillId="0" borderId="3" xfId="0" applyFont="1" applyBorder="1" applyAlignment="1">
      <alignment vertical="center" wrapText="1"/>
    </xf>
    <xf numFmtId="9" fontId="18" fillId="0" borderId="25" xfId="0" applyNumberFormat="1" applyFont="1" applyBorder="1" applyAlignment="1">
      <alignment horizontal="right" vertical="center" wrapText="1"/>
    </xf>
    <xf numFmtId="9" fontId="18" fillId="0" borderId="26" xfId="0" applyNumberFormat="1" applyFont="1" applyBorder="1" applyAlignment="1">
      <alignment horizontal="right" vertical="center" wrapText="1"/>
    </xf>
    <xf numFmtId="9" fontId="18" fillId="0" borderId="18" xfId="0" applyNumberFormat="1" applyFont="1" applyBorder="1" applyAlignment="1">
      <alignment horizontal="right" vertical="center" wrapText="1"/>
    </xf>
    <xf numFmtId="43" fontId="6" fillId="14" borderId="6" xfId="1" applyNumberFormat="1" applyFont="1" applyFill="1" applyBorder="1" applyAlignment="1">
      <alignment vertical="center" wrapText="1"/>
    </xf>
    <xf numFmtId="165" fontId="5" fillId="0" borderId="26" xfId="1" applyFont="1" applyBorder="1" applyAlignment="1">
      <alignment vertical="center" wrapText="1"/>
    </xf>
    <xf numFmtId="43" fontId="3" fillId="0" borderId="9" xfId="3" applyNumberFormat="1" applyFont="1" applyFill="1" applyBorder="1" applyAlignment="1">
      <alignment horizontal="center" vertical="center"/>
    </xf>
    <xf numFmtId="43" fontId="4" fillId="0" borderId="4" xfId="3" applyNumberFormat="1" applyFont="1" applyFill="1" applyBorder="1" applyAlignment="1">
      <alignment horizontal="center" vertical="center"/>
    </xf>
    <xf numFmtId="166" fontId="4" fillId="0" borderId="9" xfId="2" applyNumberFormat="1" applyFont="1" applyFill="1" applyBorder="1" applyAlignment="1">
      <alignment horizontal="center" vertical="center"/>
    </xf>
    <xf numFmtId="0" fontId="6" fillId="5" borderId="18" xfId="0" applyFont="1" applyFill="1" applyBorder="1" applyAlignment="1">
      <alignment horizontal="center" vertical="center" wrapText="1"/>
    </xf>
    <xf numFmtId="165" fontId="5" fillId="5" borderId="8" xfId="1" applyFont="1" applyFill="1" applyBorder="1" applyAlignment="1">
      <alignment vertical="center" wrapText="1"/>
    </xf>
    <xf numFmtId="165" fontId="6" fillId="5" borderId="8" xfId="1" applyFont="1" applyFill="1" applyBorder="1" applyAlignment="1">
      <alignment vertical="center" wrapText="1"/>
    </xf>
    <xf numFmtId="0" fontId="5" fillId="0" borderId="26" xfId="0" applyFont="1" applyBorder="1" applyAlignment="1">
      <alignment vertical="center" wrapText="1"/>
    </xf>
    <xf numFmtId="0" fontId="3" fillId="13" borderId="26" xfId="0" applyFont="1" applyFill="1" applyBorder="1" applyAlignment="1">
      <alignment horizontal="center"/>
    </xf>
    <xf numFmtId="0" fontId="4" fillId="13" borderId="26" xfId="0" applyFont="1" applyFill="1" applyBorder="1" applyAlignment="1">
      <alignment horizontal="center" vertical="center"/>
    </xf>
    <xf numFmtId="165" fontId="3" fillId="13" borderId="26" xfId="1" applyFont="1" applyFill="1" applyBorder="1" applyAlignment="1">
      <alignment horizontal="center" vertical="center"/>
    </xf>
    <xf numFmtId="0" fontId="3" fillId="13" borderId="26" xfId="0" applyFont="1" applyFill="1" applyBorder="1" applyAlignment="1">
      <alignment horizontal="center" vertical="center"/>
    </xf>
    <xf numFmtId="9" fontId="5" fillId="0" borderId="26" xfId="3" applyFont="1" applyBorder="1" applyAlignment="1">
      <alignment horizontal="center" vertical="center" wrapText="1"/>
    </xf>
    <xf numFmtId="165" fontId="6" fillId="0" borderId="26" xfId="0" applyNumberFormat="1" applyFont="1" applyBorder="1" applyAlignment="1">
      <alignment vertical="center" wrapText="1"/>
    </xf>
    <xf numFmtId="0" fontId="7" fillId="0" borderId="26" xfId="0" applyFont="1" applyBorder="1" applyAlignment="1">
      <alignment vertical="center" wrapText="1"/>
    </xf>
    <xf numFmtId="0" fontId="18" fillId="0" borderId="26" xfId="0" applyFont="1" applyBorder="1" applyAlignment="1">
      <alignment horizontal="right" vertical="center" wrapText="1"/>
    </xf>
    <xf numFmtId="165" fontId="7" fillId="0" borderId="26" xfId="1" applyFont="1" applyBorder="1" applyAlignment="1">
      <alignment vertical="center" wrapText="1"/>
    </xf>
    <xf numFmtId="0" fontId="4" fillId="15" borderId="27" xfId="0" applyFont="1" applyFill="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6" fillId="0" borderId="29" xfId="0" applyFont="1" applyBorder="1" applyAlignment="1">
      <alignment vertical="center" wrapText="1"/>
    </xf>
    <xf numFmtId="0" fontId="4" fillId="0"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3" fillId="13" borderId="31" xfId="0" applyFont="1" applyFill="1" applyBorder="1" applyAlignment="1">
      <alignment horizontal="center"/>
    </xf>
    <xf numFmtId="0" fontId="3" fillId="3" borderId="32" xfId="0" applyFont="1" applyFill="1" applyBorder="1" applyAlignment="1">
      <alignment horizontal="center"/>
    </xf>
    <xf numFmtId="167" fontId="5" fillId="0" borderId="32" xfId="1" applyNumberFormat="1" applyFont="1" applyBorder="1" applyAlignment="1">
      <alignment horizontal="left" vertical="center" wrapText="1"/>
    </xf>
    <xf numFmtId="167" fontId="7" fillId="0" borderId="6" xfId="1" applyNumberFormat="1" applyFont="1" applyBorder="1" applyAlignment="1">
      <alignment horizontal="left" vertical="center" wrapText="1"/>
    </xf>
    <xf numFmtId="0" fontId="6" fillId="5" borderId="6" xfId="0" applyFont="1" applyFill="1" applyBorder="1" applyAlignment="1">
      <alignment vertical="center" wrapText="1"/>
    </xf>
    <xf numFmtId="0" fontId="6" fillId="5" borderId="1" xfId="0" applyFont="1" applyFill="1" applyBorder="1" applyAlignment="1">
      <alignment vertical="center" wrapText="1"/>
    </xf>
    <xf numFmtId="167" fontId="6" fillId="0" borderId="32" xfId="1" applyNumberFormat="1" applyFont="1" applyBorder="1" applyAlignment="1">
      <alignment vertical="center" wrapText="1"/>
    </xf>
    <xf numFmtId="0" fontId="6" fillId="5" borderId="8" xfId="0" applyFont="1" applyFill="1" applyBorder="1" applyAlignment="1">
      <alignment vertical="center" wrapText="1"/>
    </xf>
    <xf numFmtId="9" fontId="5" fillId="0" borderId="8" xfId="3" applyNumberFormat="1" applyFont="1" applyBorder="1" applyAlignment="1">
      <alignment horizontal="center" vertical="center" wrapText="1"/>
    </xf>
    <xf numFmtId="9" fontId="5" fillId="0" borderId="6" xfId="3" applyFont="1" applyBorder="1" applyAlignment="1">
      <alignment horizontal="center" vertical="center" wrapText="1"/>
    </xf>
    <xf numFmtId="0" fontId="4" fillId="0" borderId="0" xfId="0" applyFont="1" applyFill="1"/>
    <xf numFmtId="0" fontId="3" fillId="0" borderId="0" xfId="0" applyFont="1" applyFill="1"/>
    <xf numFmtId="0" fontId="4" fillId="0" borderId="0" xfId="0" applyFont="1" applyFill="1" applyAlignment="1">
      <alignment wrapText="1"/>
    </xf>
    <xf numFmtId="0" fontId="3" fillId="0" borderId="0" xfId="0" applyFont="1" applyFill="1" applyAlignment="1">
      <alignment wrapText="1"/>
    </xf>
    <xf numFmtId="166" fontId="5" fillId="0" borderId="29" xfId="2" applyNumberFormat="1" applyFont="1" applyFill="1" applyBorder="1" applyAlignment="1">
      <alignment vertical="center" wrapText="1"/>
    </xf>
    <xf numFmtId="2" fontId="0" fillId="0" borderId="26" xfId="1" applyNumberFormat="1" applyFont="1" applyFill="1" applyBorder="1" applyAlignment="1">
      <alignment vertical="center"/>
    </xf>
    <xf numFmtId="165" fontId="0" fillId="0" borderId="26" xfId="1" applyFont="1" applyFill="1" applyBorder="1" applyAlignment="1">
      <alignment vertical="center"/>
    </xf>
    <xf numFmtId="165" fontId="6" fillId="0" borderId="8" xfId="1" applyFont="1" applyFill="1" applyBorder="1" applyAlignment="1">
      <alignment vertical="center" wrapText="1"/>
    </xf>
    <xf numFmtId="2" fontId="0" fillId="0" borderId="24" xfId="1" applyNumberFormat="1" applyFont="1" applyFill="1" applyBorder="1" applyAlignment="1">
      <alignment vertical="center"/>
    </xf>
    <xf numFmtId="2" fontId="0" fillId="0" borderId="6" xfId="1" applyNumberFormat="1" applyFont="1" applyFill="1" applyBorder="1" applyAlignment="1">
      <alignment vertical="center"/>
    </xf>
    <xf numFmtId="167" fontId="0" fillId="0" borderId="26" xfId="1" applyNumberFormat="1" applyFont="1" applyFill="1" applyBorder="1" applyAlignment="1">
      <alignment vertical="center"/>
    </xf>
    <xf numFmtId="167" fontId="0" fillId="0" borderId="24" xfId="1" applyNumberFormat="1" applyFont="1" applyFill="1" applyBorder="1" applyAlignment="1">
      <alignment vertical="center"/>
    </xf>
    <xf numFmtId="165" fontId="8" fillId="0" borderId="8" xfId="1" applyFont="1" applyFill="1" applyBorder="1" applyAlignment="1">
      <alignment vertical="center" wrapText="1"/>
    </xf>
    <xf numFmtId="9" fontId="18" fillId="0" borderId="18" xfId="0" applyNumberFormat="1" applyFont="1" applyFill="1" applyBorder="1" applyAlignment="1">
      <alignment horizontal="right" vertical="center" wrapText="1"/>
    </xf>
    <xf numFmtId="165" fontId="0" fillId="0" borderId="0" xfId="1" applyFont="1" applyFill="1" applyBorder="1" applyAlignment="1">
      <alignment vertical="center"/>
    </xf>
    <xf numFmtId="2" fontId="1" fillId="0" borderId="26" xfId="1" applyNumberFormat="1" applyFont="1" applyFill="1" applyBorder="1" applyAlignment="1">
      <alignment vertical="center"/>
    </xf>
    <xf numFmtId="165" fontId="1" fillId="0" borderId="26" xfId="1" applyFont="1" applyFill="1" applyBorder="1" applyAlignment="1">
      <alignment vertical="center"/>
    </xf>
    <xf numFmtId="165" fontId="1" fillId="0" borderId="0" xfId="1" applyFont="1" applyFill="1" applyBorder="1" applyAlignment="1">
      <alignment vertical="center"/>
    </xf>
    <xf numFmtId="165" fontId="7" fillId="0" borderId="8" xfId="1" applyFont="1" applyFill="1" applyBorder="1" applyAlignment="1">
      <alignment vertical="center" wrapText="1"/>
    </xf>
    <xf numFmtId="165" fontId="5" fillId="0" borderId="8" xfId="1" applyFont="1" applyFill="1" applyBorder="1" applyAlignment="1">
      <alignment vertical="center" wrapText="1"/>
    </xf>
    <xf numFmtId="164" fontId="4" fillId="0" borderId="0" xfId="2" applyFont="1" applyFill="1"/>
    <xf numFmtId="165" fontId="3" fillId="0" borderId="0" xfId="0" applyNumberFormat="1" applyFont="1" applyFill="1"/>
    <xf numFmtId="0" fontId="17" fillId="0" borderId="9" xfId="0" applyFont="1" applyFill="1" applyBorder="1" applyAlignment="1">
      <alignment horizontal="center" vertical="center" wrapText="1"/>
    </xf>
    <xf numFmtId="166" fontId="3" fillId="0" borderId="11" xfId="2" applyNumberFormat="1" applyFont="1" applyFill="1" applyBorder="1" applyAlignment="1">
      <alignment horizontal="center" vertical="center" wrapText="1"/>
    </xf>
    <xf numFmtId="9" fontId="6" fillId="0" borderId="8" xfId="3" applyFont="1" applyFill="1" applyBorder="1" applyAlignment="1">
      <alignment horizontal="center" vertical="center" wrapText="1"/>
    </xf>
    <xf numFmtId="166" fontId="3" fillId="0" borderId="6" xfId="2" applyNumberFormat="1" applyFont="1" applyFill="1" applyBorder="1" applyAlignment="1">
      <alignment horizontal="center" vertical="center"/>
    </xf>
    <xf numFmtId="9" fontId="4" fillId="0" borderId="6" xfId="3" applyFont="1" applyFill="1" applyBorder="1" applyAlignment="1">
      <alignment horizontal="center" vertical="center"/>
    </xf>
    <xf numFmtId="165" fontId="12" fillId="5" borderId="10" xfId="1" applyFont="1" applyFill="1" applyBorder="1" applyAlignment="1">
      <alignment horizontal="center" wrapText="1"/>
    </xf>
    <xf numFmtId="0" fontId="15" fillId="3" borderId="5" xfId="1" applyNumberFormat="1" applyFont="1" applyFill="1" applyBorder="1" applyAlignment="1">
      <alignment vertical="center" wrapText="1"/>
    </xf>
    <xf numFmtId="165" fontId="20" fillId="0" borderId="17" xfId="1" applyFont="1" applyFill="1" applyBorder="1" applyAlignment="1">
      <alignment horizontal="center" wrapText="1"/>
    </xf>
    <xf numFmtId="165" fontId="20" fillId="0" borderId="1" xfId="1" applyFont="1" applyFill="1" applyBorder="1" applyAlignment="1">
      <alignment horizontal="center" wrapText="1"/>
    </xf>
    <xf numFmtId="165" fontId="20" fillId="0" borderId="6" xfId="1" applyFont="1" applyFill="1" applyBorder="1" applyAlignment="1">
      <alignment horizontal="center" wrapText="1"/>
    </xf>
    <xf numFmtId="165" fontId="20" fillId="0" borderId="7" xfId="1" applyFont="1" applyFill="1" applyBorder="1" applyAlignment="1">
      <alignment horizontal="center" wrapText="1"/>
    </xf>
    <xf numFmtId="0" fontId="11" fillId="8" borderId="39" xfId="0" applyFont="1" applyFill="1" applyBorder="1" applyAlignment="1">
      <alignment horizontal="center" vertical="center" wrapText="1"/>
    </xf>
    <xf numFmtId="167" fontId="13" fillId="0" borderId="39" xfId="1" applyNumberFormat="1" applyFont="1" applyBorder="1" applyAlignment="1">
      <alignment horizontal="left" vertical="center" wrapText="1"/>
    </xf>
    <xf numFmtId="0" fontId="5" fillId="0" borderId="40" xfId="0" applyFont="1" applyBorder="1" applyAlignment="1">
      <alignment vertical="center" wrapText="1"/>
    </xf>
    <xf numFmtId="0" fontId="5" fillId="0" borderId="38" xfId="0" applyFont="1" applyBorder="1" applyAlignment="1">
      <alignment vertical="center" wrapText="1"/>
    </xf>
    <xf numFmtId="0" fontId="6" fillId="9" borderId="41" xfId="0" applyFont="1" applyFill="1" applyBorder="1" applyAlignment="1">
      <alignment vertical="center" wrapText="1"/>
    </xf>
    <xf numFmtId="0" fontId="5" fillId="0" borderId="19" xfId="0" applyFont="1" applyBorder="1" applyAlignment="1">
      <alignment vertical="center" wrapText="1"/>
    </xf>
    <xf numFmtId="0" fontId="11" fillId="8" borderId="44" xfId="0" applyFont="1" applyFill="1" applyBorder="1" applyAlignment="1">
      <alignment horizontal="center" vertical="center" wrapText="1"/>
    </xf>
    <xf numFmtId="165" fontId="12" fillId="0" borderId="5" xfId="1" applyFont="1" applyFill="1" applyBorder="1" applyAlignment="1">
      <alignment horizontal="right" vertical="center" wrapText="1"/>
    </xf>
    <xf numFmtId="167" fontId="13" fillId="0" borderId="6" xfId="1" applyNumberFormat="1" applyFont="1" applyBorder="1" applyAlignment="1">
      <alignment horizontal="left" vertical="center" wrapText="1"/>
    </xf>
    <xf numFmtId="3" fontId="19" fillId="0" borderId="6" xfId="0" applyNumberFormat="1" applyFont="1" applyBorder="1" applyAlignment="1">
      <alignment horizontal="right" vertical="center" wrapText="1"/>
    </xf>
    <xf numFmtId="0" fontId="0" fillId="18" borderId="6" xfId="0" applyFill="1" applyBorder="1"/>
    <xf numFmtId="9" fontId="0" fillId="18" borderId="6" xfId="3" applyFont="1" applyFill="1" applyBorder="1"/>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1" fillId="7" borderId="37" xfId="0" applyFont="1" applyFill="1" applyBorder="1" applyAlignment="1">
      <alignment horizontal="center" vertical="center" wrapText="1"/>
    </xf>
    <xf numFmtId="43" fontId="3" fillId="0" borderId="3" xfId="3" applyNumberFormat="1" applyFont="1" applyFill="1" applyBorder="1" applyAlignment="1">
      <alignment horizontal="center"/>
    </xf>
    <xf numFmtId="43" fontId="3" fillId="0" borderId="5" xfId="3" applyNumberFormat="1"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6" fillId="11" borderId="3"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6" fillId="16" borderId="3" xfId="0" applyFont="1" applyFill="1" applyBorder="1" applyAlignment="1">
      <alignment horizontal="left" vertical="center" wrapText="1"/>
    </xf>
    <xf numFmtId="0" fontId="6" fillId="16" borderId="5" xfId="0" applyFont="1" applyFill="1" applyBorder="1" applyAlignment="1">
      <alignment horizontal="left" vertical="center" wrapText="1"/>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43" fontId="4" fillId="0" borderId="11" xfId="3" applyNumberFormat="1" applyFont="1" applyFill="1" applyBorder="1" applyAlignment="1">
      <alignment horizontal="center" vertical="center"/>
    </xf>
    <xf numFmtId="43" fontId="4" fillId="0" borderId="2" xfId="3" applyNumberFormat="1" applyFont="1" applyFill="1" applyBorder="1" applyAlignment="1">
      <alignment horizontal="center" vertical="center"/>
    </xf>
    <xf numFmtId="0" fontId="5" fillId="0" borderId="6" xfId="0" applyFont="1" applyBorder="1" applyAlignment="1">
      <alignment horizontal="center" vertical="center" wrapText="1"/>
    </xf>
    <xf numFmtId="0" fontId="4" fillId="15" borderId="2" xfId="0" applyFont="1" applyFill="1" applyBorder="1" applyAlignment="1">
      <alignment horizontal="center" vertical="center"/>
    </xf>
    <xf numFmtId="0" fontId="4" fillId="15" borderId="25" xfId="0" applyFont="1" applyFill="1" applyBorder="1" applyAlignment="1">
      <alignment horizontal="center" vertical="center"/>
    </xf>
    <xf numFmtId="0" fontId="4" fillId="15" borderId="18" xfId="0" applyFont="1" applyFill="1" applyBorder="1" applyAlignment="1">
      <alignment horizontal="center" vertical="center"/>
    </xf>
    <xf numFmtId="0" fontId="5" fillId="5" borderId="3"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0" borderId="6" xfId="0" applyFont="1" applyBorder="1" applyAlignment="1">
      <alignment horizontal="left" vertical="center" wrapText="1"/>
    </xf>
    <xf numFmtId="0" fontId="6" fillId="14"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12" borderId="3"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5" fillId="0" borderId="7" xfId="0" applyFont="1" applyBorder="1" applyAlignment="1">
      <alignment horizontal="left" vertical="top" wrapText="1"/>
    </xf>
    <xf numFmtId="0" fontId="4" fillId="15" borderId="0" xfId="0" applyFont="1" applyFill="1" applyAlignment="1">
      <alignment horizontal="center" vertical="center"/>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6" fillId="11"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2" borderId="31" xfId="0" applyFont="1" applyFill="1" applyBorder="1" applyAlignment="1">
      <alignment horizontal="left" vertical="center" wrapText="1"/>
    </xf>
    <xf numFmtId="0" fontId="6" fillId="12" borderId="26" xfId="0" applyFont="1" applyFill="1" applyBorder="1" applyAlignment="1">
      <alignment horizontal="left" vertical="center" wrapText="1"/>
    </xf>
    <xf numFmtId="0" fontId="6" fillId="12" borderId="32" xfId="0" applyFont="1" applyFill="1" applyBorder="1" applyAlignment="1">
      <alignment horizontal="left" vertical="center" wrapText="1"/>
    </xf>
    <xf numFmtId="0" fontId="5" fillId="0" borderId="31" xfId="0" applyFont="1" applyBorder="1" applyAlignment="1">
      <alignment horizontal="left" vertical="top" wrapText="1"/>
    </xf>
    <xf numFmtId="0" fontId="6" fillId="5" borderId="1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left" vertical="top"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cellXfs>
  <cellStyles count="4">
    <cellStyle name="Comma" xfId="1" builtinId="3"/>
    <cellStyle name="Comma [0]" xfId="2" builtinId="6"/>
    <cellStyle name="Normal" xfId="0" builtinId="0"/>
    <cellStyle name="Percent" xfId="3" builtinId="5"/>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election activeCell="K15" sqref="K15"/>
    </sheetView>
  </sheetViews>
  <sheetFormatPr defaultColWidth="9.109375" defaultRowHeight="14.4" x14ac:dyDescent="0.3"/>
  <cols>
    <col min="1" max="1" width="33.77734375" customWidth="1"/>
    <col min="2" max="2" width="14.77734375" customWidth="1"/>
    <col min="3" max="3" width="16.21875" customWidth="1"/>
    <col min="4" max="4" width="14.44140625" customWidth="1"/>
    <col min="5" max="5" width="12.6640625" customWidth="1"/>
    <col min="6" max="6" width="12.5546875" customWidth="1"/>
    <col min="7" max="7" width="13.44140625" customWidth="1"/>
    <col min="8" max="8" width="12.88671875" customWidth="1"/>
    <col min="9" max="9" width="12.44140625" customWidth="1"/>
  </cols>
  <sheetData>
    <row r="1" spans="1:8" ht="15.6" x14ac:dyDescent="0.3">
      <c r="A1" s="17" t="s">
        <v>26</v>
      </c>
      <c r="B1" s="17"/>
      <c r="C1" s="17"/>
      <c r="D1" s="17"/>
    </row>
    <row r="2" spans="1:8" x14ac:dyDescent="0.3">
      <c r="A2" s="18"/>
      <c r="B2" s="18"/>
      <c r="C2" s="18"/>
      <c r="D2" s="18"/>
    </row>
    <row r="3" spans="1:8" x14ac:dyDescent="0.3">
      <c r="A3" s="18" t="s">
        <v>27</v>
      </c>
      <c r="B3" s="18"/>
      <c r="C3" s="18"/>
      <c r="D3" s="18"/>
    </row>
    <row r="4" spans="1:8" ht="13.8" customHeight="1" thickBot="1" x14ac:dyDescent="0.35"/>
    <row r="5" spans="1:8" ht="39" customHeight="1" thickBot="1" x14ac:dyDescent="0.35">
      <c r="A5" s="207" t="s">
        <v>28</v>
      </c>
      <c r="B5" s="209" t="s">
        <v>29</v>
      </c>
      <c r="C5" s="211" t="s">
        <v>144</v>
      </c>
      <c r="D5" s="212"/>
      <c r="E5" s="211" t="s">
        <v>145</v>
      </c>
      <c r="F5" s="212"/>
      <c r="G5" s="211" t="s">
        <v>146</v>
      </c>
      <c r="H5" s="216"/>
    </row>
    <row r="6" spans="1:8" ht="31.8" thickBot="1" x14ac:dyDescent="0.35">
      <c r="A6" s="208"/>
      <c r="B6" s="210"/>
      <c r="C6" s="197" t="s">
        <v>30</v>
      </c>
      <c r="D6" s="197" t="s">
        <v>31</v>
      </c>
      <c r="E6" s="197" t="s">
        <v>30</v>
      </c>
      <c r="F6" s="19" t="s">
        <v>31</v>
      </c>
      <c r="G6" s="19" t="s">
        <v>147</v>
      </c>
      <c r="H6" s="191" t="s">
        <v>31</v>
      </c>
    </row>
    <row r="7" spans="1:8" ht="16.2" thickBot="1" x14ac:dyDescent="0.35">
      <c r="A7" s="118" t="s">
        <v>32</v>
      </c>
      <c r="B7" s="26">
        <f>+C7+D7+E7+F7+G7+H7</f>
        <v>0</v>
      </c>
      <c r="C7" s="20">
        <v>0</v>
      </c>
      <c r="D7" s="199">
        <v>0</v>
      </c>
      <c r="E7" s="198">
        <v>0</v>
      </c>
      <c r="F7" s="21">
        <v>0</v>
      </c>
      <c r="G7" s="20">
        <v>0</v>
      </c>
      <c r="H7" s="192">
        <f>+F7*30/100</f>
        <v>0</v>
      </c>
    </row>
    <row r="8" spans="1:8" ht="16.2" thickBot="1" x14ac:dyDescent="0.35">
      <c r="A8" s="196" t="s">
        <v>33</v>
      </c>
      <c r="B8" s="26">
        <f t="shared" ref="B8:B13" si="0">+C8+D8+E8+F8+G8+H8</f>
        <v>20000</v>
      </c>
      <c r="C8" s="200">
        <v>7000</v>
      </c>
      <c r="D8" s="200">
        <v>3000</v>
      </c>
      <c r="E8" s="25">
        <v>3500</v>
      </c>
      <c r="F8" s="21">
        <v>1500</v>
      </c>
      <c r="G8" s="23">
        <v>3000</v>
      </c>
      <c r="H8" s="192">
        <v>2000</v>
      </c>
    </row>
    <row r="9" spans="1:8" ht="27" thickBot="1" x14ac:dyDescent="0.35">
      <c r="A9" s="118" t="s">
        <v>34</v>
      </c>
      <c r="B9" s="26">
        <f t="shared" si="0"/>
        <v>35000</v>
      </c>
      <c r="C9" s="200">
        <v>10500</v>
      </c>
      <c r="D9" s="200">
        <v>4500</v>
      </c>
      <c r="E9" s="25">
        <v>7000</v>
      </c>
      <c r="F9" s="21">
        <v>3000</v>
      </c>
      <c r="G9" s="23">
        <v>6000</v>
      </c>
      <c r="H9" s="192">
        <v>4000</v>
      </c>
    </row>
    <row r="10" spans="1:8" ht="16.2" thickBot="1" x14ac:dyDescent="0.35">
      <c r="A10" s="193" t="s">
        <v>35</v>
      </c>
      <c r="B10" s="26">
        <f t="shared" si="0"/>
        <v>434000</v>
      </c>
      <c r="C10" s="200">
        <v>198380</v>
      </c>
      <c r="D10" s="200">
        <v>85020</v>
      </c>
      <c r="E10" s="25">
        <v>63000</v>
      </c>
      <c r="F10" s="21">
        <v>27000</v>
      </c>
      <c r="G10" s="25">
        <v>36360</v>
      </c>
      <c r="H10" s="192">
        <v>24240</v>
      </c>
    </row>
    <row r="11" spans="1:8" ht="16.2" thickBot="1" x14ac:dyDescent="0.35">
      <c r="A11" s="193" t="s">
        <v>36</v>
      </c>
      <c r="B11" s="26">
        <f t="shared" si="0"/>
        <v>182000</v>
      </c>
      <c r="C11" s="200">
        <v>50400</v>
      </c>
      <c r="D11" s="200">
        <v>21600</v>
      </c>
      <c r="E11" s="25">
        <v>28000</v>
      </c>
      <c r="F11" s="21">
        <v>12000</v>
      </c>
      <c r="G11" s="25">
        <v>42000</v>
      </c>
      <c r="H11" s="192">
        <v>28000</v>
      </c>
    </row>
    <row r="12" spans="1:8" ht="27" thickBot="1" x14ac:dyDescent="0.35">
      <c r="A12" s="193" t="s">
        <v>37</v>
      </c>
      <c r="B12" s="26">
        <f t="shared" si="0"/>
        <v>640000</v>
      </c>
      <c r="C12" s="200">
        <v>166250</v>
      </c>
      <c r="D12" s="200">
        <v>71250</v>
      </c>
      <c r="E12" s="25">
        <v>201250</v>
      </c>
      <c r="F12" s="21">
        <v>86250</v>
      </c>
      <c r="G12" s="25">
        <v>69000</v>
      </c>
      <c r="H12" s="192">
        <v>46000</v>
      </c>
    </row>
    <row r="13" spans="1:8" ht="27" thickBot="1" x14ac:dyDescent="0.35">
      <c r="A13" s="193" t="s">
        <v>38</v>
      </c>
      <c r="B13" s="26">
        <f t="shared" si="0"/>
        <v>37000</v>
      </c>
      <c r="C13" s="200">
        <v>11900</v>
      </c>
      <c r="D13" s="200">
        <v>5100</v>
      </c>
      <c r="E13" s="25">
        <v>7000</v>
      </c>
      <c r="F13" s="21">
        <v>3000</v>
      </c>
      <c r="G13" s="25">
        <v>6000</v>
      </c>
      <c r="H13" s="192">
        <v>4000</v>
      </c>
    </row>
    <row r="14" spans="1:8" ht="15" thickBot="1" x14ac:dyDescent="0.35">
      <c r="A14" s="195" t="s">
        <v>39</v>
      </c>
      <c r="B14" s="27">
        <f>SUM(B7:B13)</f>
        <v>1348000</v>
      </c>
      <c r="C14" s="27">
        <f t="shared" ref="C14:D14" si="1">SUM(C7:C13)</f>
        <v>444430</v>
      </c>
      <c r="D14" s="27">
        <f t="shared" si="1"/>
        <v>190470</v>
      </c>
      <c r="E14" s="27">
        <f t="shared" ref="E14:H14" si="2">SUM(E7:E13)</f>
        <v>309750</v>
      </c>
      <c r="F14" s="27">
        <f t="shared" si="2"/>
        <v>132750</v>
      </c>
      <c r="G14" s="27">
        <f t="shared" si="2"/>
        <v>162360</v>
      </c>
      <c r="H14" s="27">
        <f t="shared" si="2"/>
        <v>108240</v>
      </c>
    </row>
    <row r="15" spans="1:8" ht="15" thickBot="1" x14ac:dyDescent="0.35">
      <c r="A15" s="194" t="s">
        <v>40</v>
      </c>
      <c r="B15" s="28">
        <f>B14*0.07</f>
        <v>94360.000000000015</v>
      </c>
      <c r="C15" s="28">
        <f>C14*0.07</f>
        <v>31110.100000000002</v>
      </c>
      <c r="D15" s="28">
        <f t="shared" ref="D15" si="3">D14*0.07</f>
        <v>13332.900000000001</v>
      </c>
      <c r="E15" s="28">
        <f t="shared" ref="E15:H15" si="4">E14*0.07</f>
        <v>21682.500000000004</v>
      </c>
      <c r="F15" s="28">
        <f t="shared" si="4"/>
        <v>9292.5</v>
      </c>
      <c r="G15" s="28">
        <f t="shared" si="4"/>
        <v>11365.2</v>
      </c>
      <c r="H15" s="28">
        <f t="shared" si="4"/>
        <v>7576.8000000000011</v>
      </c>
    </row>
    <row r="16" spans="1:8" ht="15" thickBot="1" x14ac:dyDescent="0.35">
      <c r="A16" s="195" t="s">
        <v>41</v>
      </c>
      <c r="B16" s="29">
        <f>SUM(B14:B15)</f>
        <v>1442360</v>
      </c>
      <c r="C16" s="29">
        <f t="shared" ref="C16:D16" si="5">SUM(C14:C15)</f>
        <v>475540.1</v>
      </c>
      <c r="D16" s="29">
        <f t="shared" si="5"/>
        <v>203802.9</v>
      </c>
      <c r="E16" s="29">
        <f t="shared" ref="E16:H16" si="6">SUM(E14:E15)</f>
        <v>331432.5</v>
      </c>
      <c r="F16" s="29">
        <f t="shared" si="6"/>
        <v>142042.5</v>
      </c>
      <c r="G16" s="29">
        <f t="shared" si="6"/>
        <v>173725.2</v>
      </c>
      <c r="H16" s="29">
        <f t="shared" si="6"/>
        <v>115816.8</v>
      </c>
    </row>
    <row r="17" spans="1:9" x14ac:dyDescent="0.3">
      <c r="B17" s="15" t="s">
        <v>42</v>
      </c>
      <c r="C17" s="15" t="s">
        <v>43</v>
      </c>
      <c r="D17" s="15" t="s">
        <v>44</v>
      </c>
      <c r="E17" s="15" t="s">
        <v>43</v>
      </c>
      <c r="F17" s="15" t="s">
        <v>44</v>
      </c>
      <c r="G17" s="15" t="s">
        <v>43</v>
      </c>
      <c r="H17" s="15" t="s">
        <v>44</v>
      </c>
    </row>
    <row r="18" spans="1:9" ht="15" thickBot="1" x14ac:dyDescent="0.35"/>
    <row r="19" spans="1:9" ht="15" thickBot="1" x14ac:dyDescent="0.35">
      <c r="A19" s="213" t="s">
        <v>45</v>
      </c>
      <c r="B19" s="214"/>
      <c r="C19" s="214"/>
      <c r="D19" s="214"/>
      <c r="E19" s="214"/>
      <c r="F19" s="214"/>
      <c r="G19" s="215"/>
    </row>
    <row r="20" spans="1:9" ht="27.6" customHeight="1" x14ac:dyDescent="0.3">
      <c r="A20" s="205" t="s">
        <v>28</v>
      </c>
      <c r="B20" s="205" t="s">
        <v>42</v>
      </c>
      <c r="C20" s="205" t="s">
        <v>148</v>
      </c>
      <c r="D20" s="205" t="s">
        <v>149</v>
      </c>
      <c r="E20" s="205" t="s">
        <v>150</v>
      </c>
      <c r="F20" s="30" t="s">
        <v>46</v>
      </c>
      <c r="G20" s="30" t="s">
        <v>47</v>
      </c>
      <c r="H20" s="205" t="s">
        <v>48</v>
      </c>
      <c r="I20" s="203" t="s">
        <v>49</v>
      </c>
    </row>
    <row r="21" spans="1:9" ht="15" thickBot="1" x14ac:dyDescent="0.35">
      <c r="A21" s="206"/>
      <c r="B21" s="206"/>
      <c r="C21" s="206"/>
      <c r="D21" s="206"/>
      <c r="E21" s="206"/>
      <c r="F21" s="31"/>
      <c r="G21" s="31"/>
      <c r="H21" s="206"/>
      <c r="I21" s="204"/>
    </row>
    <row r="22" spans="1:9" ht="15" thickBot="1" x14ac:dyDescent="0.35">
      <c r="A22" s="24" t="s">
        <v>32</v>
      </c>
      <c r="B22" s="32">
        <v>0</v>
      </c>
      <c r="C22" s="32">
        <v>0</v>
      </c>
      <c r="D22" s="34"/>
      <c r="E22" s="34"/>
      <c r="F22" s="33"/>
      <c r="G22" s="34"/>
      <c r="H22" s="35">
        <f>B22-C22-F22</f>
        <v>0</v>
      </c>
      <c r="I22" s="53">
        <v>0</v>
      </c>
    </row>
    <row r="23" spans="1:9" ht="15" thickBot="1" x14ac:dyDescent="0.35">
      <c r="A23" s="22" t="s">
        <v>33</v>
      </c>
      <c r="B23" s="36">
        <f t="shared" ref="B23:B28" si="7">+B8</f>
        <v>20000</v>
      </c>
      <c r="C23" s="98">
        <v>7478</v>
      </c>
      <c r="D23" s="98">
        <v>5000</v>
      </c>
      <c r="E23" s="98">
        <f>+'PAR RESULTAT CLJ 1 6 20'!J43</f>
        <v>1091.44</v>
      </c>
      <c r="F23" s="37"/>
      <c r="G23" s="38"/>
      <c r="H23" s="35">
        <f>B23-C23-F23-D23-E23</f>
        <v>6430.5599999999995</v>
      </c>
      <c r="I23" s="53">
        <f>(F23+C23+D23+E23)/B23</f>
        <v>0.67847200000000008</v>
      </c>
    </row>
    <row r="24" spans="1:9" ht="27" thickBot="1" x14ac:dyDescent="0.35">
      <c r="A24" s="24" t="s">
        <v>34</v>
      </c>
      <c r="B24" s="187">
        <f t="shared" si="7"/>
        <v>35000</v>
      </c>
      <c r="C24" s="98">
        <v>10500</v>
      </c>
      <c r="D24" s="185">
        <v>8000</v>
      </c>
      <c r="E24" s="185">
        <f>+'PAR RESULTAT CLJ 1 6 20'!J45</f>
        <v>1685.62</v>
      </c>
      <c r="F24" s="40"/>
      <c r="G24" s="40"/>
      <c r="H24" s="35">
        <f t="shared" ref="H24:H28" si="8">B24-C24-F24-D24-E24</f>
        <v>14814.380000000001</v>
      </c>
      <c r="I24" s="53">
        <f t="shared" ref="I24:I28" si="9">(F24+C24+D24+E24)/B24</f>
        <v>0.57673200000000002</v>
      </c>
    </row>
    <row r="25" spans="1:9" ht="15" thickBot="1" x14ac:dyDescent="0.35">
      <c r="A25" s="22" t="s">
        <v>35</v>
      </c>
      <c r="B25" s="188">
        <f t="shared" si="7"/>
        <v>434000</v>
      </c>
      <c r="C25" s="98">
        <v>198380</v>
      </c>
      <c r="D25" s="98">
        <v>30000</v>
      </c>
      <c r="E25" s="98">
        <f>+'PAR RESULTAT CLJ 1 6 20'!J13+'PAR RESULTAT CLJ 1 6 20'!J38</f>
        <v>30775.21</v>
      </c>
      <c r="F25" s="38"/>
      <c r="G25" s="41"/>
      <c r="H25" s="35">
        <f t="shared" si="8"/>
        <v>174844.79</v>
      </c>
      <c r="I25" s="53">
        <f t="shared" si="9"/>
        <v>0.59713182027649769</v>
      </c>
    </row>
    <row r="26" spans="1:9" ht="15" thickBot="1" x14ac:dyDescent="0.35">
      <c r="A26" s="24" t="s">
        <v>36</v>
      </c>
      <c r="B26" s="189">
        <f t="shared" si="7"/>
        <v>182000</v>
      </c>
      <c r="C26" s="98">
        <v>58253</v>
      </c>
      <c r="D26" s="185">
        <v>35000</v>
      </c>
      <c r="E26" s="185">
        <f>+'PAR RESULTAT CLJ 1 6 20'!J7+'PAR RESULTAT CLJ 1 6 20'!J22+'PAR RESULTAT CLJ 1 6 20'!J40</f>
        <v>15162.73</v>
      </c>
      <c r="F26" s="42"/>
      <c r="G26" s="41"/>
      <c r="H26" s="35">
        <f t="shared" si="8"/>
        <v>73584.27</v>
      </c>
      <c r="I26" s="53">
        <f t="shared" si="9"/>
        <v>0.5956908241758242</v>
      </c>
    </row>
    <row r="27" spans="1:9" ht="27" thickBot="1" x14ac:dyDescent="0.35">
      <c r="A27" s="22" t="s">
        <v>37</v>
      </c>
      <c r="B27" s="190">
        <f t="shared" si="7"/>
        <v>640000</v>
      </c>
      <c r="C27" s="98">
        <v>176250</v>
      </c>
      <c r="D27" s="98">
        <v>158332</v>
      </c>
      <c r="E27" s="98">
        <f>+'PAR RESULTAT CLJ 1 6 20'!J10+'PAR RESULTAT CLJ 1 6 20'!J15+'PAR RESULTAT CLJ 1 6 20'!J27+'PAR RESULTAT CLJ 1 6 20'!J29+'PAR RESULTAT CLJ 1 6 20'!J32</f>
        <v>69000</v>
      </c>
      <c r="F27" s="38"/>
      <c r="G27" s="41"/>
      <c r="H27" s="35">
        <f t="shared" si="8"/>
        <v>236418</v>
      </c>
      <c r="I27" s="53">
        <f t="shared" si="9"/>
        <v>0.63059687499999995</v>
      </c>
    </row>
    <row r="28" spans="1:9" ht="27" thickBot="1" x14ac:dyDescent="0.35">
      <c r="A28" s="24" t="s">
        <v>38</v>
      </c>
      <c r="B28" s="189">
        <f t="shared" si="7"/>
        <v>37000</v>
      </c>
      <c r="C28" s="98">
        <v>17000</v>
      </c>
      <c r="D28" s="185">
        <v>5000</v>
      </c>
      <c r="E28" s="185">
        <f>+'PAR RESULTAT CLJ 1 6 20'!J44</f>
        <v>3880</v>
      </c>
      <c r="F28" s="42"/>
      <c r="G28" s="41"/>
      <c r="H28" s="35">
        <f t="shared" si="8"/>
        <v>11120</v>
      </c>
      <c r="I28" s="53">
        <f t="shared" si="9"/>
        <v>0.69945945945945942</v>
      </c>
    </row>
    <row r="29" spans="1:9" ht="15" thickBot="1" x14ac:dyDescent="0.35">
      <c r="A29" s="43" t="s">
        <v>39</v>
      </c>
      <c r="B29" s="44">
        <f>SUM(B22:B28)</f>
        <v>1348000</v>
      </c>
      <c r="C29" s="27">
        <f>SUM(C22:C28)</f>
        <v>467861</v>
      </c>
      <c r="D29" s="27">
        <f t="shared" ref="D29:E29" si="10">SUM(D22:D28)</f>
        <v>241332</v>
      </c>
      <c r="E29" s="27">
        <f t="shared" si="10"/>
        <v>121595</v>
      </c>
      <c r="F29" s="27"/>
      <c r="G29" s="27"/>
      <c r="H29" s="45">
        <f>B29-C29-F29-D29-E29</f>
        <v>517212</v>
      </c>
      <c r="I29" s="54">
        <f>(F29+C29+D29+E29)/B29</f>
        <v>0.61631157270029668</v>
      </c>
    </row>
    <row r="30" spans="1:9" ht="15" thickBot="1" x14ac:dyDescent="0.35">
      <c r="A30" s="24" t="s">
        <v>40</v>
      </c>
      <c r="B30" s="28">
        <f>B29*0.07</f>
        <v>94360.000000000015</v>
      </c>
      <c r="C30" s="99">
        <v>39388</v>
      </c>
      <c r="D30" s="99">
        <v>21683</v>
      </c>
      <c r="E30" s="99">
        <v>12161</v>
      </c>
      <c r="F30" s="46"/>
      <c r="G30" s="46"/>
      <c r="H30" s="39">
        <f>B30-C30-D30-E30</f>
        <v>21128.000000000015</v>
      </c>
      <c r="I30" s="55">
        <f>(F30+C30+D30+E30)/B30</f>
        <v>0.77609156422212788</v>
      </c>
    </row>
    <row r="31" spans="1:9" s="15" customFormat="1" ht="16.2" thickBot="1" x14ac:dyDescent="0.35">
      <c r="A31" s="47" t="s">
        <v>41</v>
      </c>
      <c r="B31" s="48">
        <f>+SUM(B29:B30)</f>
        <v>1442360</v>
      </c>
      <c r="C31" s="186">
        <f t="shared" ref="C31:G31" si="11">SUM(C29:C30)</f>
        <v>507249</v>
      </c>
      <c r="D31" s="186">
        <f t="shared" si="11"/>
        <v>263015</v>
      </c>
      <c r="E31" s="186">
        <f t="shared" si="11"/>
        <v>133756</v>
      </c>
      <c r="F31" s="27">
        <f t="shared" si="11"/>
        <v>0</v>
      </c>
      <c r="G31" s="27">
        <f t="shared" si="11"/>
        <v>0</v>
      </c>
      <c r="H31" s="48">
        <f>SUM(H29:H30)</f>
        <v>538340</v>
      </c>
      <c r="I31" s="54">
        <f>(F31+C31+D31+E31)/B31</f>
        <v>0.62676446934191188</v>
      </c>
    </row>
    <row r="32" spans="1:9" s="15" customFormat="1" x14ac:dyDescent="0.3"/>
    <row r="33" spans="1:6" x14ac:dyDescent="0.3">
      <c r="B33" s="49"/>
      <c r="C33" s="50"/>
      <c r="D33" s="50"/>
      <c r="E33" s="50"/>
      <c r="F33" s="13"/>
    </row>
    <row r="34" spans="1:6" ht="15" thickBot="1" x14ac:dyDescent="0.35">
      <c r="F34" s="49"/>
    </row>
    <row r="35" spans="1:6" ht="15" thickBot="1" x14ac:dyDescent="0.35">
      <c r="A35" t="s">
        <v>151</v>
      </c>
      <c r="C35" s="51" t="s">
        <v>153</v>
      </c>
      <c r="D35" s="52">
        <f>+C31/(C16+D16)</f>
        <v>0.74667583238511326</v>
      </c>
    </row>
    <row r="36" spans="1:6" ht="15" thickBot="1" x14ac:dyDescent="0.35">
      <c r="C36" s="51" t="s">
        <v>152</v>
      </c>
      <c r="D36" s="52">
        <f>+D31/(E16+E16)</f>
        <v>0.39678516741719655</v>
      </c>
    </row>
    <row r="37" spans="1:6" ht="15" thickBot="1" x14ac:dyDescent="0.35">
      <c r="C37" s="51" t="s">
        <v>154</v>
      </c>
      <c r="D37" s="52">
        <f>+E31/(F16+G16)</f>
        <v>0.42358987318842301</v>
      </c>
    </row>
    <row r="38" spans="1:6" ht="15" thickBot="1" x14ac:dyDescent="0.35">
      <c r="C38" s="201" t="s">
        <v>155</v>
      </c>
      <c r="D38" s="202">
        <v>0.63</v>
      </c>
    </row>
  </sheetData>
  <mergeCells count="13">
    <mergeCell ref="I20:I21"/>
    <mergeCell ref="H20:H21"/>
    <mergeCell ref="A5:A6"/>
    <mergeCell ref="B5:B6"/>
    <mergeCell ref="C5:D5"/>
    <mergeCell ref="A20:A21"/>
    <mergeCell ref="B20:B21"/>
    <mergeCell ref="C20:C21"/>
    <mergeCell ref="A19:G19"/>
    <mergeCell ref="E5:F5"/>
    <mergeCell ref="G5:H5"/>
    <mergeCell ref="D20:D21"/>
    <mergeCell ref="E20:E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46" zoomScale="85" zoomScaleNormal="85" workbookViewId="0">
      <selection activeCell="J52" sqref="J52"/>
    </sheetView>
  </sheetViews>
  <sheetFormatPr defaultColWidth="9.109375" defaultRowHeight="13.8" x14ac:dyDescent="0.3"/>
  <cols>
    <col min="1" max="1" width="10.44140625" style="2" customWidth="1"/>
    <col min="2" max="2" width="36.77734375" style="2" customWidth="1"/>
    <col min="3" max="3" width="17.5546875" style="1" customWidth="1"/>
    <col min="4" max="5" width="19.44140625" style="2" customWidth="1"/>
    <col min="6" max="6" width="17.109375" style="2" customWidth="1"/>
    <col min="7" max="7" width="15.88671875" style="2" customWidth="1"/>
    <col min="8" max="9" width="15.88671875" style="158" customWidth="1"/>
    <col min="10" max="11" width="17.33203125" style="159" customWidth="1"/>
    <col min="12" max="12" width="18.77734375" style="2" customWidth="1"/>
    <col min="13" max="13" width="14.33203125" style="2" customWidth="1"/>
    <col min="14" max="14" width="14.21875" style="111" customWidth="1"/>
    <col min="15" max="15" width="14.109375" style="2" customWidth="1"/>
    <col min="16" max="16" width="12.33203125" style="2" customWidth="1"/>
    <col min="17" max="16384" width="9.109375" style="2"/>
  </cols>
  <sheetData>
    <row r="1" spans="1:17" x14ac:dyDescent="0.3">
      <c r="A1" s="1"/>
      <c r="B1" s="1"/>
      <c r="D1" s="2" t="s">
        <v>120</v>
      </c>
      <c r="O1" s="60"/>
    </row>
    <row r="2" spans="1:17" ht="26.1" customHeight="1" thickBot="1" x14ac:dyDescent="0.35">
      <c r="A2" s="1" t="s">
        <v>0</v>
      </c>
      <c r="D2" s="61"/>
      <c r="E2" s="61"/>
      <c r="F2" s="61"/>
      <c r="G2" s="61"/>
      <c r="H2" s="160"/>
      <c r="I2" s="160"/>
      <c r="J2" s="161"/>
      <c r="K2" s="161"/>
      <c r="L2" s="61"/>
      <c r="N2" s="112">
        <v>43992</v>
      </c>
    </row>
    <row r="3" spans="1:17" ht="99" customHeight="1" x14ac:dyDescent="0.3">
      <c r="A3" s="141" t="s">
        <v>1</v>
      </c>
      <c r="B3" s="142" t="s">
        <v>2</v>
      </c>
      <c r="C3" s="143" t="s">
        <v>74</v>
      </c>
      <c r="D3" s="142" t="s">
        <v>107</v>
      </c>
      <c r="E3" s="142" t="s">
        <v>118</v>
      </c>
      <c r="F3" s="142" t="s">
        <v>119</v>
      </c>
      <c r="G3" s="142" t="s">
        <v>3</v>
      </c>
      <c r="H3" s="146" t="s">
        <v>139</v>
      </c>
      <c r="I3" s="146" t="s">
        <v>140</v>
      </c>
      <c r="J3" s="162" t="s">
        <v>141</v>
      </c>
      <c r="K3" s="162" t="s">
        <v>142</v>
      </c>
      <c r="L3" s="144" t="s">
        <v>4</v>
      </c>
      <c r="M3" s="144" t="s">
        <v>5</v>
      </c>
      <c r="N3" s="145" t="s">
        <v>6</v>
      </c>
      <c r="O3" s="146" t="s">
        <v>7</v>
      </c>
      <c r="P3" s="147"/>
    </row>
    <row r="4" spans="1:17" ht="19.5" customHeight="1" x14ac:dyDescent="0.3">
      <c r="A4" s="148" t="s">
        <v>51</v>
      </c>
      <c r="B4" s="131" t="s">
        <v>52</v>
      </c>
      <c r="C4" s="131" t="s">
        <v>53</v>
      </c>
      <c r="D4" s="132" t="s">
        <v>54</v>
      </c>
      <c r="E4" s="132"/>
      <c r="F4" s="132"/>
      <c r="G4" s="133" t="s">
        <v>76</v>
      </c>
      <c r="H4" s="133"/>
      <c r="I4" s="133"/>
      <c r="J4" s="133" t="s">
        <v>77</v>
      </c>
      <c r="K4" s="133"/>
      <c r="L4" s="134" t="s">
        <v>55</v>
      </c>
      <c r="M4" s="134" t="s">
        <v>78</v>
      </c>
      <c r="N4" s="134" t="s">
        <v>79</v>
      </c>
      <c r="O4" s="134"/>
      <c r="P4" s="149"/>
    </row>
    <row r="5" spans="1:17" ht="24.45" customHeight="1" thickBot="1" x14ac:dyDescent="0.35">
      <c r="A5" s="252" t="s">
        <v>80</v>
      </c>
      <c r="B5" s="253"/>
      <c r="C5" s="253"/>
      <c r="D5" s="253"/>
      <c r="E5" s="253"/>
      <c r="F5" s="253"/>
      <c r="G5" s="253"/>
      <c r="H5" s="253"/>
      <c r="I5" s="253"/>
      <c r="J5" s="253"/>
      <c r="K5" s="253"/>
      <c r="L5" s="253"/>
      <c r="M5" s="253"/>
      <c r="N5" s="253"/>
      <c r="O5" s="253"/>
      <c r="P5" s="254"/>
    </row>
    <row r="6" spans="1:17" ht="61.2" customHeight="1" x14ac:dyDescent="0.3">
      <c r="A6" s="255" t="s">
        <v>81</v>
      </c>
      <c r="B6" s="130" t="s">
        <v>82</v>
      </c>
      <c r="C6" s="123">
        <f>+D6+E6+F6</f>
        <v>30000</v>
      </c>
      <c r="D6" s="123">
        <v>30000</v>
      </c>
      <c r="E6" s="123"/>
      <c r="F6" s="123"/>
      <c r="G6" s="123" t="s">
        <v>121</v>
      </c>
      <c r="H6" s="163">
        <v>30000</v>
      </c>
      <c r="I6" s="164"/>
      <c r="J6" s="164">
        <v>0</v>
      </c>
      <c r="K6" s="164">
        <f>+H6+I6+J6</f>
        <v>30000</v>
      </c>
      <c r="L6" s="123"/>
      <c r="M6" s="123"/>
      <c r="N6" s="135">
        <f>(K6)/C6</f>
        <v>1</v>
      </c>
      <c r="O6" s="123"/>
      <c r="P6" s="150">
        <v>4</v>
      </c>
      <c r="Q6" s="233" t="s">
        <v>56</v>
      </c>
    </row>
    <row r="7" spans="1:17" ht="46.8" customHeight="1" x14ac:dyDescent="0.3">
      <c r="A7" s="255"/>
      <c r="B7" s="258" t="s">
        <v>83</v>
      </c>
      <c r="C7" s="123">
        <f>+D7+E7+F7</f>
        <v>25000</v>
      </c>
      <c r="D7" s="123">
        <v>10000</v>
      </c>
      <c r="E7" s="123">
        <v>10000</v>
      </c>
      <c r="F7" s="123">
        <v>5000</v>
      </c>
      <c r="G7" s="123"/>
      <c r="H7" s="163">
        <v>10000</v>
      </c>
      <c r="I7" s="164">
        <v>12000</v>
      </c>
      <c r="J7" s="164">
        <v>4631</v>
      </c>
      <c r="K7" s="164">
        <f t="shared" ref="K7:K13" si="0">+H7+I7+J7</f>
        <v>26631</v>
      </c>
      <c r="L7" s="123"/>
      <c r="M7" s="123"/>
      <c r="N7" s="135">
        <f t="shared" ref="N7:N14" si="1">(K7)/C7</f>
        <v>1.06524</v>
      </c>
      <c r="O7" s="123"/>
      <c r="P7" s="150">
        <v>5</v>
      </c>
      <c r="Q7" s="234"/>
    </row>
    <row r="8" spans="1:17" ht="15.6" x14ac:dyDescent="0.3">
      <c r="A8" s="255"/>
      <c r="B8" s="258"/>
      <c r="C8" s="136">
        <f t="shared" ref="C8:C13" si="2">+D8+E8+F8</f>
        <v>20000</v>
      </c>
      <c r="D8" s="123">
        <v>20000</v>
      </c>
      <c r="E8" s="123"/>
      <c r="F8" s="123"/>
      <c r="G8" s="120" t="s">
        <v>122</v>
      </c>
      <c r="H8" s="163">
        <v>20000</v>
      </c>
      <c r="I8" s="164"/>
      <c r="J8" s="164">
        <v>0</v>
      </c>
      <c r="K8" s="164">
        <f t="shared" si="0"/>
        <v>20000</v>
      </c>
      <c r="L8" s="123"/>
      <c r="M8" s="123"/>
      <c r="N8" s="135">
        <f t="shared" si="1"/>
        <v>1</v>
      </c>
      <c r="O8" s="123"/>
      <c r="P8" s="150">
        <v>4</v>
      </c>
      <c r="Q8" s="234"/>
    </row>
    <row r="9" spans="1:17" ht="33" customHeight="1" x14ac:dyDescent="0.3">
      <c r="A9" s="255"/>
      <c r="B9" s="137" t="s">
        <v>84</v>
      </c>
      <c r="C9" s="136">
        <f t="shared" si="2"/>
        <v>45000</v>
      </c>
      <c r="D9" s="123">
        <v>15000</v>
      </c>
      <c r="E9" s="123">
        <v>30000</v>
      </c>
      <c r="F9" s="123"/>
      <c r="G9" s="138" t="s">
        <v>123</v>
      </c>
      <c r="H9" s="163">
        <v>15000</v>
      </c>
      <c r="I9" s="164">
        <v>30000</v>
      </c>
      <c r="J9" s="164">
        <v>0</v>
      </c>
      <c r="K9" s="164">
        <f t="shared" si="0"/>
        <v>45000</v>
      </c>
      <c r="L9" s="123"/>
      <c r="M9" s="123"/>
      <c r="N9" s="135">
        <f t="shared" si="1"/>
        <v>1</v>
      </c>
      <c r="O9" s="123"/>
      <c r="P9" s="150">
        <v>4</v>
      </c>
      <c r="Q9" s="234"/>
    </row>
    <row r="10" spans="1:17" ht="66" x14ac:dyDescent="0.3">
      <c r="A10" s="255"/>
      <c r="B10" s="130" t="s">
        <v>85</v>
      </c>
      <c r="C10" s="136">
        <f t="shared" si="2"/>
        <v>20000</v>
      </c>
      <c r="D10" s="123"/>
      <c r="E10" s="123"/>
      <c r="F10" s="123">
        <v>20000</v>
      </c>
      <c r="G10" s="120" t="s">
        <v>124</v>
      </c>
      <c r="H10" s="163"/>
      <c r="I10" s="164"/>
      <c r="J10" s="164">
        <v>20000</v>
      </c>
      <c r="K10" s="164">
        <f t="shared" si="0"/>
        <v>20000</v>
      </c>
      <c r="L10" s="123"/>
      <c r="M10" s="123"/>
      <c r="N10" s="135">
        <f t="shared" si="1"/>
        <v>1</v>
      </c>
      <c r="O10" s="123"/>
      <c r="P10" s="150">
        <v>6</v>
      </c>
      <c r="Q10" s="234"/>
    </row>
    <row r="11" spans="1:17" ht="92.4" x14ac:dyDescent="0.3">
      <c r="A11" s="255"/>
      <c r="B11" s="130" t="s">
        <v>86</v>
      </c>
      <c r="C11" s="136">
        <f t="shared" si="2"/>
        <v>22000</v>
      </c>
      <c r="D11" s="123">
        <v>12000</v>
      </c>
      <c r="E11" s="123">
        <v>10000</v>
      </c>
      <c r="F11" s="123"/>
      <c r="G11" s="120" t="s">
        <v>125</v>
      </c>
      <c r="H11" s="163">
        <v>8400</v>
      </c>
      <c r="I11" s="164">
        <v>10000</v>
      </c>
      <c r="J11" s="164"/>
      <c r="K11" s="164">
        <f t="shared" si="0"/>
        <v>18400</v>
      </c>
      <c r="L11" s="139"/>
      <c r="M11" s="139"/>
      <c r="N11" s="135">
        <f t="shared" si="1"/>
        <v>0.83636363636363631</v>
      </c>
      <c r="O11" s="139"/>
      <c r="P11" s="150">
        <v>5</v>
      </c>
      <c r="Q11" s="234"/>
    </row>
    <row r="12" spans="1:17" ht="92.4" x14ac:dyDescent="0.3">
      <c r="A12" s="255"/>
      <c r="B12" s="130" t="s">
        <v>87</v>
      </c>
      <c r="C12" s="136">
        <f t="shared" si="2"/>
        <v>70000</v>
      </c>
      <c r="D12" s="123">
        <v>70000</v>
      </c>
      <c r="E12" s="123"/>
      <c r="F12" s="123"/>
      <c r="G12" s="120" t="s">
        <v>126</v>
      </c>
      <c r="H12" s="163">
        <v>70000</v>
      </c>
      <c r="I12" s="164"/>
      <c r="J12" s="164"/>
      <c r="K12" s="164">
        <f t="shared" si="0"/>
        <v>70000</v>
      </c>
      <c r="L12" s="139"/>
      <c r="M12" s="139"/>
      <c r="N12" s="135">
        <f t="shared" si="1"/>
        <v>1</v>
      </c>
      <c r="O12" s="139"/>
      <c r="P12" s="150">
        <v>4</v>
      </c>
      <c r="Q12" s="234"/>
    </row>
    <row r="13" spans="1:17" ht="67.2" customHeight="1" thickBot="1" x14ac:dyDescent="0.35">
      <c r="A13" s="255"/>
      <c r="B13" s="137" t="s">
        <v>88</v>
      </c>
      <c r="C13" s="136">
        <f t="shared" si="2"/>
        <v>30000</v>
      </c>
      <c r="D13" s="139"/>
      <c r="E13" s="139">
        <v>15000</v>
      </c>
      <c r="F13" s="139">
        <v>15000</v>
      </c>
      <c r="G13" s="120" t="s">
        <v>127</v>
      </c>
      <c r="H13" s="163"/>
      <c r="I13" s="164"/>
      <c r="J13" s="164">
        <v>15000</v>
      </c>
      <c r="K13" s="164">
        <f t="shared" si="0"/>
        <v>15000</v>
      </c>
      <c r="L13" s="139"/>
      <c r="M13" s="139"/>
      <c r="N13" s="135">
        <f t="shared" si="1"/>
        <v>0.5</v>
      </c>
      <c r="O13" s="139"/>
      <c r="P13" s="150">
        <v>4</v>
      </c>
      <c r="Q13" s="235"/>
    </row>
    <row r="14" spans="1:17" ht="21.75" customHeight="1" thickBot="1" x14ac:dyDescent="0.35">
      <c r="A14" s="256" t="s">
        <v>57</v>
      </c>
      <c r="B14" s="257"/>
      <c r="C14" s="127">
        <f t="shared" ref="C14" si="3">SUM(C6:C13)</f>
        <v>262000</v>
      </c>
      <c r="D14" s="128">
        <f>SUM(D6:D13)</f>
        <v>157000</v>
      </c>
      <c r="E14" s="128">
        <f t="shared" ref="E14:F14" si="4">SUM(E6:E13)</f>
        <v>65000</v>
      </c>
      <c r="F14" s="128">
        <f t="shared" si="4"/>
        <v>40000</v>
      </c>
      <c r="G14" s="129">
        <v>91500</v>
      </c>
      <c r="H14" s="129">
        <f>SUM(H6:H13)</f>
        <v>153400</v>
      </c>
      <c r="I14" s="129">
        <f t="shared" ref="I14:K14" si="5">SUM(I6:I13)</f>
        <v>52000</v>
      </c>
      <c r="J14" s="129">
        <f t="shared" si="5"/>
        <v>39631</v>
      </c>
      <c r="K14" s="129">
        <f t="shared" si="5"/>
        <v>245031</v>
      </c>
      <c r="L14" s="129">
        <f>SUM(L6:L13)</f>
        <v>0</v>
      </c>
      <c r="M14" s="129">
        <f>SUM(M6:M13)</f>
        <v>0</v>
      </c>
      <c r="N14" s="129">
        <f t="shared" si="1"/>
        <v>0.9352328244274809</v>
      </c>
      <c r="O14" s="129">
        <f>SUM(O6:O13)</f>
        <v>0</v>
      </c>
      <c r="P14" s="129"/>
    </row>
    <row r="15" spans="1:17" ht="111" customHeight="1" thickBot="1" x14ac:dyDescent="0.35">
      <c r="A15" s="248" t="s">
        <v>89</v>
      </c>
      <c r="B15" s="3" t="s">
        <v>90</v>
      </c>
      <c r="C15" s="94">
        <f>+D15+E15+F15</f>
        <v>135000</v>
      </c>
      <c r="D15" s="4">
        <v>50000</v>
      </c>
      <c r="E15" s="4">
        <v>55000</v>
      </c>
      <c r="F15" s="4">
        <v>30000</v>
      </c>
      <c r="G15" s="121" t="s">
        <v>128</v>
      </c>
      <c r="H15" s="163">
        <v>26250</v>
      </c>
      <c r="I15" s="163"/>
      <c r="J15" s="166">
        <v>30000</v>
      </c>
      <c r="K15" s="167">
        <f>+H15+I15+J15</f>
        <v>56250</v>
      </c>
      <c r="L15" s="64"/>
      <c r="M15" s="63"/>
      <c r="N15" s="113">
        <f>(L15+K15)/C15</f>
        <v>0.41666666666666669</v>
      </c>
      <c r="O15" s="63"/>
      <c r="P15" s="5">
        <v>6</v>
      </c>
      <c r="Q15" s="233" t="s">
        <v>58</v>
      </c>
    </row>
    <row r="16" spans="1:17" ht="95.4" customHeight="1" thickBot="1" x14ac:dyDescent="0.35">
      <c r="A16" s="249"/>
      <c r="B16" s="6" t="s">
        <v>91</v>
      </c>
      <c r="C16" s="94">
        <f t="shared" ref="C16:C19" si="6">+D16+E16+F16</f>
        <v>60000</v>
      </c>
      <c r="D16" s="4">
        <v>30000</v>
      </c>
      <c r="E16" s="4">
        <v>30000</v>
      </c>
      <c r="F16" s="4"/>
      <c r="G16" s="121" t="s">
        <v>129</v>
      </c>
      <c r="H16" s="163">
        <v>30000</v>
      </c>
      <c r="I16" s="163"/>
      <c r="J16" s="166"/>
      <c r="K16" s="167">
        <f t="shared" ref="K16:K19" si="7">+H16+I16+J16</f>
        <v>30000</v>
      </c>
      <c r="L16" s="38"/>
      <c r="M16" s="41"/>
      <c r="N16" s="113">
        <f>(L16+K16)/C16</f>
        <v>0.5</v>
      </c>
      <c r="O16" s="63"/>
      <c r="P16" s="5">
        <v>6</v>
      </c>
      <c r="Q16" s="234"/>
    </row>
    <row r="17" spans="1:17" ht="71.400000000000006" customHeight="1" thickBot="1" x14ac:dyDescent="0.35">
      <c r="A17" s="249"/>
      <c r="B17" s="6" t="s">
        <v>92</v>
      </c>
      <c r="C17" s="94">
        <f t="shared" si="6"/>
        <v>20000</v>
      </c>
      <c r="D17" s="4">
        <v>0</v>
      </c>
      <c r="E17" s="4">
        <v>20000</v>
      </c>
      <c r="F17" s="4"/>
      <c r="G17" s="121" t="s">
        <v>130</v>
      </c>
      <c r="H17" s="163"/>
      <c r="I17" s="163">
        <v>20000</v>
      </c>
      <c r="J17" s="166"/>
      <c r="K17" s="167">
        <f t="shared" si="7"/>
        <v>20000</v>
      </c>
      <c r="L17" s="38"/>
      <c r="M17" s="41"/>
      <c r="N17" s="113">
        <f>(L17+K17)/C17</f>
        <v>1</v>
      </c>
      <c r="O17" s="63"/>
      <c r="P17" s="5">
        <v>6</v>
      </c>
      <c r="Q17" s="234"/>
    </row>
    <row r="18" spans="1:17" ht="67.2" customHeight="1" thickBot="1" x14ac:dyDescent="0.35">
      <c r="A18" s="249"/>
      <c r="B18" s="6" t="s">
        <v>93</v>
      </c>
      <c r="C18" s="94">
        <f t="shared" si="6"/>
        <v>20000</v>
      </c>
      <c r="D18" s="4">
        <v>0</v>
      </c>
      <c r="E18" s="4">
        <v>20000</v>
      </c>
      <c r="F18" s="4"/>
      <c r="G18" s="121" t="s">
        <v>131</v>
      </c>
      <c r="H18" s="163"/>
      <c r="I18" s="163">
        <v>20000</v>
      </c>
      <c r="J18" s="166"/>
      <c r="K18" s="167">
        <f t="shared" si="7"/>
        <v>20000</v>
      </c>
      <c r="L18" s="38"/>
      <c r="M18" s="41"/>
      <c r="N18" s="113">
        <f>(L18+K18)/C18</f>
        <v>1</v>
      </c>
      <c r="O18" s="63"/>
      <c r="P18" s="5">
        <v>6</v>
      </c>
      <c r="Q18" s="234"/>
    </row>
    <row r="19" spans="1:17" ht="54" customHeight="1" thickBot="1" x14ac:dyDescent="0.35">
      <c r="A19" s="259"/>
      <c r="B19" s="6" t="s">
        <v>94</v>
      </c>
      <c r="C19" s="95">
        <f t="shared" si="6"/>
        <v>80000</v>
      </c>
      <c r="D19" s="64">
        <v>40000</v>
      </c>
      <c r="E19" s="64">
        <v>25000</v>
      </c>
      <c r="F19" s="64">
        <v>15000</v>
      </c>
      <c r="G19" s="121" t="s">
        <v>132</v>
      </c>
      <c r="H19" s="163">
        <v>17380</v>
      </c>
      <c r="I19" s="163"/>
      <c r="J19" s="166"/>
      <c r="K19" s="167">
        <f t="shared" si="7"/>
        <v>17380</v>
      </c>
      <c r="L19" s="64"/>
      <c r="M19" s="63"/>
      <c r="N19" s="113">
        <f>(L19+K19)/C19</f>
        <v>0.21725</v>
      </c>
      <c r="O19" s="63"/>
      <c r="P19" s="151">
        <v>4</v>
      </c>
      <c r="Q19" s="235"/>
    </row>
    <row r="20" spans="1:17" ht="28.5" customHeight="1" thickBot="1" x14ac:dyDescent="0.35">
      <c r="A20" s="260" t="s">
        <v>59</v>
      </c>
      <c r="B20" s="261"/>
      <c r="C20" s="10">
        <f>SUM(C15:C19)</f>
        <v>315000</v>
      </c>
      <c r="D20" s="10">
        <f t="shared" ref="D20:F20" si="8">SUM(D15:D19)</f>
        <v>120000</v>
      </c>
      <c r="E20" s="10">
        <f t="shared" si="8"/>
        <v>150000</v>
      </c>
      <c r="F20" s="10">
        <f t="shared" si="8"/>
        <v>45000</v>
      </c>
      <c r="G20" s="10">
        <v>152000</v>
      </c>
      <c r="H20" s="10">
        <f>+SUM(H15:H19)</f>
        <v>73630</v>
      </c>
      <c r="I20" s="10">
        <f t="shared" ref="I20:K20" si="9">+SUM(I15:I19)</f>
        <v>40000</v>
      </c>
      <c r="J20" s="10">
        <f t="shared" si="9"/>
        <v>30000</v>
      </c>
      <c r="K20" s="10">
        <f t="shared" si="9"/>
        <v>143630</v>
      </c>
      <c r="L20" s="10">
        <f t="shared" ref="L20:O20" si="10">SUM(L15:L19)</f>
        <v>0</v>
      </c>
      <c r="M20" s="10">
        <f t="shared" si="10"/>
        <v>0</v>
      </c>
      <c r="N20" s="114">
        <f t="shared" ref="N20:N25" si="11">+L20+K20/C20</f>
        <v>0.45596825396825397</v>
      </c>
      <c r="O20" s="10">
        <f t="shared" si="10"/>
        <v>0</v>
      </c>
      <c r="P20" s="5"/>
    </row>
    <row r="21" spans="1:17" ht="62.4" customHeight="1" thickBot="1" x14ac:dyDescent="0.35">
      <c r="A21" s="262" t="s">
        <v>95</v>
      </c>
      <c r="B21" s="3" t="s">
        <v>96</v>
      </c>
      <c r="C21" s="94">
        <f>+D21+E21+F21</f>
        <v>60000</v>
      </c>
      <c r="D21" s="4">
        <v>60000</v>
      </c>
      <c r="E21" s="4"/>
      <c r="F21" s="4"/>
      <c r="G21" s="121" t="s">
        <v>133</v>
      </c>
      <c r="H21" s="163">
        <v>60000</v>
      </c>
      <c r="I21" s="163"/>
      <c r="J21" s="166"/>
      <c r="K21" s="167">
        <f>+H21+I21+J21</f>
        <v>60000</v>
      </c>
      <c r="L21" s="64"/>
      <c r="M21" s="63"/>
      <c r="N21" s="113">
        <f t="shared" si="11"/>
        <v>1</v>
      </c>
      <c r="O21" s="63"/>
      <c r="P21" s="5">
        <v>6</v>
      </c>
      <c r="Q21" s="233" t="s">
        <v>60</v>
      </c>
    </row>
    <row r="22" spans="1:17" ht="58.2" customHeight="1" thickBot="1" x14ac:dyDescent="0.35">
      <c r="A22" s="263"/>
      <c r="B22" s="3" t="s">
        <v>97</v>
      </c>
      <c r="C22" s="94">
        <f t="shared" ref="C22:C23" si="12">+D22+E22+F22</f>
        <v>70000</v>
      </c>
      <c r="D22" s="4">
        <v>20000</v>
      </c>
      <c r="E22" s="4"/>
      <c r="F22" s="4">
        <v>50000</v>
      </c>
      <c r="G22" s="121" t="s">
        <v>134</v>
      </c>
      <c r="H22" s="163">
        <v>19853.21</v>
      </c>
      <c r="I22" s="168"/>
      <c r="J22" s="169">
        <v>3156.65</v>
      </c>
      <c r="K22" s="167">
        <f t="shared" ref="K22:K23" si="13">+H22+I22+J22</f>
        <v>23009.86</v>
      </c>
      <c r="L22" s="64"/>
      <c r="M22" s="63"/>
      <c r="N22" s="113">
        <f t="shared" si="11"/>
        <v>0.32871228571428573</v>
      </c>
      <c r="O22" s="63"/>
      <c r="P22" s="5">
        <v>5</v>
      </c>
      <c r="Q22" s="234"/>
    </row>
    <row r="23" spans="1:17" ht="49.2" customHeight="1" thickBot="1" x14ac:dyDescent="0.35">
      <c r="A23" s="263"/>
      <c r="B23" s="3" t="s">
        <v>98</v>
      </c>
      <c r="C23" s="94">
        <f t="shared" si="12"/>
        <v>80000</v>
      </c>
      <c r="D23" s="4"/>
      <c r="E23" s="4">
        <v>80000</v>
      </c>
      <c r="F23" s="4"/>
      <c r="G23" s="121" t="s">
        <v>135</v>
      </c>
      <c r="H23" s="163"/>
      <c r="I23" s="163">
        <v>65000</v>
      </c>
      <c r="J23" s="166"/>
      <c r="K23" s="167">
        <f t="shared" si="13"/>
        <v>65000</v>
      </c>
      <c r="L23" s="64"/>
      <c r="M23" s="63"/>
      <c r="N23" s="113">
        <f t="shared" si="11"/>
        <v>0.8125</v>
      </c>
      <c r="O23" s="63"/>
      <c r="P23" s="5">
        <v>6</v>
      </c>
      <c r="Q23" s="234"/>
    </row>
    <row r="24" spans="1:17" ht="18" customHeight="1" thickBot="1" x14ac:dyDescent="0.35">
      <c r="A24" s="246" t="s">
        <v>61</v>
      </c>
      <c r="B24" s="247"/>
      <c r="C24" s="10">
        <f t="shared" ref="C24" si="14">SUM(C21:C23)</f>
        <v>210000</v>
      </c>
      <c r="D24" s="89">
        <f t="shared" ref="D24:O24" si="15">SUM(D21:D23)</f>
        <v>80000</v>
      </c>
      <c r="E24" s="89">
        <f t="shared" si="15"/>
        <v>80000</v>
      </c>
      <c r="F24" s="89">
        <f t="shared" si="15"/>
        <v>50000</v>
      </c>
      <c r="G24" s="10">
        <v>79000</v>
      </c>
      <c r="H24" s="10">
        <f>+SUM(H21:H23)</f>
        <v>79853.209999999992</v>
      </c>
      <c r="I24" s="10">
        <f t="shared" ref="I24:K24" si="16">+SUM(I21:I23)</f>
        <v>65000</v>
      </c>
      <c r="J24" s="10">
        <f t="shared" si="16"/>
        <v>3156.65</v>
      </c>
      <c r="K24" s="10">
        <f t="shared" si="16"/>
        <v>148009.85999999999</v>
      </c>
      <c r="L24" s="10">
        <f t="shared" si="15"/>
        <v>0</v>
      </c>
      <c r="M24" s="10">
        <f t="shared" si="15"/>
        <v>0</v>
      </c>
      <c r="N24" s="114">
        <f t="shared" si="11"/>
        <v>0.70480885714285713</v>
      </c>
      <c r="O24" s="10">
        <f t="shared" si="15"/>
        <v>0</v>
      </c>
      <c r="P24" s="5"/>
    </row>
    <row r="25" spans="1:17" ht="19.5" customHeight="1" thickBot="1" x14ac:dyDescent="0.35">
      <c r="A25" s="239" t="s">
        <v>8</v>
      </c>
      <c r="B25" s="240"/>
      <c r="C25" s="65">
        <f t="shared" ref="C25" si="17">C14+C20+C24</f>
        <v>787000</v>
      </c>
      <c r="D25" s="90">
        <f>D14+D20+D24</f>
        <v>357000</v>
      </c>
      <c r="E25" s="90">
        <f>E14+E20+E24</f>
        <v>295000</v>
      </c>
      <c r="F25" s="90">
        <f>F14+F20+F24</f>
        <v>135000</v>
      </c>
      <c r="G25" s="122">
        <f>+G24+G20+G14</f>
        <v>322500</v>
      </c>
      <c r="H25" s="65">
        <f t="shared" ref="H25:K25" si="18">+H24+H20+H14</f>
        <v>306883.20999999996</v>
      </c>
      <c r="I25" s="65">
        <f t="shared" si="18"/>
        <v>157000</v>
      </c>
      <c r="J25" s="65">
        <f t="shared" si="18"/>
        <v>72787.649999999994</v>
      </c>
      <c r="K25" s="65">
        <f t="shared" si="18"/>
        <v>536670.86</v>
      </c>
      <c r="L25" s="65">
        <f t="shared" ref="L25:O25" si="19">L14+L20+L24</f>
        <v>0</v>
      </c>
      <c r="M25" s="65">
        <f t="shared" si="19"/>
        <v>0</v>
      </c>
      <c r="N25" s="115">
        <f t="shared" si="11"/>
        <v>0.68191977128335446</v>
      </c>
      <c r="O25" s="65">
        <f t="shared" si="19"/>
        <v>0</v>
      </c>
      <c r="P25" s="66"/>
    </row>
    <row r="26" spans="1:17" ht="24.75" customHeight="1" thickBot="1" x14ac:dyDescent="0.35">
      <c r="A26" s="241" t="s">
        <v>99</v>
      </c>
      <c r="B26" s="242"/>
      <c r="C26" s="242"/>
      <c r="D26" s="242"/>
      <c r="E26" s="242"/>
      <c r="F26" s="242"/>
      <c r="G26" s="242"/>
      <c r="H26" s="242"/>
      <c r="I26" s="242"/>
      <c r="J26" s="242"/>
      <c r="K26" s="242"/>
      <c r="L26" s="242"/>
      <c r="M26" s="242"/>
      <c r="N26" s="242"/>
      <c r="O26" s="242"/>
      <c r="P26" s="243"/>
    </row>
    <row r="27" spans="1:17" ht="140.4" customHeight="1" thickBot="1" x14ac:dyDescent="0.35">
      <c r="A27" s="244" t="s">
        <v>100</v>
      </c>
      <c r="B27" s="7" t="s">
        <v>101</v>
      </c>
      <c r="C27" s="87">
        <f>+D27+E27+F27</f>
        <v>75000</v>
      </c>
      <c r="D27" s="8">
        <v>37500</v>
      </c>
      <c r="E27" s="8">
        <v>22500</v>
      </c>
      <c r="F27" s="8">
        <v>15000</v>
      </c>
      <c r="G27" s="121" t="s">
        <v>136</v>
      </c>
      <c r="H27" s="163"/>
      <c r="I27" s="164">
        <v>12000</v>
      </c>
      <c r="J27" s="170">
        <v>15000</v>
      </c>
      <c r="K27" s="170">
        <f>+J27+I27+H27</f>
        <v>27000</v>
      </c>
      <c r="L27" s="63"/>
      <c r="M27" s="63"/>
      <c r="N27" s="156">
        <f>+K27/C27</f>
        <v>0.36</v>
      </c>
      <c r="O27" s="63"/>
      <c r="P27" s="5">
        <v>6</v>
      </c>
      <c r="Q27" s="245" t="s">
        <v>62</v>
      </c>
    </row>
    <row r="28" spans="1:17" ht="96" customHeight="1" thickBot="1" x14ac:dyDescent="0.35">
      <c r="A28" s="244"/>
      <c r="B28" s="56" t="s">
        <v>102</v>
      </c>
      <c r="C28" s="87">
        <f t="shared" ref="C28:C29" si="20">+D28+E28+F28</f>
        <v>20000</v>
      </c>
      <c r="D28" s="4"/>
      <c r="E28" s="4">
        <v>20000</v>
      </c>
      <c r="F28" s="4"/>
      <c r="G28" s="121" t="s">
        <v>131</v>
      </c>
      <c r="H28" s="163"/>
      <c r="I28" s="164"/>
      <c r="J28" s="170"/>
      <c r="K28" s="170">
        <f t="shared" ref="K28:K29" si="21">+H28+I28+J28</f>
        <v>0</v>
      </c>
      <c r="L28" s="64"/>
      <c r="M28" s="63"/>
      <c r="N28" s="156">
        <f>+L28/C28</f>
        <v>0</v>
      </c>
      <c r="O28" s="63"/>
      <c r="P28" s="5">
        <v>4</v>
      </c>
      <c r="Q28" s="245"/>
    </row>
    <row r="29" spans="1:17" ht="54" customHeight="1" thickBot="1" x14ac:dyDescent="0.35">
      <c r="A29" s="244"/>
      <c r="B29" s="56" t="s">
        <v>103</v>
      </c>
      <c r="C29" s="87">
        <f t="shared" si="20"/>
        <v>50000</v>
      </c>
      <c r="D29" s="4">
        <v>10000</v>
      </c>
      <c r="E29" s="4">
        <v>10000</v>
      </c>
      <c r="F29" s="4">
        <v>30000</v>
      </c>
      <c r="G29" s="121" t="s">
        <v>137</v>
      </c>
      <c r="H29" s="163">
        <v>10000</v>
      </c>
      <c r="I29" s="171"/>
      <c r="J29" s="170">
        <v>1000</v>
      </c>
      <c r="K29" s="170">
        <f t="shared" si="21"/>
        <v>11000</v>
      </c>
      <c r="L29" s="64"/>
      <c r="M29" s="63"/>
      <c r="N29" s="156">
        <f>+L29+K29/C29</f>
        <v>0.22</v>
      </c>
      <c r="O29" s="63"/>
      <c r="P29" s="5">
        <v>6</v>
      </c>
      <c r="Q29" s="245"/>
    </row>
    <row r="30" spans="1:17" ht="40.200000000000003" customHeight="1" thickBot="1" x14ac:dyDescent="0.35">
      <c r="A30" s="246" t="s">
        <v>63</v>
      </c>
      <c r="B30" s="247"/>
      <c r="C30" s="10">
        <f>SUM(C27:C29)</f>
        <v>145000</v>
      </c>
      <c r="D30" s="10">
        <f>SUM(D27:D29)</f>
        <v>47500</v>
      </c>
      <c r="E30" s="10">
        <f>SUM(E27:E29)</f>
        <v>52500</v>
      </c>
      <c r="F30" s="10">
        <f>SUM(F27:F29)</f>
        <v>45000</v>
      </c>
      <c r="G30" s="10">
        <v>58500</v>
      </c>
      <c r="H30" s="10">
        <f>+SUM(H27:H29)</f>
        <v>10000</v>
      </c>
      <c r="I30" s="10">
        <f t="shared" ref="I30:K30" si="22">+SUM(I27:I29)</f>
        <v>12000</v>
      </c>
      <c r="J30" s="10">
        <f t="shared" si="22"/>
        <v>16000</v>
      </c>
      <c r="K30" s="10">
        <f t="shared" si="22"/>
        <v>38000</v>
      </c>
      <c r="L30" s="10">
        <f>SUM(L27:L29)</f>
        <v>0</v>
      </c>
      <c r="M30" s="10">
        <f>SUM(M27:M29)</f>
        <v>0</v>
      </c>
      <c r="N30" s="10">
        <f t="shared" ref="N30:N39" si="23">+K30/C30</f>
        <v>0.2620689655172414</v>
      </c>
      <c r="O30" s="10">
        <f>SUM(O27:O29)</f>
        <v>0</v>
      </c>
      <c r="P30" s="10"/>
      <c r="Q30" s="140"/>
    </row>
    <row r="31" spans="1:17" ht="51" customHeight="1" thickBot="1" x14ac:dyDescent="0.35">
      <c r="A31" s="248" t="s">
        <v>104</v>
      </c>
      <c r="B31" s="56" t="s">
        <v>105</v>
      </c>
      <c r="C31" s="88">
        <f>+D31+E31+F31</f>
        <v>80000</v>
      </c>
      <c r="D31" s="66">
        <v>30000</v>
      </c>
      <c r="E31" s="66">
        <v>50000</v>
      </c>
      <c r="F31" s="66"/>
      <c r="G31" s="121" t="s">
        <v>135</v>
      </c>
      <c r="H31" s="163">
        <v>30000</v>
      </c>
      <c r="I31" s="164">
        <v>41332</v>
      </c>
      <c r="J31" s="164"/>
      <c r="K31" s="172">
        <f>+H31+I31+J31</f>
        <v>71332</v>
      </c>
      <c r="L31" s="63"/>
      <c r="M31" s="63"/>
      <c r="N31" s="113">
        <f t="shared" si="23"/>
        <v>0.89165000000000005</v>
      </c>
      <c r="O31" s="63"/>
      <c r="P31" s="5">
        <v>6</v>
      </c>
      <c r="Q31" s="233" t="s">
        <v>64</v>
      </c>
    </row>
    <row r="32" spans="1:17" ht="59.4" customHeight="1" thickBot="1" x14ac:dyDescent="0.35">
      <c r="A32" s="249"/>
      <c r="B32" s="56" t="s">
        <v>106</v>
      </c>
      <c r="C32" s="88">
        <f>+D32+E32+F32</f>
        <v>40000</v>
      </c>
      <c r="D32" s="4">
        <v>20000</v>
      </c>
      <c r="E32" s="4"/>
      <c r="F32" s="4">
        <v>20000</v>
      </c>
      <c r="G32" s="119" t="s">
        <v>138</v>
      </c>
      <c r="H32" s="163">
        <v>20000</v>
      </c>
      <c r="I32" s="164"/>
      <c r="J32" s="164">
        <v>3000</v>
      </c>
      <c r="K32" s="172">
        <f>+H32+I32+J32</f>
        <v>23000</v>
      </c>
      <c r="L32" s="63"/>
      <c r="M32" s="63"/>
      <c r="N32" s="113">
        <f t="shared" si="23"/>
        <v>0.57499999999999996</v>
      </c>
      <c r="O32" s="63"/>
      <c r="P32" s="5">
        <v>6</v>
      </c>
      <c r="Q32" s="234"/>
    </row>
    <row r="33" spans="1:17" ht="21" customHeight="1" thickBot="1" x14ac:dyDescent="0.35">
      <c r="A33" s="246" t="s">
        <v>65</v>
      </c>
      <c r="B33" s="247"/>
      <c r="C33" s="10">
        <f>SUM(C31:C32)</f>
        <v>120000</v>
      </c>
      <c r="D33" s="89">
        <f>SUM(D31:D32)</f>
        <v>50000</v>
      </c>
      <c r="E33" s="89">
        <f t="shared" ref="E33" si="24">SUM(E31:E32)</f>
        <v>50000</v>
      </c>
      <c r="F33" s="89">
        <f>SUM(F31:F32)</f>
        <v>20000</v>
      </c>
      <c r="G33" s="10">
        <v>60000</v>
      </c>
      <c r="H33" s="89">
        <f>+SUM(H31:H32)</f>
        <v>50000</v>
      </c>
      <c r="I33" s="89">
        <f t="shared" ref="I33:K33" si="25">+SUM(I31:I32)</f>
        <v>41332</v>
      </c>
      <c r="J33" s="89">
        <f t="shared" si="25"/>
        <v>3000</v>
      </c>
      <c r="K33" s="89">
        <f t="shared" si="25"/>
        <v>94332</v>
      </c>
      <c r="L33" s="10">
        <f>SUM(L31:L32)</f>
        <v>0</v>
      </c>
      <c r="M33" s="10">
        <f>SUM(M31:M32)</f>
        <v>0</v>
      </c>
      <c r="N33" s="114">
        <f t="shared" si="23"/>
        <v>0.78610000000000002</v>
      </c>
      <c r="O33" s="10">
        <f>SUM(O31:O32)</f>
        <v>0</v>
      </c>
      <c r="P33" s="5"/>
      <c r="Q33" s="67"/>
    </row>
    <row r="34" spans="1:17" s="9" customFormat="1" ht="30" customHeight="1" thickBot="1" x14ac:dyDescent="0.35">
      <c r="A34" s="239" t="s">
        <v>66</v>
      </c>
      <c r="B34" s="240"/>
      <c r="C34" s="65">
        <f>C30+C33</f>
        <v>265000</v>
      </c>
      <c r="D34" s="65">
        <f t="shared" ref="D34" si="26">D30+D33</f>
        <v>97500</v>
      </c>
      <c r="E34" s="65">
        <f>E30+E33</f>
        <v>102500</v>
      </c>
      <c r="F34" s="65">
        <f>F30+F33</f>
        <v>65000</v>
      </c>
      <c r="G34" s="65">
        <f>G30+G33</f>
        <v>118500</v>
      </c>
      <c r="H34" s="65">
        <f t="shared" ref="H34:K34" si="27">H30+H33</f>
        <v>60000</v>
      </c>
      <c r="I34" s="65">
        <f t="shared" si="27"/>
        <v>53332</v>
      </c>
      <c r="J34" s="65">
        <f t="shared" si="27"/>
        <v>19000</v>
      </c>
      <c r="K34" s="65">
        <f t="shared" si="27"/>
        <v>132332</v>
      </c>
      <c r="L34" s="65">
        <f>L30+L33</f>
        <v>0</v>
      </c>
      <c r="M34" s="65">
        <f>M30+M33</f>
        <v>0</v>
      </c>
      <c r="N34" s="115">
        <f t="shared" si="23"/>
        <v>0.49936603773584903</v>
      </c>
      <c r="O34" s="65">
        <f>O30+O33</f>
        <v>0</v>
      </c>
      <c r="P34" s="68"/>
      <c r="Q34" s="2"/>
    </row>
    <row r="35" spans="1:17" ht="21.75" customHeight="1" thickBot="1" x14ac:dyDescent="0.35">
      <c r="A35" s="250" t="s">
        <v>67</v>
      </c>
      <c r="B35" s="251"/>
      <c r="C35" s="69">
        <f>C34+C25</f>
        <v>1052000</v>
      </c>
      <c r="D35" s="91">
        <f>D34+D25</f>
        <v>454500</v>
      </c>
      <c r="E35" s="91">
        <f t="shared" ref="E35:F35" si="28">E34+E25</f>
        <v>397500</v>
      </c>
      <c r="F35" s="91">
        <f t="shared" si="28"/>
        <v>200000</v>
      </c>
      <c r="G35" s="69">
        <f>G34+G25</f>
        <v>441000</v>
      </c>
      <c r="H35" s="69">
        <f>H34+H25</f>
        <v>366883.20999999996</v>
      </c>
      <c r="I35" s="69">
        <f t="shared" ref="I35:K35" si="29">I34+I25</f>
        <v>210332</v>
      </c>
      <c r="J35" s="69">
        <f>J34+J25</f>
        <v>91787.65</v>
      </c>
      <c r="K35" s="69">
        <f t="shared" si="29"/>
        <v>669002.86</v>
      </c>
      <c r="L35" s="69">
        <f>L34+L25</f>
        <v>0</v>
      </c>
      <c r="M35" s="69">
        <f>M34+M25</f>
        <v>0</v>
      </c>
      <c r="N35" s="116">
        <f t="shared" si="23"/>
        <v>0.63593427756653986</v>
      </c>
      <c r="O35" s="69">
        <f>O34+O25</f>
        <v>0</v>
      </c>
      <c r="P35" s="70"/>
      <c r="Q35" s="9"/>
    </row>
    <row r="36" spans="1:17" ht="21.6" customHeight="1" thickBot="1" x14ac:dyDescent="0.35">
      <c r="A36" s="232" t="s">
        <v>9</v>
      </c>
      <c r="B36" s="6" t="s">
        <v>116</v>
      </c>
      <c r="C36" s="95">
        <f>+D36+E36+F36</f>
        <v>41400</v>
      </c>
      <c r="D36" s="4">
        <v>41400</v>
      </c>
      <c r="E36" s="4"/>
      <c r="F36" s="4"/>
      <c r="G36" s="64"/>
      <c r="H36" s="173">
        <v>30000</v>
      </c>
      <c r="I36" s="174"/>
      <c r="J36" s="174"/>
      <c r="K36" s="175">
        <f>+SUM(H36:J36)</f>
        <v>30000</v>
      </c>
      <c r="L36" s="63"/>
      <c r="M36" s="63"/>
      <c r="N36" s="182">
        <f t="shared" si="23"/>
        <v>0.72463768115942029</v>
      </c>
      <c r="O36" s="63"/>
      <c r="P36" s="5">
        <v>4</v>
      </c>
      <c r="Q36" s="233" t="s">
        <v>68</v>
      </c>
    </row>
    <row r="37" spans="1:17" ht="21.6" customHeight="1" thickBot="1" x14ac:dyDescent="0.35">
      <c r="A37" s="232"/>
      <c r="B37" s="3" t="s">
        <v>117</v>
      </c>
      <c r="C37" s="95">
        <f t="shared" ref="C37:C38" si="30">+D37+E37+F37</f>
        <v>27000</v>
      </c>
      <c r="D37" s="4">
        <v>27000</v>
      </c>
      <c r="E37" s="4"/>
      <c r="F37" s="4"/>
      <c r="G37" s="64"/>
      <c r="H37" s="173">
        <v>16000</v>
      </c>
      <c r="I37" s="174"/>
      <c r="J37" s="174"/>
      <c r="K37" s="175">
        <f t="shared" ref="K37:K38" si="31">+SUM(H37:J37)</f>
        <v>16000</v>
      </c>
      <c r="L37" s="63"/>
      <c r="M37" s="63"/>
      <c r="N37" s="182">
        <f t="shared" si="23"/>
        <v>0.59259259259259256</v>
      </c>
      <c r="O37" s="63"/>
      <c r="P37" s="5">
        <v>4</v>
      </c>
      <c r="Q37" s="234"/>
    </row>
    <row r="38" spans="1:17" ht="21.6" customHeight="1" thickBot="1" x14ac:dyDescent="0.35">
      <c r="A38" s="232"/>
      <c r="B38" s="3" t="s">
        <v>108</v>
      </c>
      <c r="C38" s="95">
        <f t="shared" si="30"/>
        <v>30600</v>
      </c>
      <c r="D38" s="4"/>
      <c r="E38" s="4"/>
      <c r="F38" s="4">
        <v>30600</v>
      </c>
      <c r="G38" s="64"/>
      <c r="H38" s="173"/>
      <c r="I38" s="174"/>
      <c r="J38" s="174">
        <v>15775.21</v>
      </c>
      <c r="K38" s="175">
        <f t="shared" si="31"/>
        <v>15775.21</v>
      </c>
      <c r="L38" s="63"/>
      <c r="M38" s="63"/>
      <c r="N38" s="182">
        <f t="shared" si="23"/>
        <v>0.5155297385620915</v>
      </c>
      <c r="O38" s="63"/>
      <c r="P38" s="5">
        <v>4</v>
      </c>
      <c r="Q38" s="234"/>
    </row>
    <row r="39" spans="1:17" ht="21.6" customHeight="1" thickBot="1" x14ac:dyDescent="0.35">
      <c r="A39" s="236" t="s">
        <v>10</v>
      </c>
      <c r="B39" s="237"/>
      <c r="C39" s="10">
        <f>SUM(C36:C38)</f>
        <v>99000</v>
      </c>
      <c r="D39" s="89">
        <f>SUM(D36:D38)</f>
        <v>68400</v>
      </c>
      <c r="E39" s="89">
        <f t="shared" ref="E39:F39" si="32">SUM(E36:E38)</f>
        <v>0</v>
      </c>
      <c r="F39" s="89">
        <f t="shared" si="32"/>
        <v>30600</v>
      </c>
      <c r="G39" s="10">
        <f>SUM(G36:G38)</f>
        <v>0</v>
      </c>
      <c r="H39" s="10">
        <f>+SUM(H36:H38)</f>
        <v>46000</v>
      </c>
      <c r="I39" s="10">
        <f t="shared" ref="I39:K39" si="33">+SUM(I36:I38)</f>
        <v>0</v>
      </c>
      <c r="J39" s="10">
        <f t="shared" si="33"/>
        <v>15775.21</v>
      </c>
      <c r="K39" s="10">
        <f t="shared" si="33"/>
        <v>61775.21</v>
      </c>
      <c r="L39" s="10">
        <f>SUM(L36:L38)</f>
        <v>0</v>
      </c>
      <c r="M39" s="10">
        <f>SUM(M36:M38)</f>
        <v>0</v>
      </c>
      <c r="N39" s="114">
        <f t="shared" si="23"/>
        <v>0.62399202020202016</v>
      </c>
      <c r="O39" s="10">
        <f>SUM(O36:O38)</f>
        <v>0</v>
      </c>
      <c r="P39" s="152"/>
      <c r="Q39" s="235"/>
    </row>
    <row r="40" spans="1:17" ht="21.6" customHeight="1" thickBot="1" x14ac:dyDescent="0.35">
      <c r="A40" s="232" t="s">
        <v>69</v>
      </c>
      <c r="B40" s="71" t="s">
        <v>115</v>
      </c>
      <c r="C40" s="94">
        <f>+D40+E40+F40</f>
        <v>65000</v>
      </c>
      <c r="D40" s="4">
        <v>30000</v>
      </c>
      <c r="E40" s="4">
        <v>20000</v>
      </c>
      <c r="F40" s="4">
        <v>15000</v>
      </c>
      <c r="G40" s="64"/>
      <c r="H40" s="176">
        <v>20000</v>
      </c>
      <c r="I40" s="176">
        <v>13000</v>
      </c>
      <c r="J40" s="170">
        <v>7375.08</v>
      </c>
      <c r="K40" s="170">
        <f>+H40+I40+J40</f>
        <v>40375.08</v>
      </c>
      <c r="L40" s="64"/>
      <c r="M40" s="63"/>
      <c r="N40" s="182">
        <f t="shared" ref="N40:N41" si="34">+K40/C40</f>
        <v>0.62115507692307692</v>
      </c>
      <c r="O40" s="63"/>
      <c r="P40" s="5">
        <v>5</v>
      </c>
      <c r="Q40" s="233" t="s">
        <v>70</v>
      </c>
    </row>
    <row r="41" spans="1:17" ht="21.6" customHeight="1" thickBot="1" x14ac:dyDescent="0.35">
      <c r="A41" s="232"/>
      <c r="B41" s="71" t="s">
        <v>11</v>
      </c>
      <c r="C41" s="94">
        <f>+D41+E41+F41</f>
        <v>20000</v>
      </c>
      <c r="D41" s="4">
        <v>20000</v>
      </c>
      <c r="E41" s="4"/>
      <c r="F41" s="4"/>
      <c r="G41" s="64"/>
      <c r="H41" s="176"/>
      <c r="I41" s="176"/>
      <c r="J41" s="170">
        <v>0</v>
      </c>
      <c r="K41" s="170">
        <f>+H41+I41+J41</f>
        <v>0</v>
      </c>
      <c r="L41" s="64"/>
      <c r="M41" s="63"/>
      <c r="N41" s="182">
        <f t="shared" si="34"/>
        <v>0</v>
      </c>
      <c r="O41" s="63"/>
      <c r="P41" s="5">
        <v>4</v>
      </c>
      <c r="Q41" s="234"/>
    </row>
    <row r="42" spans="1:17" ht="18.75" customHeight="1" thickBot="1" x14ac:dyDescent="0.35">
      <c r="A42" s="236" t="s">
        <v>71</v>
      </c>
      <c r="B42" s="237"/>
      <c r="C42" s="10">
        <f t="shared" ref="C42" si="35">SUM(C40:C41)</f>
        <v>85000</v>
      </c>
      <c r="D42" s="89">
        <f>SUM(D40:D41)</f>
        <v>50000</v>
      </c>
      <c r="E42" s="89">
        <f t="shared" ref="E42:F42" si="36">SUM(E40:E41)</f>
        <v>20000</v>
      </c>
      <c r="F42" s="89">
        <f t="shared" si="36"/>
        <v>15000</v>
      </c>
      <c r="G42" s="10">
        <f t="shared" ref="G42:O42" si="37">SUM(G40:G41)</f>
        <v>0</v>
      </c>
      <c r="H42" s="10">
        <f>+SUM(H40:H41)</f>
        <v>20000</v>
      </c>
      <c r="I42" s="10">
        <f t="shared" ref="I42:K42" si="38">+SUM(I40:I41)</f>
        <v>13000</v>
      </c>
      <c r="J42" s="10">
        <f t="shared" si="38"/>
        <v>7375.08</v>
      </c>
      <c r="K42" s="10">
        <f t="shared" si="38"/>
        <v>40375.08</v>
      </c>
      <c r="L42" s="10">
        <f t="shared" si="37"/>
        <v>0</v>
      </c>
      <c r="M42" s="10">
        <f t="shared" si="37"/>
        <v>0</v>
      </c>
      <c r="N42" s="114">
        <f>+K42/C42</f>
        <v>0.47500094117647063</v>
      </c>
      <c r="O42" s="10">
        <f t="shared" si="37"/>
        <v>0</v>
      </c>
      <c r="P42" s="153"/>
      <c r="Q42" s="235"/>
    </row>
    <row r="43" spans="1:17" ht="20.399999999999999" customHeight="1" thickBot="1" x14ac:dyDescent="0.35">
      <c r="A43" s="238" t="s">
        <v>12</v>
      </c>
      <c r="B43" s="11" t="s">
        <v>13</v>
      </c>
      <c r="C43" s="96">
        <f>+D43+E43+F43</f>
        <v>20000</v>
      </c>
      <c r="D43" s="4">
        <v>10000</v>
      </c>
      <c r="E43" s="4">
        <v>5000</v>
      </c>
      <c r="F43" s="4">
        <v>5000</v>
      </c>
      <c r="G43" s="64"/>
      <c r="H43" s="176">
        <v>7478</v>
      </c>
      <c r="I43" s="176">
        <v>5000</v>
      </c>
      <c r="J43" s="170">
        <v>1091.44</v>
      </c>
      <c r="K43" s="170">
        <f>+H43+J43+I43</f>
        <v>13569.44</v>
      </c>
      <c r="L43" s="64"/>
      <c r="M43" s="63"/>
      <c r="N43" s="113">
        <f>+K43/C43</f>
        <v>0.67847200000000008</v>
      </c>
      <c r="O43" s="63"/>
      <c r="P43" s="154">
        <v>2</v>
      </c>
      <c r="Q43" s="233" t="s">
        <v>72</v>
      </c>
    </row>
    <row r="44" spans="1:17" ht="69.599999999999994" customHeight="1" thickBot="1" x14ac:dyDescent="0.35">
      <c r="A44" s="238"/>
      <c r="B44" s="118" t="s">
        <v>111</v>
      </c>
      <c r="C44" s="96">
        <f t="shared" ref="C44:C45" si="39">+D44+E44+F44</f>
        <v>37000</v>
      </c>
      <c r="D44" s="4">
        <v>17000</v>
      </c>
      <c r="E44" s="4">
        <v>10000</v>
      </c>
      <c r="F44" s="4">
        <v>10000</v>
      </c>
      <c r="G44" s="64"/>
      <c r="H44" s="176">
        <v>17000</v>
      </c>
      <c r="I44" s="176">
        <v>5000</v>
      </c>
      <c r="J44" s="170">
        <v>3880</v>
      </c>
      <c r="K44" s="170">
        <f t="shared" ref="K44:K46" si="40">+H44+J44+I44</f>
        <v>25880</v>
      </c>
      <c r="L44" s="64"/>
      <c r="M44" s="63"/>
      <c r="N44" s="113">
        <f t="shared" ref="N44:N46" si="41">+K44/C44</f>
        <v>0.69945945945945942</v>
      </c>
      <c r="O44" s="63"/>
      <c r="P44" s="154">
        <v>7</v>
      </c>
      <c r="Q44" s="234"/>
    </row>
    <row r="45" spans="1:17" ht="20.399999999999999" customHeight="1" thickBot="1" x14ac:dyDescent="0.35">
      <c r="A45" s="238"/>
      <c r="B45" s="11" t="s">
        <v>110</v>
      </c>
      <c r="C45" s="96">
        <f t="shared" si="39"/>
        <v>35000</v>
      </c>
      <c r="D45" s="4">
        <v>15000</v>
      </c>
      <c r="E45" s="4">
        <v>10000</v>
      </c>
      <c r="F45" s="4">
        <v>10000</v>
      </c>
      <c r="G45" s="64"/>
      <c r="H45" s="176">
        <v>10500</v>
      </c>
      <c r="I45" s="176">
        <v>8000</v>
      </c>
      <c r="J45" s="170">
        <v>1685.62</v>
      </c>
      <c r="K45" s="170">
        <f t="shared" si="40"/>
        <v>20185.62</v>
      </c>
      <c r="L45" s="63"/>
      <c r="M45" s="63"/>
      <c r="N45" s="113">
        <f t="shared" si="41"/>
        <v>0.57673200000000002</v>
      </c>
      <c r="O45" s="63"/>
      <c r="P45" s="154">
        <v>3</v>
      </c>
      <c r="Q45" s="234"/>
    </row>
    <row r="46" spans="1:17" ht="20.399999999999999" customHeight="1" thickBot="1" x14ac:dyDescent="0.35">
      <c r="A46" s="238"/>
      <c r="B46" s="11" t="s">
        <v>109</v>
      </c>
      <c r="C46" s="96">
        <f>+D46+E46+F46</f>
        <v>20000</v>
      </c>
      <c r="D46" s="4">
        <v>20000</v>
      </c>
      <c r="E46" s="4"/>
      <c r="F46" s="4"/>
      <c r="G46" s="64"/>
      <c r="H46" s="176"/>
      <c r="I46" s="176"/>
      <c r="J46" s="170"/>
      <c r="K46" s="170">
        <f t="shared" si="40"/>
        <v>0</v>
      </c>
      <c r="L46" s="64"/>
      <c r="M46" s="63"/>
      <c r="N46" s="113">
        <f t="shared" si="41"/>
        <v>0</v>
      </c>
      <c r="O46" s="63"/>
      <c r="P46" s="154">
        <v>4</v>
      </c>
      <c r="Q46" s="234"/>
    </row>
    <row r="47" spans="1:17" ht="19.5" customHeight="1" thickBot="1" x14ac:dyDescent="0.35">
      <c r="A47" s="236" t="s">
        <v>14</v>
      </c>
      <c r="B47" s="237"/>
      <c r="C47" s="72">
        <f>SUM(C43:C46)</f>
        <v>112000</v>
      </c>
      <c r="D47" s="92">
        <f>SUM(D43:D46)</f>
        <v>62000</v>
      </c>
      <c r="E47" s="92">
        <f t="shared" ref="E47:F47" si="42">SUM(E43:E46)</f>
        <v>25000</v>
      </c>
      <c r="F47" s="92">
        <f t="shared" si="42"/>
        <v>25000</v>
      </c>
      <c r="G47" s="72">
        <f>SUM(G43:G46)</f>
        <v>0</v>
      </c>
      <c r="H47" s="72">
        <f>+SUM(H43:H46)</f>
        <v>34978</v>
      </c>
      <c r="I47" s="72">
        <f t="shared" ref="I47:K47" si="43">+SUM(I43:I46)</f>
        <v>18000</v>
      </c>
      <c r="J47" s="72">
        <f t="shared" si="43"/>
        <v>6657.06</v>
      </c>
      <c r="K47" s="72">
        <f t="shared" si="43"/>
        <v>59635.06</v>
      </c>
      <c r="L47" s="72">
        <f>SUM(L43:L46)</f>
        <v>0</v>
      </c>
      <c r="M47" s="72">
        <f>SUM(M43:M46)</f>
        <v>0</v>
      </c>
      <c r="N47" s="114">
        <f>+K47/C47</f>
        <v>0.53245589285714279</v>
      </c>
      <c r="O47" s="72">
        <f>SUM(O43:O46)</f>
        <v>0</v>
      </c>
      <c r="P47" s="155"/>
      <c r="Q47" s="235"/>
    </row>
    <row r="48" spans="1:17" ht="21.75" customHeight="1" thickBot="1" x14ac:dyDescent="0.35">
      <c r="A48" s="222" t="s">
        <v>73</v>
      </c>
      <c r="B48" s="223"/>
      <c r="C48" s="69">
        <f>C35+C39+C42+C47</f>
        <v>1348000</v>
      </c>
      <c r="D48" s="69">
        <f t="shared" ref="D48:F48" si="44">D35+D39+D42+D47</f>
        <v>634900</v>
      </c>
      <c r="E48" s="69">
        <f t="shared" si="44"/>
        <v>442500</v>
      </c>
      <c r="F48" s="69">
        <f t="shared" si="44"/>
        <v>270600</v>
      </c>
      <c r="G48" s="69">
        <f>G35+G39+G42+G47</f>
        <v>441000</v>
      </c>
      <c r="H48" s="69">
        <f>H35+H39+H42+H47</f>
        <v>467861.20999999996</v>
      </c>
      <c r="I48" s="69">
        <f t="shared" ref="I48" si="45">I35+I39+I42+I47</f>
        <v>241332</v>
      </c>
      <c r="J48" s="69">
        <f>J35+J39+J42+J47</f>
        <v>121594.99999999999</v>
      </c>
      <c r="K48" s="69">
        <f t="shared" ref="K48" si="46">K35+K39+K42+K47</f>
        <v>830788.21</v>
      </c>
      <c r="L48" s="69">
        <f>L35+L39+L42+L47</f>
        <v>0</v>
      </c>
      <c r="M48" s="69">
        <f>M35+M39+M42+M47</f>
        <v>0</v>
      </c>
      <c r="N48" s="116">
        <f>+K48/C48</f>
        <v>0.61631172848664684</v>
      </c>
      <c r="O48" s="69">
        <f>O35+O39+O42+O47</f>
        <v>0</v>
      </c>
      <c r="P48" s="73"/>
    </row>
    <row r="49" spans="1:17" ht="22.5" customHeight="1" thickBot="1" x14ac:dyDescent="0.35">
      <c r="A49" s="224" t="s">
        <v>15</v>
      </c>
      <c r="B49" s="225"/>
      <c r="C49" s="62">
        <f>+C48*0.07-0.01</f>
        <v>94359.99000000002</v>
      </c>
      <c r="D49" s="4">
        <v>44443</v>
      </c>
      <c r="E49" s="4">
        <v>30975</v>
      </c>
      <c r="F49" s="4">
        <v>18942</v>
      </c>
      <c r="G49" s="4"/>
      <c r="H49" s="177">
        <v>39388.33</v>
      </c>
      <c r="I49" s="177">
        <v>21683</v>
      </c>
      <c r="J49" s="165">
        <v>12160</v>
      </c>
      <c r="K49" s="165">
        <f>+H49+I49+J49</f>
        <v>73231.33</v>
      </c>
      <c r="L49" s="4"/>
      <c r="M49" s="8"/>
      <c r="N49" s="157">
        <f>+K49/C49</f>
        <v>0.77608454600302512</v>
      </c>
      <c r="O49" s="8"/>
      <c r="P49" s="3">
        <v>8</v>
      </c>
    </row>
    <row r="50" spans="1:17" ht="30" customHeight="1" thickBot="1" x14ac:dyDescent="0.35">
      <c r="A50" s="226" t="s">
        <v>16</v>
      </c>
      <c r="B50" s="227"/>
      <c r="C50" s="74">
        <f>+C49+C48</f>
        <v>1442359.99</v>
      </c>
      <c r="D50" s="93">
        <f>+D49+D48</f>
        <v>679343</v>
      </c>
      <c r="E50" s="93">
        <f t="shared" ref="E50:F50" si="47">+E49+E48</f>
        <v>473475</v>
      </c>
      <c r="F50" s="93">
        <f t="shared" si="47"/>
        <v>289542</v>
      </c>
      <c r="G50" s="74">
        <f t="shared" ref="G50:O50" si="48">+G49+G48</f>
        <v>441000</v>
      </c>
      <c r="H50" s="74">
        <f t="shared" si="48"/>
        <v>507249.54</v>
      </c>
      <c r="I50" s="74">
        <f t="shared" si="48"/>
        <v>263015</v>
      </c>
      <c r="J50" s="74">
        <f>+J49+J48</f>
        <v>133755</v>
      </c>
      <c r="K50" s="74">
        <f>+K49+K48</f>
        <v>904019.53999999992</v>
      </c>
      <c r="L50" s="74">
        <f t="shared" si="48"/>
        <v>0</v>
      </c>
      <c r="M50" s="74">
        <f t="shared" si="48"/>
        <v>0</v>
      </c>
      <c r="N50" s="117">
        <f>+K50/C50</f>
        <v>0.62676415476555192</v>
      </c>
      <c r="O50" s="74">
        <f t="shared" si="48"/>
        <v>0</v>
      </c>
      <c r="P50" s="75"/>
    </row>
    <row r="51" spans="1:17" ht="30" customHeight="1" thickBot="1" x14ac:dyDescent="0.35">
      <c r="C51" s="59" t="s">
        <v>50</v>
      </c>
      <c r="D51" s="58" t="s">
        <v>112</v>
      </c>
      <c r="E51" s="58" t="s">
        <v>113</v>
      </c>
      <c r="F51" s="58" t="s">
        <v>114</v>
      </c>
      <c r="G51" s="76"/>
      <c r="H51" s="58"/>
      <c r="I51" s="58"/>
      <c r="J51" s="58" t="s">
        <v>156</v>
      </c>
      <c r="K51" s="58"/>
      <c r="L51" s="58" t="s">
        <v>4</v>
      </c>
      <c r="M51" s="58" t="s">
        <v>5</v>
      </c>
      <c r="N51" s="58"/>
      <c r="O51" s="57"/>
      <c r="Q51" s="77"/>
    </row>
    <row r="52" spans="1:17" ht="12.75" customHeight="1" x14ac:dyDescent="0.3">
      <c r="D52" s="78"/>
      <c r="E52" s="78"/>
      <c r="F52" s="78"/>
    </row>
    <row r="53" spans="1:17" ht="14.4" thickBot="1" x14ac:dyDescent="0.35">
      <c r="G53" s="79"/>
      <c r="H53" s="178"/>
      <c r="I53" s="178"/>
      <c r="J53" s="179"/>
      <c r="K53" s="179"/>
      <c r="L53" s="80"/>
      <c r="M53" s="80"/>
    </row>
    <row r="54" spans="1:17" ht="15" customHeight="1" thickBot="1" x14ac:dyDescent="0.35">
      <c r="B54" s="219" t="s">
        <v>17</v>
      </c>
      <c r="C54" s="220"/>
      <c r="D54" s="220"/>
      <c r="E54" s="220"/>
      <c r="F54" s="220"/>
      <c r="G54" s="220"/>
      <c r="H54" s="220"/>
      <c r="I54" s="220"/>
      <c r="J54" s="220"/>
      <c r="K54" s="220"/>
      <c r="L54" s="220"/>
      <c r="M54" s="220"/>
      <c r="N54" s="220"/>
      <c r="O54" s="221"/>
    </row>
    <row r="55" spans="1:17" ht="41.4" customHeight="1" thickBot="1" x14ac:dyDescent="0.35">
      <c r="B55" s="81" t="s">
        <v>18</v>
      </c>
      <c r="C55" s="101" t="s">
        <v>19</v>
      </c>
      <c r="D55" s="97" t="s">
        <v>20</v>
      </c>
      <c r="E55" s="97"/>
      <c r="F55" s="97"/>
      <c r="G55" s="100" t="s">
        <v>75</v>
      </c>
      <c r="H55" s="180"/>
      <c r="I55" s="180"/>
      <c r="J55" s="181" t="s">
        <v>21</v>
      </c>
      <c r="K55" s="181"/>
      <c r="L55" s="82" t="s">
        <v>22</v>
      </c>
      <c r="M55" s="108" t="s">
        <v>23</v>
      </c>
      <c r="N55" s="228" t="s">
        <v>24</v>
      </c>
      <c r="O55" s="229"/>
    </row>
    <row r="56" spans="1:17" ht="18.600000000000001" customHeight="1" thickBot="1" x14ac:dyDescent="0.35">
      <c r="B56" s="83" t="s">
        <v>143</v>
      </c>
      <c r="C56" s="102">
        <f>D50</f>
        <v>679343</v>
      </c>
      <c r="D56" s="104">
        <f>+H50</f>
        <v>507249.54</v>
      </c>
      <c r="E56" s="104"/>
      <c r="F56" s="104"/>
      <c r="G56" s="105">
        <f>D56</f>
        <v>507249.54</v>
      </c>
      <c r="H56" s="124"/>
      <c r="I56" s="124"/>
      <c r="J56" s="106">
        <v>0</v>
      </c>
      <c r="K56" s="126"/>
      <c r="L56" s="110">
        <f>C56-G56</f>
        <v>172093.46000000002</v>
      </c>
      <c r="M56" s="109">
        <f>G56/C56</f>
        <v>0.74667662727076012</v>
      </c>
      <c r="N56" s="230"/>
      <c r="O56" s="231"/>
    </row>
    <row r="57" spans="1:17" ht="18.600000000000001" customHeight="1" thickBot="1" x14ac:dyDescent="0.35">
      <c r="B57" s="83" t="s">
        <v>113</v>
      </c>
      <c r="C57" s="102">
        <f>+E50</f>
        <v>473475</v>
      </c>
      <c r="D57" s="104">
        <f>+I50</f>
        <v>263015</v>
      </c>
      <c r="E57" s="104"/>
      <c r="F57" s="104"/>
      <c r="G57" s="105">
        <f t="shared" ref="G57:G58" si="49">D57</f>
        <v>263015</v>
      </c>
      <c r="H57" s="124"/>
      <c r="I57" s="124"/>
      <c r="J57" s="106"/>
      <c r="K57" s="126"/>
      <c r="L57" s="110">
        <f t="shared" ref="L57:L58" si="50">C57-G57</f>
        <v>210460</v>
      </c>
      <c r="M57" s="109">
        <f t="shared" ref="M57:M59" si="51">G57/C57</f>
        <v>0.55549923438407522</v>
      </c>
      <c r="N57" s="84"/>
      <c r="O57" s="85"/>
    </row>
    <row r="58" spans="1:17" ht="18.600000000000001" customHeight="1" thickBot="1" x14ac:dyDescent="0.35">
      <c r="B58" s="83" t="s">
        <v>114</v>
      </c>
      <c r="C58" s="102">
        <f>+F50</f>
        <v>289542</v>
      </c>
      <c r="D58" s="104">
        <f>+J50</f>
        <v>133755</v>
      </c>
      <c r="E58" s="104"/>
      <c r="F58" s="104"/>
      <c r="G58" s="105">
        <f t="shared" si="49"/>
        <v>133755</v>
      </c>
      <c r="H58" s="124"/>
      <c r="I58" s="124"/>
      <c r="J58" s="106"/>
      <c r="K58" s="126"/>
      <c r="L58" s="110">
        <f t="shared" si="50"/>
        <v>155787</v>
      </c>
      <c r="M58" s="109">
        <f t="shared" si="51"/>
        <v>0.46195370619806453</v>
      </c>
      <c r="N58" s="84"/>
      <c r="O58" s="85"/>
    </row>
    <row r="59" spans="1:17" ht="21" customHeight="1" thickBot="1" x14ac:dyDescent="0.35">
      <c r="B59" s="86" t="s">
        <v>25</v>
      </c>
      <c r="C59" s="103">
        <f>+C58+C57+C56</f>
        <v>1442360</v>
      </c>
      <c r="D59" s="103">
        <f t="shared" ref="D59:G59" si="52">+D58+D57+D56</f>
        <v>904019.54</v>
      </c>
      <c r="E59" s="103">
        <f t="shared" si="52"/>
        <v>0</v>
      </c>
      <c r="F59" s="103">
        <f t="shared" si="52"/>
        <v>0</v>
      </c>
      <c r="G59" s="103">
        <f t="shared" si="52"/>
        <v>904019.54</v>
      </c>
      <c r="H59" s="125"/>
      <c r="I59" s="125"/>
      <c r="J59" s="107"/>
      <c r="K59" s="183"/>
      <c r="L59" s="183">
        <f>C59-G59</f>
        <v>538340.46</v>
      </c>
      <c r="M59" s="184">
        <f t="shared" si="51"/>
        <v>0.62676415042014477</v>
      </c>
      <c r="N59" s="217"/>
      <c r="O59" s="218"/>
    </row>
    <row r="61" spans="1:17" ht="18" x14ac:dyDescent="0.35">
      <c r="B61" s="14"/>
    </row>
    <row r="62" spans="1:17" ht="18" x14ac:dyDescent="0.35">
      <c r="B62" s="14"/>
    </row>
    <row r="63" spans="1:17" ht="14.4" x14ac:dyDescent="0.3">
      <c r="B63" s="12"/>
    </row>
    <row r="64" spans="1:17" ht="14.4" x14ac:dyDescent="0.3">
      <c r="B64" s="16"/>
    </row>
  </sheetData>
  <autoFilter ref="A1:Q51"/>
  <mergeCells count="37">
    <mergeCell ref="A24:B24"/>
    <mergeCell ref="A5:P5"/>
    <mergeCell ref="A6:A13"/>
    <mergeCell ref="Q6:Q13"/>
    <mergeCell ref="A14:B14"/>
    <mergeCell ref="B7:B8"/>
    <mergeCell ref="A15:A19"/>
    <mergeCell ref="Q15:Q19"/>
    <mergeCell ref="A20:B20"/>
    <mergeCell ref="A21:A23"/>
    <mergeCell ref="Q21:Q23"/>
    <mergeCell ref="A25:B25"/>
    <mergeCell ref="A26:P26"/>
    <mergeCell ref="A27:A29"/>
    <mergeCell ref="Q27:Q29"/>
    <mergeCell ref="A36:A38"/>
    <mergeCell ref="Q36:Q39"/>
    <mergeCell ref="A39:B39"/>
    <mergeCell ref="A30:B30"/>
    <mergeCell ref="A31:A32"/>
    <mergeCell ref="Q31:Q32"/>
    <mergeCell ref="A33:B33"/>
    <mergeCell ref="A34:B34"/>
    <mergeCell ref="A35:B35"/>
    <mergeCell ref="A40:A41"/>
    <mergeCell ref="Q40:Q42"/>
    <mergeCell ref="A42:B42"/>
    <mergeCell ref="A43:A46"/>
    <mergeCell ref="Q43:Q47"/>
    <mergeCell ref="A47:B47"/>
    <mergeCell ref="N59:O59"/>
    <mergeCell ref="B54:O54"/>
    <mergeCell ref="A48:B48"/>
    <mergeCell ref="A49:B49"/>
    <mergeCell ref="A50:B50"/>
    <mergeCell ref="N55:O55"/>
    <mergeCell ref="N56:O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 CATEGORIE BUDGETAIRE CLJ</vt:lpstr>
      <vt:lpstr>PAR RESULTAT CLJ 1 6 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2020-06-16T01:01:59Z</dcterms:modified>
</cp:coreProperties>
</file>