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jean-paul.kimbulu\Documents\PBF financial report 2020 june 22\"/>
    </mc:Choice>
  </mc:AlternateContent>
  <xr:revisionPtr revIDLastSave="0" documentId="8_{DE480467-A5DB-4947-B73E-EFB18478AEA9}" xr6:coauthVersionLast="45" xr6:coauthVersionMax="45" xr10:uidLastSave="{00000000-0000-0000-0000-000000000000}"/>
  <bookViews>
    <workbookView xWindow="-96" yWindow="-96" windowWidth="19392" windowHeight="10392" xr2:uid="{00000000-000D-0000-FFFF-FFFF00000000}"/>
  </bookViews>
  <sheets>
    <sheet name="Annex D-PBF Budget" sheetId="1" r:id="rId1"/>
    <sheet name="Table 2-Project Budget - UN Cat" sheetId="2" r:id="rId2"/>
    <sheet name="Summary" sheetId="4" r:id="rId3"/>
  </sheets>
  <externalReferences>
    <externalReference r:id="rId4"/>
  </externalReferences>
  <definedNames>
    <definedName name="_xlnm.Print_Area" localSheetId="0">'Annex D-PBF Budget'!$A$1:$I$54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8" i="1" l="1"/>
  <c r="G48" i="1"/>
  <c r="F47" i="1"/>
  <c r="C47" i="1"/>
  <c r="F46" i="1"/>
  <c r="F48" i="1" s="1"/>
  <c r="C46" i="1"/>
  <c r="E45" i="1"/>
  <c r="E48" i="1" s="1"/>
  <c r="C45" i="1"/>
  <c r="D44" i="1"/>
  <c r="D48" i="1" s="1"/>
  <c r="C44" i="1"/>
  <c r="D43" i="1"/>
  <c r="C43" i="1"/>
  <c r="C48" i="1" s="1"/>
  <c r="H41" i="1"/>
  <c r="F41" i="1"/>
  <c r="F42" i="1" s="1"/>
  <c r="E41" i="1"/>
  <c r="D41" i="1"/>
  <c r="D42" i="1" s="1"/>
  <c r="C41" i="1"/>
  <c r="H28" i="1"/>
  <c r="H42" i="1" s="1"/>
  <c r="H51" i="1" s="1"/>
  <c r="H53" i="1" s="1"/>
  <c r="G28" i="1"/>
  <c r="F28" i="1"/>
  <c r="E28" i="1"/>
  <c r="D28" i="1"/>
  <c r="C28" i="1"/>
  <c r="H17" i="1"/>
  <c r="F17" i="1"/>
  <c r="E17" i="1"/>
  <c r="E42" i="1" s="1"/>
  <c r="D17" i="1"/>
  <c r="C17" i="1"/>
  <c r="C42" i="1" s="1"/>
  <c r="G50" i="1" l="1"/>
  <c r="G51" i="1" s="1"/>
  <c r="G52" i="1" s="1"/>
  <c r="C50" i="1"/>
  <c r="C51" i="1" s="1"/>
  <c r="D50" i="1"/>
  <c r="D51" i="1" s="1"/>
  <c r="E51" i="1"/>
  <c r="E50" i="1"/>
  <c r="F50" i="1"/>
  <c r="F51" i="1" s="1"/>
  <c r="E30" i="2"/>
  <c r="F53" i="1" l="1"/>
  <c r="F52" i="1"/>
  <c r="D52" i="1"/>
  <c r="D53" i="1"/>
  <c r="C53" i="1"/>
  <c r="C52" i="1"/>
  <c r="E52" i="1"/>
  <c r="E53" i="1" s="1"/>
  <c r="J34" i="2"/>
  <c r="P34" i="2"/>
  <c r="X10" i="2"/>
  <c r="S18" i="2" l="1"/>
  <c r="L15" i="2"/>
  <c r="R15" i="2"/>
  <c r="R16" i="2" s="1"/>
  <c r="T15" i="2"/>
  <c r="X9" i="2"/>
  <c r="X11" i="2"/>
  <c r="X12" i="2"/>
  <c r="X13" i="2"/>
  <c r="X14" i="2"/>
  <c r="X8" i="2"/>
  <c r="R17" i="2" l="1"/>
  <c r="V8" i="2"/>
  <c r="W8" i="2"/>
  <c r="W10" i="2"/>
  <c r="W9" i="2"/>
  <c r="W11" i="2"/>
  <c r="W12" i="2"/>
  <c r="W13" i="2"/>
  <c r="W14" i="2"/>
  <c r="U8" i="2"/>
  <c r="S15" i="2"/>
  <c r="S16" i="2" s="1"/>
  <c r="S17" i="2" s="1"/>
  <c r="S19" i="2" s="1"/>
  <c r="S20" i="2" s="1"/>
  <c r="Q15" i="2"/>
  <c r="D24" i="2" l="1"/>
  <c r="M15" i="2"/>
  <c r="L16" i="2"/>
  <c r="L17" i="2" s="1"/>
  <c r="F15" i="2" l="1"/>
  <c r="F16" i="2" s="1"/>
  <c r="F17" i="2" l="1"/>
  <c r="M16" i="2" l="1"/>
  <c r="M17" i="2" l="1"/>
  <c r="M19" i="2" s="1"/>
  <c r="M20" i="2" s="1"/>
  <c r="C24" i="2" s="1"/>
  <c r="E34" i="2"/>
  <c r="G18" i="2" s="1"/>
  <c r="X18" i="2" s="1"/>
  <c r="G15" i="2" l="1"/>
  <c r="G16" i="2" l="1"/>
  <c r="X15" i="2"/>
  <c r="X16" i="2" s="1"/>
  <c r="X17" i="2" s="1"/>
  <c r="X19" i="2" s="1"/>
  <c r="J15" i="2"/>
  <c r="J16" i="2" s="1"/>
  <c r="J17" i="2" l="1"/>
  <c r="C15" i="2" l="1"/>
  <c r="P15" i="2"/>
  <c r="P16" i="2" l="1"/>
  <c r="P17" i="2" s="1"/>
  <c r="C16" i="2"/>
  <c r="C17" i="2" s="1"/>
  <c r="V9" i="2"/>
  <c r="V10" i="2"/>
  <c r="V11" i="2"/>
  <c r="V12" i="2"/>
  <c r="V13" i="2"/>
  <c r="V14" i="2"/>
  <c r="V15" i="2" l="1"/>
  <c r="D15" i="2"/>
  <c r="V16" i="2" l="1"/>
  <c r="D16" i="2"/>
  <c r="D17" i="2" s="1"/>
  <c r="V17" i="2" l="1"/>
  <c r="D20" i="2"/>
  <c r="B23" i="2" s="1"/>
  <c r="Y14" i="2"/>
  <c r="Y13" i="2"/>
  <c r="Y12" i="2"/>
  <c r="Y11" i="2"/>
  <c r="Y10" i="2"/>
  <c r="Y9" i="2"/>
  <c r="Y8" i="2"/>
  <c r="U14" i="2"/>
  <c r="U13" i="2"/>
  <c r="U12" i="2"/>
  <c r="U11" i="2"/>
  <c r="U10" i="2"/>
  <c r="U9" i="2"/>
  <c r="O15" i="2"/>
  <c r="O16" i="2" s="1"/>
  <c r="O17" i="2" s="1"/>
  <c r="P20" i="2" s="1"/>
  <c r="D23" i="2" s="1"/>
  <c r="N15" i="2"/>
  <c r="N16" i="2" s="1"/>
  <c r="N17" i="2" s="1"/>
  <c r="K15" i="2"/>
  <c r="I15" i="2"/>
  <c r="H15" i="2"/>
  <c r="E15" i="2"/>
  <c r="E16" i="2" s="1"/>
  <c r="G17" i="2" s="1"/>
  <c r="G19" i="2" s="1"/>
  <c r="G20" i="2" s="1"/>
  <c r="B24" i="2" s="1"/>
  <c r="B15" i="2"/>
  <c r="U15" i="2" l="1"/>
  <c r="U16" i="2" s="1"/>
  <c r="H16" i="2"/>
  <c r="H17" i="2" s="1"/>
  <c r="Y15" i="2"/>
  <c r="Z8" i="2"/>
  <c r="Z12" i="2"/>
  <c r="Z9" i="2"/>
  <c r="Z13" i="2"/>
  <c r="Z10" i="2"/>
  <c r="Z14" i="2"/>
  <c r="Z11" i="2"/>
  <c r="E17" i="2"/>
  <c r="I16" i="2"/>
  <c r="I17" i="2" s="1"/>
  <c r="J20" i="2" s="1"/>
  <c r="C23" i="2" s="1"/>
  <c r="Q16" i="2"/>
  <c r="Q17" i="2" s="1"/>
  <c r="W15" i="2"/>
  <c r="W16" i="2" s="1"/>
  <c r="B16" i="2"/>
  <c r="B17" i="2" s="1"/>
  <c r="K16" i="2"/>
  <c r="K17" i="2" s="1"/>
  <c r="T16" i="2"/>
  <c r="A34" i="4"/>
  <c r="B34" i="4"/>
  <c r="Y16" i="2" l="1"/>
  <c r="U17" i="2"/>
  <c r="Z15" i="2"/>
  <c r="T17" i="2"/>
  <c r="Y17" i="2" s="1"/>
  <c r="W17" i="2"/>
  <c r="C33" i="4"/>
  <c r="C32" i="4"/>
  <c r="C31" i="4"/>
  <c r="B26" i="4"/>
  <c r="B25" i="4"/>
  <c r="B24" i="4"/>
  <c r="B27" i="4" s="1"/>
  <c r="B23" i="4"/>
  <c r="B19" i="4"/>
  <c r="B6" i="4"/>
  <c r="B10" i="4" s="1"/>
  <c r="B12" i="4" s="1"/>
  <c r="X20" i="2" l="1"/>
  <c r="E24" i="2"/>
  <c r="F23" i="2"/>
  <c r="E23" i="2"/>
  <c r="V20" i="2"/>
  <c r="Z17" i="2"/>
  <c r="Z16" i="2"/>
  <c r="C3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tc={94D2A542-8752-42B4-AB86-C35AB1A367FE}</author>
  </authors>
  <commentList>
    <comment ref="G14" authorId="0" shapeId="0" xr:uid="{94D2A542-8752-42B4-AB86-C35AB1A367FE}">
      <text>
        <t>[Threaded comment]
Your version of Excel allows you to read this threaded comment; however, any edits to it will get removed if the file is opened in a newer version of Excel. Learn more: https://go.microsoft.com/fwlink/?linkid=870924
Comment:
    can you please provide %</t>
      </text>
    </comment>
  </commentList>
</comments>
</file>

<file path=xl/sharedStrings.xml><?xml version="1.0" encoding="utf-8"?>
<sst xmlns="http://schemas.openxmlformats.org/spreadsheetml/2006/main" count="239" uniqueCount="177">
  <si>
    <t>Annex D - PBF project budget</t>
  </si>
  <si>
    <t>Note: If this is a budget revision, insert extra columns to show budget changes.</t>
  </si>
  <si>
    <t>Table 1 - PBF project budget by Outcome, output and activity</t>
  </si>
  <si>
    <t>Outcome/ Output number</t>
  </si>
  <si>
    <t>Outcome/ output/ activity formulation:</t>
  </si>
  <si>
    <t>Budget at per activity at Output Level</t>
  </si>
  <si>
    <t>Budget by recipient organisation in USD - UNDP</t>
  </si>
  <si>
    <t>Budget by recipient organisation in USD - UN Women</t>
  </si>
  <si>
    <t>Budget by recipient organisation in  USD - UNICEF</t>
  </si>
  <si>
    <t>Percent of budget for each output reserved for direct action on gender eqaulity (if any):</t>
  </si>
  <si>
    <t>Level of expenditure/ commitments in USD (to provide at time of project progress reporting):</t>
  </si>
  <si>
    <t>Any remarks (e.g. on types of inputs provided or budget justification, for example if high TA or travel costs)</t>
  </si>
  <si>
    <t xml:space="preserve">OUTCOME 1: Improved national capacities for dialogue, consensus-building and reconciliation, with participation marginalized and at-risk groups </t>
  </si>
  <si>
    <t>Output 1:</t>
  </si>
  <si>
    <t>Meaningful citizen engagement on the monitoring and review of the implementation of the TSP</t>
  </si>
  <si>
    <t>Training targeted state entities with planning, service delivery and oversight mandates in collaborative leadership, Dialogue facilitation, participatory planning, gender and conflict sensitive development, strategic foresight, risk assessment, scenario planning with emphasis on promoting women’s leadership and participation</t>
  </si>
  <si>
    <t>Technical Support, Consultancy Services, Workshop Costs, DSA,Travel Costs, Materials</t>
  </si>
  <si>
    <t>Support key state entities to develop strategies for engaging with citizens in the process of implementing specific TSP reform areas</t>
  </si>
  <si>
    <t>Technical Support, Training Costs, Materials, Consultancy Services, Printing</t>
  </si>
  <si>
    <t>Support CSOs to convene outreach campaigns to raise awareness among citizens on the TSP and convene feedback sessions with the Government on emerging issues</t>
  </si>
  <si>
    <t>Technical Support, Grants, Travel, DSA</t>
  </si>
  <si>
    <t>Convene quarterly multi-stakeholder consensus building forums in selected provinces (5) and District Level (in the 5 provinces) to assess and review progress made in the implementation of each of the 7 thematic reform areas indentified in the TSP.</t>
  </si>
  <si>
    <t>Travel, Consultancy Services, Workshop Costs, DSA, Materials</t>
  </si>
  <si>
    <t>Convene monthly national TSP Technical Committee Review Meetings to consolidate issues emerging from the Provincial level engagements (chaired by Ministry of Finance and responsible line ministries)</t>
  </si>
  <si>
    <t>Technical Support, Consultancy Services, Workshop Costs, DSA, Travel Costs, Materials</t>
  </si>
  <si>
    <t>Convene 2 national level, high-level quarterly multi-stakeholder meetings to review progress and identify strategies for addressing bottlenecks in the implementation of each of the 7 thematic reform areas indentified in the TSP.</t>
  </si>
  <si>
    <t>Consultancy Services, Workshop Costs, DSA, Travel Costs, Materials</t>
  </si>
  <si>
    <t>Documentation and periodic  dissemination of key outcomes to the public through multi-media channels</t>
  </si>
  <si>
    <t>Materials, Consultancy Services, Printing Costs, Communication Costs</t>
  </si>
  <si>
    <t>Total Budget: Output 1</t>
  </si>
  <si>
    <t>Output 2:</t>
  </si>
  <si>
    <t>Marginalized and at risk-communities access social protection service and dispute resolution services</t>
  </si>
  <si>
    <t>Conduct an assessment of existing conflict prevention initiatives, (including governance, delivery systems and targeting of safety nets and their contribution to peacebuilding) among key sectors at national and sub-national levels</t>
  </si>
  <si>
    <t>Technical Services, Consultancy Services, Travel, DSA, Workshop Costs, Materials</t>
  </si>
  <si>
    <t xml:space="preserve">Develop a capacity enhancement plan to be presented to key stakeholders including Government and development partners </t>
  </si>
  <si>
    <t>Technical Support, Materials, Consultancy Services, Printing</t>
  </si>
  <si>
    <t>Develop a handbook and manual for policy makers and practitioners on how to deliver development services in a gender and conflict-sensitive manner</t>
  </si>
  <si>
    <t>Materials, Consultancy Services, Printing Costs, Workshop Costs, DSA</t>
  </si>
  <si>
    <t xml:space="preserve">Train and support a network of facilitators to assist stakeholders in collaboratively finding peaceful solutions to conflictual situations - including promoting gender and conflict-sensitive development practices; </t>
  </si>
  <si>
    <t>Workshop Costs, Travel Costs, DSA, Consultancy Services, Materials</t>
  </si>
  <si>
    <t>Develop capacities of relevant academic and training institutions to integrate conflict transformation skills and commission relevant policy-relevant research and analysis to support conflict prevention and protection efforts</t>
  </si>
  <si>
    <t>Technical Services, Consultancy Services, Grant</t>
  </si>
  <si>
    <t>Provide a platform for young male and female University students to apply acquired skills in conflict transformation, peacebuilding and social protection through practical placement opportunities</t>
  </si>
  <si>
    <t>Technical Services, Consultancy Services, small Grants</t>
  </si>
  <si>
    <t>Convene quarterly social protection sector coordination meetings to assess progress made in ensuring gender and conflict-sensitive delivery of services to at-risk communities</t>
  </si>
  <si>
    <t>Travel Costs, Consultancy Services, DSA, Materials, Workshop Costs</t>
  </si>
  <si>
    <t xml:space="preserve">Develop and operationalise an integrated mechanism for early detection of areas of potential conflicts and disputes as a basis for informing appropriate prevention measures </t>
  </si>
  <si>
    <t xml:space="preserve">Technical Support, Consultancy Services, Travel Costs, DSA, Workshop Costs, Materials </t>
  </si>
  <si>
    <t>Support women’s and Youth organizations in rural and peri-urban areas to form networks as accountability platforms for promotion of peace in key social, economic and political processes</t>
  </si>
  <si>
    <t>Total Budget: Output 2</t>
  </si>
  <si>
    <t>Output 3:</t>
  </si>
  <si>
    <t>NPRC has in partnership with State institutions, CSOs, FBOs, Women and Youth Organisations designed and initiated the implementation of its 5-year strategic plan</t>
  </si>
  <si>
    <t>Provide support towards enhancing institutional and human capacities of the NPRC Commissioners, Secretariat, Key Government Ministries, CSOs and FBOs including the promotion of regional exchanges of knowledge and experience</t>
  </si>
  <si>
    <t>Equipment, Vehicles, Training, DSA, Consultancy Services, Technical Support</t>
  </si>
  <si>
    <t>Develop a public engagement, communication strategy to guide NPRC's outreach and stakeholder engagement processes</t>
  </si>
  <si>
    <t>Technical Support, Consultancy Services, Workshop Costs, DSA, Printing, Materials</t>
  </si>
  <si>
    <t>Convene public outreach campaigns, one in pilot districts (those significantly affected by historical conficts) toincrease awareness by citizens and promote ownership of the NPRC Strategic priorities</t>
  </si>
  <si>
    <t>Convene high-level confidence building sessions with key state institutions on the NPRC Strategic Plan</t>
  </si>
  <si>
    <t>Consultancy Costs, Travel Costs, DSA, Workshop Costs, Materials</t>
  </si>
  <si>
    <t>Support the development of an NPRC Operational Plan and Stakeholder engagement procedures as an outcome of the outreach and consensus building sessions</t>
  </si>
  <si>
    <t>Technical support, Workshop Costs, DSA, Printing, Materials, Travel</t>
  </si>
  <si>
    <t>Induction and orientation of multi-stakeholder national, provincial and distric peace and reconcilian committees</t>
  </si>
  <si>
    <t xml:space="preserve">Technical Support, Workshop Costs, DSA, Printing, Materials, Travel </t>
  </si>
  <si>
    <t>Design and test run of national truth telling programme as a baseline for initiating a national healing proces as per Output 1.1.1 of the NPRC Strategic Plan</t>
  </si>
  <si>
    <t xml:space="preserve">Technical Support, Workshop Costs, DSA, Printing, Materials, Travel Costs </t>
  </si>
  <si>
    <t>Provide seed funding to the Government and NPRC to kickstart healing and reconciliation initatives as per the NPRC's Operational plan including the truth telling programme</t>
  </si>
  <si>
    <t>Technical Support; Small Grants, Travel Costs, DSA, Materials</t>
  </si>
  <si>
    <t>Convene quarterly National and Provincial level peace and reconciliation committee meetings co-chaired by the NPRC and Provincial State Ministers to address issues emerging from district level consultations</t>
  </si>
  <si>
    <t>Technical Support, Travel Costs, Consultancy Services, DSA, Materials, Workshop Costs</t>
  </si>
  <si>
    <t>Support to Zimbabwe Human Rights Commission; Gender Commission to initiate strategies in accordance to their mandates that contribute to promotion of peace in the country</t>
  </si>
  <si>
    <t>Support CSOs, FBOs, Youth Organisations to implement community-based peacebuilding programmes and contribute to a conducive environment for reconciliation in communities</t>
  </si>
  <si>
    <t>Technical Support, Travel, Consultancy Services, Small Grants</t>
  </si>
  <si>
    <t>Total Budget: Output 3</t>
  </si>
  <si>
    <t xml:space="preserve">Grand Total (Excluding Personnel Costs) </t>
  </si>
  <si>
    <t>Project personnel costs if not included in activities above</t>
  </si>
  <si>
    <t>Peacebuilding Officer (National UNV) (100%)</t>
  </si>
  <si>
    <t>Risk Analyst (Int'l UNV) (100%)</t>
  </si>
  <si>
    <t>UN Women Gender, Peace and Security Specialist (NOC) (10%)</t>
  </si>
  <si>
    <t>UNICEF Children Protection Specialist (NOB) 10%</t>
  </si>
  <si>
    <t>WFP Programmes and Policy Officer (NOB) 10%</t>
  </si>
  <si>
    <t>Sub-total personnel costs</t>
  </si>
  <si>
    <t>Project operational costs if not included in activities above</t>
  </si>
  <si>
    <t>Project M&amp;E budget including End of Project Evaluation 7%</t>
  </si>
  <si>
    <t>SUB TOTAL PROJECT BUDGET</t>
  </si>
  <si>
    <t>Indirect support costs (7%):</t>
  </si>
  <si>
    <t>TOTAL PROJECT BUDGET:</t>
  </si>
  <si>
    <t xml:space="preserve"> </t>
  </si>
  <si>
    <t>Table 2 - PBF project budget by UN cost category</t>
  </si>
  <si>
    <t>CATEGORIES</t>
  </si>
  <si>
    <t>Amount Recipient  Agency UNDP</t>
  </si>
  <si>
    <t xml:space="preserve">Amount Recipient  UN Women </t>
  </si>
  <si>
    <t>Amount Recipient  UNICEF</t>
  </si>
  <si>
    <t>Total Tranche 1</t>
  </si>
  <si>
    <t>Total Tranche 1 Exp</t>
  </si>
  <si>
    <t>Total Tranche 2</t>
  </si>
  <si>
    <t>Tranch 2 Exp</t>
  </si>
  <si>
    <t>Total Tranche 3</t>
  </si>
  <si>
    <t>PROJECT TOTAL</t>
  </si>
  <si>
    <t>Tranche 1 (30%)</t>
  </si>
  <si>
    <t>Tranche 1 Budget Changes</t>
  </si>
  <si>
    <t>Tranche 1 Exp</t>
  </si>
  <si>
    <t>Tranche 2 (30%)</t>
  </si>
  <si>
    <t>Tranch 2 Budget Changes</t>
  </si>
  <si>
    <t>Tranche 2  Exp. Jan-15 June 2020</t>
  </si>
  <si>
    <t>Tranche 3 (40%)</t>
  </si>
  <si>
    <t>Tranche 2 Budget Change</t>
  </si>
  <si>
    <t>Tranche 2 Exp.  Jan - 15 June 2020</t>
  </si>
  <si>
    <t>1. Staff and other personnel</t>
  </si>
  <si>
    <t>2. Supplies, Commodities, Materials</t>
  </si>
  <si>
    <t>3. Equipment, Vehicles, and Furniture (including Depreciation)</t>
  </si>
  <si>
    <t>4. Contractual services</t>
  </si>
  <si>
    <t>5.Travel (includes DSA &amp; Workshops)</t>
  </si>
  <si>
    <t>6. Transfers and Grants to Counterparts</t>
  </si>
  <si>
    <t>7. General Operating and other Direct Costs (incl. M&amp;E)</t>
  </si>
  <si>
    <t>Sub-Total Project Costs</t>
  </si>
  <si>
    <t>8. Indirect Support Costs (must be 7%)</t>
  </si>
  <si>
    <t>TOTAL</t>
  </si>
  <si>
    <t>Commitments</t>
  </si>
  <si>
    <t>Budget Utilisation %</t>
  </si>
  <si>
    <t>Notes:</t>
  </si>
  <si>
    <t>UNDP</t>
  </si>
  <si>
    <t>UNWOMEN</t>
  </si>
  <si>
    <t>UNICEF</t>
  </si>
  <si>
    <t>Average</t>
  </si>
  <si>
    <t>Cumulative</t>
  </si>
  <si>
    <t>Tranche 1</t>
  </si>
  <si>
    <t>Tranche 2 including Commitments</t>
  </si>
  <si>
    <t>UNDP Opening Cash Balance for 2020: $2,014</t>
  </si>
  <si>
    <t>UN Women Opening  Cash Balance for 2020: $17,008</t>
  </si>
  <si>
    <t>UNICEF Opening  Cash Balance for 2020: $11,572</t>
  </si>
  <si>
    <t>Pending Payments</t>
  </si>
  <si>
    <t>Responsible    Party</t>
  </si>
  <si>
    <t>Disbursed Advances</t>
  </si>
  <si>
    <t>Responsible Party</t>
  </si>
  <si>
    <t>-</t>
  </si>
  <si>
    <t>NANGO</t>
  </si>
  <si>
    <t>Total</t>
  </si>
  <si>
    <t>Total Advance</t>
  </si>
  <si>
    <t xml:space="preserve">  </t>
  </si>
  <si>
    <t>Budget Summary</t>
  </si>
  <si>
    <t>Total Programme Output 1</t>
  </si>
  <si>
    <t>Total Programme Output 2</t>
  </si>
  <si>
    <t>Total Programme Output 3</t>
  </si>
  <si>
    <t>Total Programme Budget (Output 1+2+3)</t>
  </si>
  <si>
    <t xml:space="preserve">Project Personnel </t>
  </si>
  <si>
    <t>Project General Operation Cost</t>
  </si>
  <si>
    <t>Monitoring and Evaluation Cost</t>
  </si>
  <si>
    <t>SUB-TOTAL PROJECT BUDGET</t>
  </si>
  <si>
    <t>Indirect support costs (7%)</t>
  </si>
  <si>
    <t>TOTAL PROJECT BUDGET</t>
  </si>
  <si>
    <t>Programme Allocation per UN Agency</t>
  </si>
  <si>
    <t>UN Agency</t>
  </si>
  <si>
    <t>Allocation</t>
  </si>
  <si>
    <t xml:space="preserve">UNDP </t>
  </si>
  <si>
    <t xml:space="preserve">UNWOMEN </t>
  </si>
  <si>
    <t xml:space="preserve">Total Grant - Programmable amount </t>
  </si>
  <si>
    <t>UNDP GMS</t>
  </si>
  <si>
    <t>UNWOMEN GMS</t>
  </si>
  <si>
    <t xml:space="preserve">UNICEF GMS </t>
  </si>
  <si>
    <t xml:space="preserve">TOTAL GMS </t>
  </si>
  <si>
    <t>UNDP (including Staff &amp;GMS)</t>
  </si>
  <si>
    <t>UNWOMEN (including Staff &amp; GMS)</t>
  </si>
  <si>
    <t>UNICEF (including Staff &amp; GMS)</t>
  </si>
  <si>
    <t>TOTAL MPTFO</t>
  </si>
  <si>
    <t>Gender Contribution</t>
  </si>
  <si>
    <t>Total output</t>
  </si>
  <si>
    <t>Amount (USD)</t>
  </si>
  <si>
    <t>% Contribution to Gender</t>
  </si>
  <si>
    <t>UNDP Commitments Jan-18 September 2020</t>
  </si>
  <si>
    <t>UNICEF Commitments Jan-18 September 2020</t>
  </si>
  <si>
    <t>UN Women Commitments Jan-18 September 2020</t>
  </si>
  <si>
    <t>OPM (Targeting Review)</t>
  </si>
  <si>
    <t>Gregory Carl (Development of Self-learning materials)</t>
  </si>
  <si>
    <t xml:space="preserve">** Please noted that the GMS posted on the reports is understated because the period for September 2020 is not yet closed in Atlas. </t>
  </si>
  <si>
    <t>KEY TO NOTES</t>
  </si>
  <si>
    <t>The USD$111,316.50 is not yet appearing in the Donor Statement of Activity as it has been reserved to create the Targeting Review. The procurement and contracting is almost complete. The funds will soon show as Funds Reservation which are necessary to activate the contract, without being reflected in DSA that shows actual payments  and pending payments.</t>
  </si>
  <si>
    <t>%%%%? Total output &amp;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</si>
</sst>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409]#,##0_ ;\-[$$-409]#,##0\ "/>
    <numFmt numFmtId="166" formatCode="_-* #,##0_-;\-* #,##0_-;_-* &quot;-&quot;??_-;_-@_-"/>
    <numFmt numFmtId="167" formatCode="[$$-409]#,##0.00_ ;\-[$$-409]#,##0.00\ "/>
  </numFmts>
  <fonts count="21" x14ac:knownFonts="1">
    <font>
      <sz val="11"/>
      <color theme="1"/>
      <name val="Calibri"/>
      <family val="2"/>
      <scheme val="minor"/>
    </font>
    <font>
      <b/>
      <sz val="12"/>
      <color theme="1"/>
      <name val="Calibri"/>
      <family val="2"/>
      <scheme val="minor"/>
    </font>
    <font>
      <b/>
      <sz val="11"/>
      <color theme="1"/>
      <name val="Calibri"/>
      <family val="2"/>
      <scheme val="minor"/>
    </font>
    <font>
      <b/>
      <sz val="10"/>
      <color theme="1"/>
      <name val="Arial"/>
      <family val="2"/>
    </font>
    <font>
      <sz val="10"/>
      <color theme="1"/>
      <name val="Arial"/>
      <family val="2"/>
    </font>
    <font>
      <sz val="10"/>
      <color rgb="FF000000"/>
      <name val="Arial"/>
      <family val="2"/>
    </font>
    <font>
      <sz val="11"/>
      <color theme="1"/>
      <name val="Calibri"/>
      <family val="2"/>
      <scheme val="minor"/>
    </font>
    <font>
      <sz val="11"/>
      <color rgb="FFFF0000"/>
      <name val="Calibri"/>
      <family val="2"/>
      <scheme val="minor"/>
    </font>
    <font>
      <sz val="11"/>
      <color rgb="FF0070C0"/>
      <name val="Calibri"/>
      <family val="2"/>
      <scheme val="minor"/>
    </font>
    <font>
      <sz val="11"/>
      <color rgb="FFC00000"/>
      <name val="Calibri"/>
      <family val="2"/>
      <scheme val="minor"/>
    </font>
    <font>
      <b/>
      <i/>
      <sz val="11"/>
      <color theme="1"/>
      <name val="Calibri"/>
      <family val="2"/>
      <scheme val="minor"/>
    </font>
    <font>
      <b/>
      <i/>
      <u/>
      <sz val="11"/>
      <color theme="1"/>
      <name val="Calibri"/>
      <family val="2"/>
      <scheme val="minor"/>
    </font>
    <font>
      <b/>
      <u/>
      <sz val="11"/>
      <color theme="1"/>
      <name val="Calibri"/>
      <family val="2"/>
      <scheme val="minor"/>
    </font>
    <font>
      <sz val="11"/>
      <color rgb="FF7030A0"/>
      <name val="Calibri"/>
      <family val="2"/>
      <scheme val="minor"/>
    </font>
    <font>
      <u val="double"/>
      <sz val="11"/>
      <color rgb="FF7030A0"/>
      <name val="Calibri"/>
      <family val="2"/>
      <scheme val="minor"/>
    </font>
    <font>
      <b/>
      <sz val="14"/>
      <color theme="1"/>
      <name val="Calibri"/>
      <family val="2"/>
      <scheme val="minor"/>
    </font>
    <font>
      <b/>
      <sz val="8"/>
      <color theme="1"/>
      <name val="Calibri"/>
      <family val="2"/>
      <scheme val="minor"/>
    </font>
    <font>
      <sz val="8"/>
      <color theme="1"/>
      <name val="Calibri"/>
      <family val="2"/>
      <scheme val="minor"/>
    </font>
    <font>
      <sz val="9"/>
      <color indexed="81"/>
      <name val="Tahoma"/>
      <charset val="1"/>
    </font>
    <font>
      <sz val="10"/>
      <color rgb="FFFF0000"/>
      <name val="Arial"/>
      <family val="2"/>
    </font>
    <font>
      <b/>
      <sz val="10"/>
      <color rgb="FFFF0000"/>
      <name val="Arial"/>
      <family val="2"/>
    </font>
  </fonts>
  <fills count="15">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bgColor indexed="64"/>
      </patternFill>
    </fill>
    <fill>
      <patternFill patternType="solid">
        <fgColor rgb="FFFFC000"/>
        <bgColor indexed="64"/>
      </patternFill>
    </fill>
    <fill>
      <patternFill patternType="solid">
        <fgColor theme="5"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0" tint="-0.34998626667073579"/>
        <bgColor indexed="64"/>
      </patternFill>
    </fill>
    <fill>
      <patternFill patternType="solid">
        <fgColor rgb="FF92D050"/>
        <bgColor indexed="64"/>
      </patternFill>
    </fill>
    <fill>
      <patternFill patternType="solid">
        <fgColor theme="0" tint="-0.14996795556505021"/>
        <bgColor indexed="64"/>
      </patternFill>
    </fill>
    <fill>
      <patternFill patternType="solid">
        <fgColor rgb="FF00B0F0"/>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ck">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164" fontId="6" fillId="0" borderId="0" applyFont="0" applyFill="0" applyBorder="0" applyAlignment="0" applyProtection="0"/>
    <xf numFmtId="9" fontId="6" fillId="0" borderId="0" applyFont="0" applyFill="0" applyBorder="0" applyAlignment="0" applyProtection="0"/>
  </cellStyleXfs>
  <cellXfs count="179">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4" fillId="0" borderId="1" xfId="0" applyFont="1" applyBorder="1" applyAlignment="1">
      <alignment vertical="center" wrapText="1"/>
    </xf>
    <xf numFmtId="0" fontId="3" fillId="0" borderId="3"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vertical="center" wrapText="1"/>
    </xf>
    <xf numFmtId="0" fontId="3" fillId="0" borderId="1" xfId="0" applyFont="1" applyBorder="1" applyAlignment="1">
      <alignment vertical="center" wrapText="1"/>
    </xf>
    <xf numFmtId="0" fontId="3" fillId="2" borderId="3" xfId="0" applyFont="1" applyFill="1" applyBorder="1" applyAlignment="1">
      <alignment vertical="center" wrapText="1"/>
    </xf>
    <xf numFmtId="0" fontId="3" fillId="3" borderId="3" xfId="0" applyFont="1" applyFill="1" applyBorder="1" applyAlignment="1">
      <alignment vertical="center" wrapText="1"/>
    </xf>
    <xf numFmtId="0" fontId="3" fillId="4" borderId="3" xfId="0" applyFont="1" applyFill="1" applyBorder="1" applyAlignment="1">
      <alignment vertical="center" wrapText="1"/>
    </xf>
    <xf numFmtId="3" fontId="4" fillId="0" borderId="4" xfId="0" applyNumberFormat="1"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7" xfId="0" applyFont="1" applyBorder="1" applyAlignment="1">
      <alignment vertical="center" wrapText="1"/>
    </xf>
    <xf numFmtId="0" fontId="5" fillId="0" borderId="12" xfId="0" applyFont="1" applyBorder="1" applyAlignment="1">
      <alignment horizontal="left" vertical="center" wrapText="1" indent="1"/>
    </xf>
    <xf numFmtId="0" fontId="5" fillId="0" borderId="7" xfId="0" applyFont="1" applyBorder="1" applyAlignment="1">
      <alignment horizontal="left" vertical="center" wrapText="1" indent="1"/>
    </xf>
    <xf numFmtId="0" fontId="4" fillId="3" borderId="4" xfId="0" applyFont="1" applyFill="1" applyBorder="1" applyAlignment="1">
      <alignment vertical="center" wrapText="1"/>
    </xf>
    <xf numFmtId="0" fontId="4" fillId="4" borderId="4" xfId="0" applyFont="1" applyFill="1" applyBorder="1" applyAlignment="1">
      <alignment vertical="center" wrapText="1"/>
    </xf>
    <xf numFmtId="3" fontId="4" fillId="4" borderId="4" xfId="0" applyNumberFormat="1" applyFont="1" applyFill="1" applyBorder="1" applyAlignment="1">
      <alignment vertical="center" wrapText="1"/>
    </xf>
    <xf numFmtId="0" fontId="3" fillId="6" borderId="3" xfId="0" applyFont="1" applyFill="1" applyBorder="1" applyAlignment="1">
      <alignment vertical="center" wrapText="1"/>
    </xf>
    <xf numFmtId="0" fontId="3" fillId="6" borderId="10" xfId="0" applyFont="1" applyFill="1" applyBorder="1" applyAlignment="1">
      <alignment vertical="center" wrapText="1"/>
    </xf>
    <xf numFmtId="3" fontId="3" fillId="6" borderId="4" xfId="0" applyNumberFormat="1" applyFont="1" applyFill="1" applyBorder="1" applyAlignment="1">
      <alignment vertical="center" wrapText="1"/>
    </xf>
    <xf numFmtId="0" fontId="3" fillId="6" borderId="4" xfId="0" applyFont="1" applyFill="1" applyBorder="1" applyAlignment="1">
      <alignment vertical="center" wrapText="1"/>
    </xf>
    <xf numFmtId="0" fontId="3" fillId="3" borderId="4" xfId="0" applyFont="1" applyFill="1" applyBorder="1" applyAlignment="1">
      <alignment vertical="center" wrapText="1"/>
    </xf>
    <xf numFmtId="3" fontId="3" fillId="3" borderId="4" xfId="0" applyNumberFormat="1" applyFont="1" applyFill="1" applyBorder="1" applyAlignment="1">
      <alignment vertical="center" wrapText="1"/>
    </xf>
    <xf numFmtId="0" fontId="4" fillId="0" borderId="13" xfId="0" applyFont="1" applyBorder="1" applyAlignment="1">
      <alignment vertical="center" wrapText="1"/>
    </xf>
    <xf numFmtId="0" fontId="3" fillId="0" borderId="9" xfId="0" applyFont="1" applyBorder="1" applyAlignment="1">
      <alignment vertical="center" wrapText="1"/>
    </xf>
    <xf numFmtId="0" fontId="3" fillId="0" borderId="7" xfId="0" applyFont="1" applyBorder="1" applyAlignment="1">
      <alignment vertical="center" wrapText="1"/>
    </xf>
    <xf numFmtId="0" fontId="3" fillId="0" borderId="2" xfId="0" applyFont="1" applyBorder="1" applyAlignment="1">
      <alignment vertical="center" wrapText="1"/>
    </xf>
    <xf numFmtId="0" fontId="3" fillId="7" borderId="7" xfId="0" applyFont="1" applyFill="1" applyBorder="1" applyAlignment="1">
      <alignment vertical="center" wrapText="1"/>
    </xf>
    <xf numFmtId="3" fontId="3" fillId="7" borderId="7" xfId="0" applyNumberFormat="1" applyFont="1" applyFill="1" applyBorder="1" applyAlignment="1">
      <alignment vertical="center" wrapText="1"/>
    </xf>
    <xf numFmtId="9" fontId="4" fillId="0" borderId="4" xfId="0" applyNumberFormat="1" applyFont="1" applyBorder="1" applyAlignment="1">
      <alignment vertical="center" wrapText="1"/>
    </xf>
    <xf numFmtId="0" fontId="3" fillId="8" borderId="7" xfId="0" applyFont="1" applyFill="1" applyBorder="1" applyAlignment="1">
      <alignment vertical="center" wrapText="1"/>
    </xf>
    <xf numFmtId="3" fontId="3" fillId="8" borderId="7" xfId="0" applyNumberFormat="1" applyFont="1" applyFill="1" applyBorder="1"/>
    <xf numFmtId="164" fontId="0" fillId="0" borderId="0" xfId="0" applyNumberFormat="1"/>
    <xf numFmtId="3" fontId="3" fillId="0" borderId="1" xfId="0" applyNumberFormat="1" applyFont="1" applyBorder="1" applyAlignment="1">
      <alignment vertical="center" wrapText="1"/>
    </xf>
    <xf numFmtId="3" fontId="4" fillId="0" borderId="9" xfId="0" applyNumberFormat="1" applyFont="1" applyBorder="1" applyAlignment="1">
      <alignment vertical="center" wrapText="1"/>
    </xf>
    <xf numFmtId="3" fontId="4" fillId="0" borderId="7" xfId="0" applyNumberFormat="1" applyFont="1" applyBorder="1" applyAlignment="1">
      <alignment vertical="center" wrapText="1"/>
    </xf>
    <xf numFmtId="3" fontId="3" fillId="0" borderId="0" xfId="0" applyNumberFormat="1" applyFont="1"/>
    <xf numFmtId="3" fontId="4" fillId="0" borderId="1" xfId="0" applyNumberFormat="1" applyFont="1" applyBorder="1" applyAlignment="1">
      <alignment vertical="center" wrapText="1"/>
    </xf>
    <xf numFmtId="0" fontId="3" fillId="5" borderId="0" xfId="0" applyFont="1" applyFill="1"/>
    <xf numFmtId="0" fontId="4" fillId="5" borderId="0" xfId="0" applyFont="1" applyFill="1"/>
    <xf numFmtId="0" fontId="3" fillId="5" borderId="2" xfId="0" applyFont="1" applyFill="1" applyBorder="1" applyAlignment="1">
      <alignment vertical="center" wrapText="1"/>
    </xf>
    <xf numFmtId="3" fontId="4" fillId="5" borderId="4" xfId="0" applyNumberFormat="1" applyFont="1" applyFill="1" applyBorder="1" applyAlignment="1">
      <alignment vertical="center" wrapText="1"/>
    </xf>
    <xf numFmtId="3" fontId="4" fillId="5" borderId="1" xfId="0" applyNumberFormat="1" applyFont="1" applyFill="1" applyBorder="1" applyAlignment="1">
      <alignment vertical="center" wrapText="1"/>
    </xf>
    <xf numFmtId="3" fontId="3" fillId="5" borderId="1" xfId="0" applyNumberFormat="1" applyFont="1" applyFill="1" applyBorder="1" applyAlignment="1">
      <alignment vertical="center" wrapText="1"/>
    </xf>
    <xf numFmtId="3" fontId="4" fillId="5" borderId="7" xfId="0" applyNumberFormat="1" applyFont="1" applyFill="1" applyBorder="1" applyAlignment="1">
      <alignment vertical="center" wrapText="1"/>
    </xf>
    <xf numFmtId="3" fontId="3" fillId="5" borderId="0" xfId="0" applyNumberFormat="1" applyFont="1" applyFill="1"/>
    <xf numFmtId="0" fontId="3" fillId="4" borderId="0" xfId="0" applyFont="1" applyFill="1"/>
    <xf numFmtId="0" fontId="4" fillId="4" borderId="0" xfId="0" applyFont="1" applyFill="1"/>
    <xf numFmtId="0" fontId="3" fillId="4" borderId="2" xfId="0" applyFont="1" applyFill="1" applyBorder="1" applyAlignment="1">
      <alignment vertical="center" wrapText="1"/>
    </xf>
    <xf numFmtId="3" fontId="4" fillId="4" borderId="1" xfId="0" applyNumberFormat="1" applyFont="1" applyFill="1" applyBorder="1" applyAlignment="1">
      <alignment vertical="center" wrapText="1"/>
    </xf>
    <xf numFmtId="3" fontId="3" fillId="4" borderId="1" xfId="0" applyNumberFormat="1" applyFont="1" applyFill="1" applyBorder="1" applyAlignment="1">
      <alignment vertical="center" wrapText="1"/>
    </xf>
    <xf numFmtId="3" fontId="4" fillId="4" borderId="7" xfId="0" applyNumberFormat="1" applyFont="1" applyFill="1" applyBorder="1" applyAlignment="1">
      <alignment vertical="center" wrapText="1"/>
    </xf>
    <xf numFmtId="3" fontId="3" fillId="4" borderId="0" xfId="0" applyNumberFormat="1" applyFont="1" applyFill="1"/>
    <xf numFmtId="0" fontId="3" fillId="9" borderId="0" xfId="0" applyFont="1" applyFill="1"/>
    <xf numFmtId="0" fontId="4" fillId="9" borderId="0" xfId="0" applyFont="1" applyFill="1"/>
    <xf numFmtId="0" fontId="3" fillId="9" borderId="2" xfId="0" applyFont="1" applyFill="1" applyBorder="1" applyAlignment="1">
      <alignment vertical="center" wrapText="1"/>
    </xf>
    <xf numFmtId="3" fontId="4" fillId="9" borderId="4" xfId="0" applyNumberFormat="1" applyFont="1" applyFill="1" applyBorder="1" applyAlignment="1">
      <alignment vertical="center" wrapText="1"/>
    </xf>
    <xf numFmtId="3" fontId="4" fillId="9" borderId="1" xfId="0" applyNumberFormat="1" applyFont="1" applyFill="1" applyBorder="1" applyAlignment="1">
      <alignment vertical="center" wrapText="1"/>
    </xf>
    <xf numFmtId="3" fontId="3" fillId="9" borderId="1" xfId="0" applyNumberFormat="1" applyFont="1" applyFill="1" applyBorder="1" applyAlignment="1">
      <alignment vertical="center" wrapText="1"/>
    </xf>
    <xf numFmtId="3" fontId="4" fillId="9" borderId="7" xfId="0" applyNumberFormat="1" applyFont="1" applyFill="1" applyBorder="1" applyAlignment="1">
      <alignment vertical="center" wrapText="1"/>
    </xf>
    <xf numFmtId="3" fontId="3" fillId="9" borderId="0" xfId="0" applyNumberFormat="1" applyFont="1" applyFill="1"/>
    <xf numFmtId="3" fontId="4" fillId="9" borderId="0" xfId="0" applyNumberFormat="1" applyFont="1" applyFill="1"/>
    <xf numFmtId="3" fontId="4" fillId="4" borderId="0" xfId="0" applyNumberFormat="1" applyFont="1" applyFill="1"/>
    <xf numFmtId="0" fontId="4" fillId="3" borderId="0" xfId="0" applyFont="1" applyFill="1"/>
    <xf numFmtId="0" fontId="3" fillId="3" borderId="2" xfId="0" applyFont="1" applyFill="1" applyBorder="1" applyAlignment="1">
      <alignment vertical="center" wrapText="1"/>
    </xf>
    <xf numFmtId="0" fontId="3" fillId="3" borderId="1" xfId="0" applyFont="1" applyFill="1" applyBorder="1" applyAlignment="1">
      <alignment vertical="center" wrapText="1"/>
    </xf>
    <xf numFmtId="0" fontId="3" fillId="3" borderId="9" xfId="0" applyFont="1" applyFill="1" applyBorder="1" applyAlignment="1">
      <alignment vertical="center" wrapText="1"/>
    </xf>
    <xf numFmtId="0" fontId="3" fillId="3" borderId="7" xfId="0" applyFont="1" applyFill="1" applyBorder="1" applyAlignment="1">
      <alignment vertical="center" wrapText="1"/>
    </xf>
    <xf numFmtId="3" fontId="3" fillId="10" borderId="4" xfId="0" applyNumberFormat="1" applyFont="1" applyFill="1" applyBorder="1" applyAlignment="1">
      <alignment vertical="center" wrapText="1"/>
    </xf>
    <xf numFmtId="0" fontId="3" fillId="10" borderId="4" xfId="0" applyFont="1" applyFill="1" applyBorder="1" applyAlignment="1">
      <alignment vertical="center" wrapText="1"/>
    </xf>
    <xf numFmtId="0" fontId="3" fillId="10" borderId="3" xfId="0" applyFont="1" applyFill="1" applyBorder="1" applyAlignment="1">
      <alignment vertical="center" wrapText="1"/>
    </xf>
    <xf numFmtId="0" fontId="4" fillId="0" borderId="14" xfId="0" applyFont="1" applyBorder="1"/>
    <xf numFmtId="165" fontId="4" fillId="0" borderId="14" xfId="1" applyNumberFormat="1" applyFont="1" applyBorder="1"/>
    <xf numFmtId="165" fontId="3" fillId="0" borderId="14" xfId="1" applyNumberFormat="1" applyFont="1" applyBorder="1"/>
    <xf numFmtId="165" fontId="4" fillId="0" borderId="0" xfId="0" applyNumberFormat="1" applyFont="1"/>
    <xf numFmtId="9" fontId="4" fillId="0" borderId="14" xfId="2" applyFont="1" applyBorder="1"/>
    <xf numFmtId="9" fontId="3" fillId="0" borderId="14" xfId="2" applyFont="1" applyBorder="1"/>
    <xf numFmtId="0" fontId="3" fillId="3" borderId="14" xfId="0" applyFont="1" applyFill="1" applyBorder="1"/>
    <xf numFmtId="165" fontId="3" fillId="3" borderId="14" xfId="1" applyNumberFormat="1" applyFont="1" applyFill="1" applyBorder="1"/>
    <xf numFmtId="165" fontId="4" fillId="3" borderId="14" xfId="1" applyNumberFormat="1" applyFont="1" applyFill="1" applyBorder="1"/>
    <xf numFmtId="0" fontId="2" fillId="7" borderId="14" xfId="0" applyFont="1" applyFill="1" applyBorder="1"/>
    <xf numFmtId="0" fontId="2" fillId="7" borderId="14" xfId="0" applyFont="1" applyFill="1" applyBorder="1" applyAlignment="1">
      <alignment horizontal="right"/>
    </xf>
    <xf numFmtId="0" fontId="3" fillId="7" borderId="14" xfId="0" applyFont="1" applyFill="1" applyBorder="1"/>
    <xf numFmtId="0" fontId="4" fillId="0" borderId="11" xfId="0" applyFont="1" applyBorder="1" applyAlignment="1">
      <alignment horizontal="right" vertical="center" wrapText="1"/>
    </xf>
    <xf numFmtId="166" fontId="0" fillId="0" borderId="0" xfId="0" applyNumberFormat="1"/>
    <xf numFmtId="167" fontId="4" fillId="0" borderId="0" xfId="0" applyNumberFormat="1" applyFont="1"/>
    <xf numFmtId="9" fontId="0" fillId="0" borderId="0" xfId="2" applyFont="1"/>
    <xf numFmtId="3" fontId="0" fillId="11" borderId="14" xfId="0" applyNumberFormat="1" applyFill="1" applyBorder="1"/>
    <xf numFmtId="3" fontId="0" fillId="0" borderId="14" xfId="0" applyNumberFormat="1" applyBorder="1"/>
    <xf numFmtId="3" fontId="0" fillId="0" borderId="0" xfId="0" applyNumberFormat="1"/>
    <xf numFmtId="3" fontId="7" fillId="11" borderId="14" xfId="0" applyNumberFormat="1" applyFont="1" applyFill="1" applyBorder="1"/>
    <xf numFmtId="3" fontId="7" fillId="0" borderId="14" xfId="0" applyNumberFormat="1" applyFont="1" applyBorder="1"/>
    <xf numFmtId="3" fontId="8" fillId="0" borderId="14" xfId="0" applyNumberFormat="1" applyFont="1" applyBorder="1"/>
    <xf numFmtId="3" fontId="8" fillId="11" borderId="14" xfId="0" applyNumberFormat="1" applyFont="1" applyFill="1" applyBorder="1"/>
    <xf numFmtId="3" fontId="9" fillId="11" borderId="14" xfId="0" applyNumberFormat="1" applyFont="1" applyFill="1" applyBorder="1" applyAlignment="1">
      <alignment wrapText="1"/>
    </xf>
    <xf numFmtId="3" fontId="9" fillId="0" borderId="14" xfId="0" applyNumberFormat="1" applyFont="1" applyBorder="1"/>
    <xf numFmtId="3" fontId="0" fillId="11" borderId="14" xfId="0" applyNumberFormat="1" applyFont="1" applyFill="1" applyBorder="1"/>
    <xf numFmtId="3" fontId="0" fillId="0" borderId="14" xfId="0" applyNumberFormat="1" applyFont="1" applyBorder="1"/>
    <xf numFmtId="0" fontId="10" fillId="0" borderId="0" xfId="0" applyFont="1"/>
    <xf numFmtId="4" fontId="0" fillId="0" borderId="0" xfId="0" applyNumberFormat="1"/>
    <xf numFmtId="0" fontId="11" fillId="0" borderId="0" xfId="0" applyFont="1"/>
    <xf numFmtId="0" fontId="2" fillId="0" borderId="15" xfId="0" applyFont="1" applyBorder="1" applyAlignment="1">
      <alignment wrapText="1"/>
    </xf>
    <xf numFmtId="0" fontId="12" fillId="0" borderId="17" xfId="0" applyFont="1" applyBorder="1" applyAlignment="1">
      <alignment wrapText="1"/>
    </xf>
    <xf numFmtId="0" fontId="2" fillId="0" borderId="18" xfId="0" applyFont="1" applyBorder="1" applyAlignment="1">
      <alignment wrapText="1"/>
    </xf>
    <xf numFmtId="0" fontId="0" fillId="0" borderId="19" xfId="0" applyBorder="1"/>
    <xf numFmtId="164" fontId="6" fillId="0" borderId="20" xfId="1" applyBorder="1"/>
    <xf numFmtId="164" fontId="2" fillId="0" borderId="22" xfId="1" applyFont="1" applyBorder="1"/>
    <xf numFmtId="0" fontId="2" fillId="0" borderId="21" xfId="0" applyFont="1" applyBorder="1"/>
    <xf numFmtId="3" fontId="0" fillId="11" borderId="14" xfId="0" applyNumberFormat="1" applyFill="1" applyBorder="1" applyAlignment="1">
      <alignment wrapText="1"/>
    </xf>
    <xf numFmtId="3" fontId="13" fillId="0" borderId="14" xfId="0" applyNumberFormat="1" applyFont="1" applyBorder="1"/>
    <xf numFmtId="3" fontId="13" fillId="11" borderId="14" xfId="0" applyNumberFormat="1" applyFont="1" applyFill="1" applyBorder="1"/>
    <xf numFmtId="3" fontId="7" fillId="11" borderId="14" xfId="0" applyNumberFormat="1" applyFont="1" applyFill="1" applyBorder="1" applyAlignment="1">
      <alignment wrapText="1"/>
    </xf>
    <xf numFmtId="164" fontId="2" fillId="0" borderId="0" xfId="1" applyFont="1" applyBorder="1"/>
    <xf numFmtId="164" fontId="6" fillId="0" borderId="0" xfId="1" applyBorder="1"/>
    <xf numFmtId="3" fontId="12" fillId="12" borderId="0" xfId="0" applyNumberFormat="1" applyFont="1" applyFill="1"/>
    <xf numFmtId="3" fontId="0" fillId="12" borderId="0" xfId="0" applyNumberFormat="1" applyFill="1"/>
    <xf numFmtId="3" fontId="13" fillId="0" borderId="0" xfId="0" applyNumberFormat="1" applyFont="1"/>
    <xf numFmtId="3" fontId="14" fillId="0" borderId="0" xfId="0" applyNumberFormat="1" applyFont="1"/>
    <xf numFmtId="3" fontId="2" fillId="6" borderId="0" xfId="0" applyNumberFormat="1" applyFont="1" applyFill="1"/>
    <xf numFmtId="3" fontId="0" fillId="6" borderId="0" xfId="0" applyNumberFormat="1" applyFill="1"/>
    <xf numFmtId="3" fontId="12" fillId="0" borderId="14" xfId="0" applyNumberFormat="1" applyFont="1" applyBorder="1"/>
    <xf numFmtId="0" fontId="10" fillId="0" borderId="0" xfId="0" applyFont="1" applyAlignment="1">
      <alignment vertical="center"/>
    </xf>
    <xf numFmtId="0" fontId="0" fillId="0" borderId="0" xfId="0" applyAlignment="1"/>
    <xf numFmtId="9" fontId="0" fillId="0" borderId="14" xfId="2" quotePrefix="1" applyFont="1" applyBorder="1" applyAlignment="1">
      <alignment horizontal="center"/>
    </xf>
    <xf numFmtId="164" fontId="6" fillId="0" borderId="25" xfId="1" applyBorder="1"/>
    <xf numFmtId="0" fontId="0" fillId="0" borderId="17" xfId="0" applyBorder="1"/>
    <xf numFmtId="164" fontId="2" fillId="0" borderId="20" xfId="1" applyFont="1" applyBorder="1" applyAlignment="1">
      <alignment wrapText="1"/>
    </xf>
    <xf numFmtId="164" fontId="2" fillId="0" borderId="19" xfId="1" applyFont="1" applyBorder="1" applyAlignment="1">
      <alignment wrapText="1"/>
    </xf>
    <xf numFmtId="0" fontId="0" fillId="0" borderId="26" xfId="0" applyBorder="1"/>
    <xf numFmtId="164" fontId="2" fillId="0" borderId="27" xfId="1" applyFont="1" applyBorder="1"/>
    <xf numFmtId="0" fontId="0" fillId="0" borderId="4" xfId="0" applyBorder="1"/>
    <xf numFmtId="0" fontId="0" fillId="0" borderId="0" xfId="0" applyFill="1"/>
    <xf numFmtId="0" fontId="17" fillId="8" borderId="0" xfId="0" applyFont="1" applyFill="1" applyAlignment="1"/>
    <xf numFmtId="0" fontId="2" fillId="0" borderId="26" xfId="0" applyFont="1" applyBorder="1"/>
    <xf numFmtId="3" fontId="2" fillId="13" borderId="14" xfId="0" applyNumberFormat="1" applyFont="1" applyFill="1" applyBorder="1"/>
    <xf numFmtId="3" fontId="12" fillId="11" borderId="14" xfId="0" applyNumberFormat="1" applyFont="1" applyFill="1" applyBorder="1"/>
    <xf numFmtId="3" fontId="0" fillId="11" borderId="14" xfId="0" applyNumberFormat="1" applyFill="1" applyBorder="1" applyAlignment="1">
      <alignment horizontal="left"/>
    </xf>
    <xf numFmtId="164" fontId="0" fillId="0" borderId="20" xfId="1" applyFont="1" applyBorder="1"/>
    <xf numFmtId="164" fontId="0" fillId="0" borderId="16" xfId="1" applyFont="1" applyBorder="1"/>
    <xf numFmtId="0" fontId="16" fillId="8" borderId="0" xfId="0" applyFont="1" applyFill="1" applyAlignment="1"/>
    <xf numFmtId="3" fontId="0" fillId="0" borderId="28" xfId="0" applyNumberFormat="1" applyBorder="1" applyAlignment="1">
      <alignment wrapText="1"/>
    </xf>
    <xf numFmtId="3" fontId="0" fillId="0" borderId="29" xfId="0" applyNumberFormat="1" applyBorder="1" applyAlignment="1">
      <alignment wrapText="1"/>
    </xf>
    <xf numFmtId="164" fontId="2" fillId="0" borderId="25" xfId="1" applyFont="1" applyBorder="1"/>
    <xf numFmtId="0" fontId="2" fillId="0" borderId="19" xfId="0" applyFont="1" applyBorder="1" applyAlignment="1">
      <alignment wrapText="1"/>
    </xf>
    <xf numFmtId="0" fontId="2" fillId="14" borderId="17" xfId="0" applyFont="1" applyFill="1" applyBorder="1" applyAlignment="1">
      <alignment wrapText="1"/>
    </xf>
    <xf numFmtId="164" fontId="2" fillId="14" borderId="20" xfId="1" applyFont="1" applyFill="1" applyBorder="1" applyAlignment="1">
      <alignment wrapText="1"/>
    </xf>
    <xf numFmtId="0" fontId="0" fillId="14" borderId="0" xfId="0" applyFill="1"/>
    <xf numFmtId="4" fontId="4" fillId="0" borderId="4" xfId="0" applyNumberFormat="1" applyFont="1" applyBorder="1" applyAlignment="1">
      <alignment vertical="center" wrapText="1"/>
    </xf>
    <xf numFmtId="4" fontId="4" fillId="3" borderId="4" xfId="0" applyNumberFormat="1" applyFont="1" applyFill="1" applyBorder="1" applyAlignment="1">
      <alignment vertical="center" wrapText="1"/>
    </xf>
    <xf numFmtId="4" fontId="3" fillId="6" borderId="4" xfId="0" applyNumberFormat="1" applyFont="1" applyFill="1" applyBorder="1" applyAlignment="1">
      <alignment vertical="center" wrapText="1"/>
    </xf>
    <xf numFmtId="4" fontId="3" fillId="0" borderId="1" xfId="0" applyNumberFormat="1" applyFont="1" applyBorder="1" applyAlignment="1">
      <alignment vertical="center" wrapText="1"/>
    </xf>
    <xf numFmtId="4" fontId="3" fillId="0" borderId="9" xfId="0" applyNumberFormat="1" applyFont="1" applyBorder="1" applyAlignment="1">
      <alignment vertical="center" wrapText="1"/>
    </xf>
    <xf numFmtId="4" fontId="3" fillId="8" borderId="7" xfId="0" applyNumberFormat="1" applyFont="1" applyFill="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9" fontId="15" fillId="0" borderId="23" xfId="2" quotePrefix="1" applyFont="1" applyBorder="1" applyAlignment="1">
      <alignment horizontal="center"/>
    </xf>
    <xf numFmtId="0" fontId="15" fillId="0" borderId="24" xfId="0" applyFont="1" applyBorder="1" applyAlignment="1">
      <alignment horizontal="center"/>
    </xf>
    <xf numFmtId="0" fontId="16" fillId="8" borderId="0" xfId="0" applyFont="1" applyFill="1" applyAlignment="1"/>
    <xf numFmtId="0" fontId="17" fillId="0" borderId="0" xfId="0" applyFont="1" applyAlignment="1"/>
    <xf numFmtId="0" fontId="3" fillId="0" borderId="14" xfId="0" applyFont="1" applyBorder="1" applyAlignment="1">
      <alignment horizont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4" fillId="8" borderId="4" xfId="0" applyFont="1" applyFill="1" applyBorder="1" applyAlignment="1">
      <alignment vertical="center" wrapText="1"/>
    </xf>
    <xf numFmtId="9" fontId="4" fillId="8" borderId="4" xfId="0" applyNumberFormat="1" applyFont="1" applyFill="1" applyBorder="1" applyAlignment="1">
      <alignment vertical="center" wrapText="1"/>
    </xf>
    <xf numFmtId="9" fontId="19" fillId="8" borderId="4" xfId="0" applyNumberFormat="1" applyFont="1" applyFill="1" applyBorder="1" applyAlignment="1">
      <alignment vertical="center" wrapText="1"/>
    </xf>
    <xf numFmtId="0" fontId="20" fillId="8" borderId="4" xfId="0" applyFont="1" applyFill="1" applyBorder="1" applyAlignment="1">
      <alignment vertical="center" wrapText="1"/>
    </xf>
    <xf numFmtId="0" fontId="3" fillId="8" borderId="1" xfId="0" applyFont="1" applyFill="1" applyBorder="1" applyAlignment="1">
      <alignment vertical="center" wrapText="1"/>
    </xf>
    <xf numFmtId="3" fontId="4" fillId="8" borderId="9" xfId="0" applyNumberFormat="1" applyFont="1" applyFill="1" applyBorder="1" applyAlignment="1">
      <alignmen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kunda.make/OneDrive%20-%20United%20Nations%20Development%20Programme/Documents/First%20and%20Second%20Tranche%20Expenditure%20Combin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ff Per Forma"/>
      <sheetName val="Annex D-PBF Budget"/>
      <sheetName val="Table 2-Project Budget - UN Cat"/>
      <sheetName val="Summary"/>
    </sheetNames>
    <sheetDataSet>
      <sheetData sheetId="0">
        <row r="15">
          <cell r="I15">
            <v>116906.13660100001</v>
          </cell>
          <cell r="J15">
            <v>118075.19796701001</v>
          </cell>
        </row>
        <row r="16">
          <cell r="I16">
            <v>89303.562791000004</v>
          </cell>
          <cell r="J16">
            <v>90196.598418909998</v>
          </cell>
        </row>
        <row r="27">
          <cell r="C27">
            <v>23964.27</v>
          </cell>
          <cell r="D27">
            <v>24203.912700000001</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Jean-Paul Kimbulu" id="{2F594DA5-3B14-4D78-B0F5-F1BA0725DE7F}" userId="S-1-5-21-3248035477-3541593433-3071105264-2664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4" dT="2020-10-09T07:46:08.54" personId="{2F594DA5-3B14-4D78-B0F5-F1BA0725DE7F}" id="{94D2A542-8752-42B4-AB86-C35AB1A367FE}">
    <text>can you please provide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0"/>
  <sheetViews>
    <sheetView tabSelected="1" view="pageBreakPreview" topLeftCell="A2" zoomScale="60" zoomScaleNormal="100" workbookViewId="0">
      <selection activeCell="G20" sqref="G20"/>
    </sheetView>
  </sheetViews>
  <sheetFormatPr defaultColWidth="8.83984375" defaultRowHeight="12.3" x14ac:dyDescent="0.4"/>
  <cols>
    <col min="1" max="1" width="24" style="4" customWidth="1"/>
    <col min="2" max="2" width="24.68359375" style="4" customWidth="1"/>
    <col min="3" max="3" width="28.41796875" style="4" customWidth="1"/>
    <col min="4" max="4" width="28.41796875" style="44" customWidth="1"/>
    <col min="5" max="5" width="31.15625" style="52" customWidth="1"/>
    <col min="6" max="6" width="28.41796875" style="59" customWidth="1"/>
    <col min="7" max="7" width="24.68359375" style="4" customWidth="1"/>
    <col min="8" max="8" width="25.41796875" style="4" customWidth="1"/>
    <col min="9" max="9" width="22.41796875" style="68" customWidth="1"/>
    <col min="10" max="10" width="22.68359375" style="4" customWidth="1"/>
    <col min="11" max="13" width="28.68359375" style="4" customWidth="1"/>
    <col min="14" max="14" width="34.15625" style="4" customWidth="1"/>
    <col min="15" max="16384" width="8.83984375" style="4"/>
  </cols>
  <sheetData>
    <row r="1" spans="1:9" x14ac:dyDescent="0.4">
      <c r="A1" s="3" t="s">
        <v>0</v>
      </c>
      <c r="B1" s="3"/>
      <c r="C1" s="3"/>
      <c r="D1" s="43"/>
      <c r="E1" s="51"/>
      <c r="F1" s="58"/>
      <c r="G1" s="3"/>
    </row>
    <row r="2" spans="1:9" x14ac:dyDescent="0.4">
      <c r="A2" s="3"/>
      <c r="B2" s="3"/>
      <c r="C2" s="3"/>
      <c r="D2" s="43"/>
      <c r="E2" s="51"/>
      <c r="F2" s="58"/>
      <c r="G2" s="3"/>
    </row>
    <row r="3" spans="1:9" x14ac:dyDescent="0.4">
      <c r="A3" s="3" t="s">
        <v>1</v>
      </c>
      <c r="B3" s="3"/>
      <c r="C3" s="3"/>
      <c r="D3" s="43"/>
      <c r="E3" s="51"/>
      <c r="F3" s="58"/>
      <c r="G3" s="3"/>
    </row>
    <row r="5" spans="1:9" x14ac:dyDescent="0.4">
      <c r="A5" s="3" t="s">
        <v>2</v>
      </c>
    </row>
    <row r="6" spans="1:9" ht="12.6" thickBot="1" x14ac:dyDescent="0.45"/>
    <row r="7" spans="1:9" ht="138.75" customHeight="1" thickBot="1" x14ac:dyDescent="0.45">
      <c r="A7" s="9" t="s">
        <v>3</v>
      </c>
      <c r="B7" s="31" t="s">
        <v>4</v>
      </c>
      <c r="C7" s="31" t="s">
        <v>5</v>
      </c>
      <c r="D7" s="45" t="s">
        <v>6</v>
      </c>
      <c r="E7" s="53" t="s">
        <v>7</v>
      </c>
      <c r="F7" s="60" t="s">
        <v>8</v>
      </c>
      <c r="G7" s="31" t="s">
        <v>9</v>
      </c>
      <c r="H7" s="31" t="s">
        <v>10</v>
      </c>
      <c r="I7" s="69" t="s">
        <v>11</v>
      </c>
    </row>
    <row r="8" spans="1:9" ht="12.6" customHeight="1" thickBot="1" x14ac:dyDescent="0.45">
      <c r="A8" s="158" t="s">
        <v>12</v>
      </c>
      <c r="B8" s="159"/>
      <c r="C8" s="159"/>
      <c r="D8" s="159"/>
      <c r="E8" s="159"/>
      <c r="F8" s="159"/>
      <c r="G8" s="159"/>
      <c r="H8" s="159"/>
      <c r="I8" s="159"/>
    </row>
    <row r="9" spans="1:9" ht="16" customHeight="1" thickBot="1" x14ac:dyDescent="0.45">
      <c r="A9" s="10" t="s">
        <v>13</v>
      </c>
      <c r="B9" s="160" t="s">
        <v>14</v>
      </c>
      <c r="C9" s="161"/>
      <c r="D9" s="161"/>
      <c r="E9" s="161"/>
      <c r="F9" s="161"/>
      <c r="G9" s="161"/>
      <c r="H9" s="161"/>
      <c r="I9" s="161"/>
    </row>
    <row r="10" spans="1:9" ht="160.19999999999999" thickBot="1" x14ac:dyDescent="0.45">
      <c r="A10" s="88">
        <v>1.1000000000000001</v>
      </c>
      <c r="B10" s="15" t="s">
        <v>15</v>
      </c>
      <c r="C10" s="13">
        <v>80000</v>
      </c>
      <c r="D10" s="46">
        <v>40000</v>
      </c>
      <c r="E10" s="21">
        <v>20000</v>
      </c>
      <c r="F10" s="61">
        <v>20000</v>
      </c>
      <c r="G10" s="34">
        <v>0.2</v>
      </c>
      <c r="H10" s="152">
        <v>53754</v>
      </c>
      <c r="I10" s="19" t="s">
        <v>16</v>
      </c>
    </row>
    <row r="11" spans="1:9" ht="62.1" thickTop="1" thickBot="1" x14ac:dyDescent="0.45">
      <c r="A11" s="14">
        <v>1.2</v>
      </c>
      <c r="B11" s="16" t="s">
        <v>17</v>
      </c>
      <c r="C11" s="13">
        <v>80000</v>
      </c>
      <c r="D11" s="46">
        <v>30000</v>
      </c>
      <c r="E11" s="21">
        <v>25000</v>
      </c>
      <c r="F11" s="61">
        <v>25000</v>
      </c>
      <c r="G11" s="34">
        <v>0.15</v>
      </c>
      <c r="H11" s="152">
        <v>60000</v>
      </c>
      <c r="I11" s="19" t="s">
        <v>18</v>
      </c>
    </row>
    <row r="12" spans="1:9" ht="74.099999999999994" thickBot="1" x14ac:dyDescent="0.45">
      <c r="A12" s="8">
        <v>1.3</v>
      </c>
      <c r="B12" s="7" t="s">
        <v>19</v>
      </c>
      <c r="C12" s="13">
        <v>190000</v>
      </c>
      <c r="D12" s="46">
        <v>40000</v>
      </c>
      <c r="E12" s="21">
        <v>70000</v>
      </c>
      <c r="F12" s="61">
        <v>80000</v>
      </c>
      <c r="G12" s="34">
        <v>0.1</v>
      </c>
      <c r="H12" s="152">
        <v>115286</v>
      </c>
      <c r="I12" s="19" t="s">
        <v>20</v>
      </c>
    </row>
    <row r="13" spans="1:9" ht="149.1" customHeight="1" thickBot="1" x14ac:dyDescent="0.45">
      <c r="A13" s="8">
        <v>1.4</v>
      </c>
      <c r="B13" s="7" t="s">
        <v>21</v>
      </c>
      <c r="C13" s="13">
        <v>180000</v>
      </c>
      <c r="D13" s="46">
        <v>60000</v>
      </c>
      <c r="E13" s="21">
        <v>60000</v>
      </c>
      <c r="F13" s="61">
        <v>60000</v>
      </c>
      <c r="G13" s="34">
        <v>0.1</v>
      </c>
      <c r="H13" s="152">
        <v>87535</v>
      </c>
      <c r="I13" s="19" t="s">
        <v>22</v>
      </c>
    </row>
    <row r="14" spans="1:9" ht="86.4" thickBot="1" x14ac:dyDescent="0.45">
      <c r="A14" s="8">
        <v>1.5</v>
      </c>
      <c r="B14" s="7" t="s">
        <v>23</v>
      </c>
      <c r="C14" s="13">
        <v>80000</v>
      </c>
      <c r="D14" s="46">
        <v>40000</v>
      </c>
      <c r="E14" s="21">
        <v>20000</v>
      </c>
      <c r="F14" s="61">
        <v>20000</v>
      </c>
      <c r="G14" s="173"/>
      <c r="H14" s="152">
        <v>40784</v>
      </c>
      <c r="I14" s="19" t="s">
        <v>24</v>
      </c>
    </row>
    <row r="15" spans="1:9" ht="130" customHeight="1" thickBot="1" x14ac:dyDescent="0.45">
      <c r="A15" s="8">
        <v>1.6</v>
      </c>
      <c r="B15" s="7" t="s">
        <v>25</v>
      </c>
      <c r="C15" s="13">
        <v>80000</v>
      </c>
      <c r="D15" s="46">
        <v>30000</v>
      </c>
      <c r="E15" s="21">
        <v>20000</v>
      </c>
      <c r="F15" s="61">
        <v>30000</v>
      </c>
      <c r="G15" s="173"/>
      <c r="H15" s="152">
        <v>35608</v>
      </c>
      <c r="I15" s="19" t="s">
        <v>26</v>
      </c>
    </row>
    <row r="16" spans="1:9" ht="84" customHeight="1" thickBot="1" x14ac:dyDescent="0.45">
      <c r="A16" s="8">
        <v>1.7</v>
      </c>
      <c r="B16" s="7" t="s">
        <v>27</v>
      </c>
      <c r="C16" s="13">
        <v>30000</v>
      </c>
      <c r="D16" s="46">
        <v>0</v>
      </c>
      <c r="E16" s="21">
        <v>0</v>
      </c>
      <c r="F16" s="61">
        <v>30000</v>
      </c>
      <c r="G16" s="173"/>
      <c r="H16" s="13">
        <v>18894</v>
      </c>
      <c r="I16" s="19" t="s">
        <v>28</v>
      </c>
    </row>
    <row r="17" spans="1:9" ht="21" customHeight="1" thickBot="1" x14ac:dyDescent="0.45">
      <c r="A17" s="75" t="s">
        <v>29</v>
      </c>
      <c r="B17" s="74"/>
      <c r="C17" s="73">
        <f>C16+C15+C14+C13+C12+C11+C10</f>
        <v>720000</v>
      </c>
      <c r="D17" s="73">
        <f t="shared" ref="D17:F17" si="0">D16+D15+D14+D13+D12+D11+D10</f>
        <v>240000</v>
      </c>
      <c r="E17" s="73">
        <f t="shared" si="0"/>
        <v>215000</v>
      </c>
      <c r="F17" s="73">
        <f t="shared" si="0"/>
        <v>265000</v>
      </c>
      <c r="G17" s="176"/>
      <c r="H17" s="73">
        <f>SUM(H10:H16)</f>
        <v>411861</v>
      </c>
      <c r="I17" s="74"/>
    </row>
    <row r="18" spans="1:9" ht="16" customHeight="1" thickBot="1" x14ac:dyDescent="0.45">
      <c r="A18" s="11" t="s">
        <v>30</v>
      </c>
      <c r="B18" s="162" t="s">
        <v>31</v>
      </c>
      <c r="C18" s="163"/>
      <c r="D18" s="163"/>
      <c r="E18" s="163"/>
      <c r="F18" s="163"/>
      <c r="G18" s="163"/>
      <c r="H18" s="163"/>
      <c r="I18" s="163"/>
    </row>
    <row r="19" spans="1:9" ht="111" thickBot="1" x14ac:dyDescent="0.45">
      <c r="A19" s="8">
        <v>2.1</v>
      </c>
      <c r="B19" s="15" t="s">
        <v>32</v>
      </c>
      <c r="C19" s="13">
        <v>80000</v>
      </c>
      <c r="D19" s="46">
        <v>30000</v>
      </c>
      <c r="E19" s="21">
        <v>0</v>
      </c>
      <c r="F19" s="61">
        <v>50000</v>
      </c>
      <c r="G19" s="34">
        <v>0.2</v>
      </c>
      <c r="H19" s="152">
        <v>10829</v>
      </c>
      <c r="I19" s="19" t="s">
        <v>33</v>
      </c>
    </row>
    <row r="20" spans="1:9" ht="83.1" customHeight="1" thickTop="1" thickBot="1" x14ac:dyDescent="0.45">
      <c r="A20" s="14">
        <v>2.2000000000000002</v>
      </c>
      <c r="B20" s="16" t="s">
        <v>34</v>
      </c>
      <c r="C20" s="13">
        <v>30000</v>
      </c>
      <c r="D20" s="46">
        <v>0</v>
      </c>
      <c r="E20" s="21">
        <v>0</v>
      </c>
      <c r="F20" s="61">
        <v>30000</v>
      </c>
      <c r="G20" s="173"/>
      <c r="H20" s="152">
        <v>13613</v>
      </c>
      <c r="I20" s="19" t="s">
        <v>35</v>
      </c>
    </row>
    <row r="21" spans="1:9" ht="86.1" customHeight="1" thickTop="1" thickBot="1" x14ac:dyDescent="0.45">
      <c r="A21" s="14">
        <v>2.2999999999999998</v>
      </c>
      <c r="B21" s="16" t="s">
        <v>36</v>
      </c>
      <c r="C21" s="13">
        <v>35000</v>
      </c>
      <c r="D21" s="46">
        <v>0</v>
      </c>
      <c r="E21" s="21">
        <v>0</v>
      </c>
      <c r="F21" s="61">
        <v>35000</v>
      </c>
      <c r="G21" s="173"/>
      <c r="H21" s="152">
        <v>25000</v>
      </c>
      <c r="I21" s="19" t="s">
        <v>37</v>
      </c>
    </row>
    <row r="22" spans="1:9" ht="142" customHeight="1" thickTop="1" thickBot="1" x14ac:dyDescent="0.45">
      <c r="A22" s="14">
        <v>2.4</v>
      </c>
      <c r="B22" s="16" t="s">
        <v>38</v>
      </c>
      <c r="C22" s="13">
        <v>90000</v>
      </c>
      <c r="D22" s="46">
        <v>30000</v>
      </c>
      <c r="E22" s="21">
        <v>30000</v>
      </c>
      <c r="F22" s="61">
        <v>30000</v>
      </c>
      <c r="G22" s="34">
        <v>0.2</v>
      </c>
      <c r="H22" s="152">
        <v>37376</v>
      </c>
      <c r="I22" s="19" t="s">
        <v>39</v>
      </c>
    </row>
    <row r="23" spans="1:9" ht="126" customHeight="1" thickTop="1" thickBot="1" x14ac:dyDescent="0.45">
      <c r="A23" s="14">
        <v>2.5</v>
      </c>
      <c r="B23" s="16" t="s">
        <v>40</v>
      </c>
      <c r="C23" s="13">
        <v>80000</v>
      </c>
      <c r="D23" s="46">
        <v>30000</v>
      </c>
      <c r="E23" s="21">
        <v>20000</v>
      </c>
      <c r="F23" s="61">
        <v>30000</v>
      </c>
      <c r="G23" s="34">
        <v>0.2</v>
      </c>
      <c r="H23" s="152">
        <v>42437</v>
      </c>
      <c r="I23" s="19" t="s">
        <v>41</v>
      </c>
    </row>
    <row r="24" spans="1:9" ht="140.1" customHeight="1" thickTop="1" thickBot="1" x14ac:dyDescent="0.45">
      <c r="A24" s="14">
        <v>2.6</v>
      </c>
      <c r="B24" s="16" t="s">
        <v>42</v>
      </c>
      <c r="C24" s="13">
        <v>70000</v>
      </c>
      <c r="D24" s="46">
        <v>30000</v>
      </c>
      <c r="E24" s="21">
        <v>20000</v>
      </c>
      <c r="F24" s="61">
        <v>20000</v>
      </c>
      <c r="G24" s="34">
        <v>0.2</v>
      </c>
      <c r="H24" s="152">
        <v>60000</v>
      </c>
      <c r="I24" s="19" t="s">
        <v>43</v>
      </c>
    </row>
    <row r="25" spans="1:9" ht="147" customHeight="1" thickTop="1" thickBot="1" x14ac:dyDescent="0.45">
      <c r="A25" s="14">
        <v>2.7</v>
      </c>
      <c r="B25" s="16" t="s">
        <v>44</v>
      </c>
      <c r="C25" s="13">
        <v>90000</v>
      </c>
      <c r="D25" s="46">
        <v>0</v>
      </c>
      <c r="E25" s="21">
        <v>0</v>
      </c>
      <c r="F25" s="61">
        <v>90000</v>
      </c>
      <c r="G25" s="34">
        <v>0.2</v>
      </c>
      <c r="H25" s="152">
        <v>40058</v>
      </c>
      <c r="I25" s="19" t="s">
        <v>45</v>
      </c>
    </row>
    <row r="26" spans="1:9" ht="86.4" thickBot="1" x14ac:dyDescent="0.45">
      <c r="A26" s="8">
        <v>2.8</v>
      </c>
      <c r="B26" s="17" t="s">
        <v>46</v>
      </c>
      <c r="C26" s="13">
        <v>90000</v>
      </c>
      <c r="D26" s="46">
        <v>60000</v>
      </c>
      <c r="E26" s="21">
        <v>0</v>
      </c>
      <c r="F26" s="61">
        <v>30000</v>
      </c>
      <c r="G26" s="34">
        <v>0.3</v>
      </c>
      <c r="H26" s="152">
        <v>30159</v>
      </c>
      <c r="I26" s="19" t="s">
        <v>47</v>
      </c>
    </row>
    <row r="27" spans="1:9" ht="86.7" thickTop="1" thickBot="1" x14ac:dyDescent="0.45">
      <c r="A27" s="14">
        <v>2.9</v>
      </c>
      <c r="B27" s="18" t="s">
        <v>48</v>
      </c>
      <c r="C27" s="13">
        <v>120000</v>
      </c>
      <c r="D27" s="46">
        <v>40000</v>
      </c>
      <c r="E27" s="21">
        <v>40000</v>
      </c>
      <c r="F27" s="61">
        <v>40000</v>
      </c>
      <c r="G27" s="34">
        <v>0.5</v>
      </c>
      <c r="H27" s="152">
        <v>55514</v>
      </c>
      <c r="I27" s="19" t="s">
        <v>43</v>
      </c>
    </row>
    <row r="28" spans="1:9" ht="12.6" thickBot="1" x14ac:dyDescent="0.45">
      <c r="A28" s="11" t="s">
        <v>49</v>
      </c>
      <c r="B28" s="26"/>
      <c r="C28" s="27">
        <f>C27+C26+C25+C24+C23+C22+C21+C20+C19</f>
        <v>685000</v>
      </c>
      <c r="D28" s="27">
        <f t="shared" ref="D28:G28" si="1">D27+D26+D25+D24+D23+D22+D21+D20+D19</f>
        <v>220000</v>
      </c>
      <c r="E28" s="27">
        <f t="shared" si="1"/>
        <v>110000</v>
      </c>
      <c r="F28" s="27">
        <f t="shared" si="1"/>
        <v>355000</v>
      </c>
      <c r="G28" s="27">
        <f t="shared" si="1"/>
        <v>1.7999999999999998</v>
      </c>
      <c r="H28" s="153">
        <f>SUM(H19:H27)</f>
        <v>314986</v>
      </c>
      <c r="I28" s="19"/>
    </row>
    <row r="29" spans="1:9" ht="16" customHeight="1" thickBot="1" x14ac:dyDescent="0.45">
      <c r="A29" s="12" t="s">
        <v>50</v>
      </c>
      <c r="B29" s="164" t="s">
        <v>51</v>
      </c>
      <c r="C29" s="165"/>
      <c r="D29" s="165"/>
      <c r="E29" s="165"/>
      <c r="F29" s="165"/>
      <c r="G29" s="165"/>
      <c r="H29" s="165"/>
      <c r="I29" s="165"/>
    </row>
    <row r="30" spans="1:9" ht="111" thickBot="1" x14ac:dyDescent="0.45">
      <c r="A30" s="8">
        <v>3.1</v>
      </c>
      <c r="B30" s="7" t="s">
        <v>52</v>
      </c>
      <c r="C30" s="13">
        <v>150000</v>
      </c>
      <c r="D30" s="46">
        <v>120000</v>
      </c>
      <c r="E30" s="21">
        <v>30000</v>
      </c>
      <c r="F30" s="61">
        <v>0</v>
      </c>
      <c r="G30" s="34">
        <v>0.5</v>
      </c>
      <c r="H30" s="152">
        <v>107585</v>
      </c>
      <c r="I30" s="19" t="s">
        <v>53</v>
      </c>
    </row>
    <row r="31" spans="1:9" ht="61.8" thickBot="1" x14ac:dyDescent="0.45">
      <c r="A31" s="8">
        <v>3.2</v>
      </c>
      <c r="B31" s="7" t="s">
        <v>54</v>
      </c>
      <c r="C31" s="13">
        <v>40000</v>
      </c>
      <c r="D31" s="46">
        <v>40000</v>
      </c>
      <c r="E31" s="21">
        <v>0</v>
      </c>
      <c r="F31" s="61">
        <v>0</v>
      </c>
      <c r="G31" s="34">
        <v>0.15</v>
      </c>
      <c r="H31" s="152">
        <v>40000</v>
      </c>
      <c r="I31" s="19" t="s">
        <v>55</v>
      </c>
    </row>
    <row r="32" spans="1:9" ht="86.4" thickBot="1" x14ac:dyDescent="0.45">
      <c r="A32" s="8">
        <v>3.3</v>
      </c>
      <c r="B32" s="7" t="s">
        <v>56</v>
      </c>
      <c r="C32" s="13">
        <v>100000</v>
      </c>
      <c r="D32" s="46">
        <v>100000</v>
      </c>
      <c r="E32" s="21">
        <v>0</v>
      </c>
      <c r="F32" s="61">
        <v>0</v>
      </c>
      <c r="G32" s="34">
        <v>0.5</v>
      </c>
      <c r="H32" s="152">
        <v>41328</v>
      </c>
      <c r="I32" s="19" t="s">
        <v>26</v>
      </c>
    </row>
    <row r="33" spans="1:9" ht="49.5" thickBot="1" x14ac:dyDescent="0.45">
      <c r="A33" s="8">
        <v>3.4</v>
      </c>
      <c r="B33" s="7" t="s">
        <v>57</v>
      </c>
      <c r="C33" s="13">
        <v>80000</v>
      </c>
      <c r="D33" s="46">
        <v>80000</v>
      </c>
      <c r="E33" s="21">
        <v>0</v>
      </c>
      <c r="F33" s="61">
        <v>0</v>
      </c>
      <c r="G33" s="34">
        <v>0.2</v>
      </c>
      <c r="H33" s="152">
        <v>39998</v>
      </c>
      <c r="I33" s="19" t="s">
        <v>58</v>
      </c>
    </row>
    <row r="34" spans="1:9" ht="74.099999999999994" thickBot="1" x14ac:dyDescent="0.45">
      <c r="A34" s="8">
        <v>3.5</v>
      </c>
      <c r="B34" s="7" t="s">
        <v>59</v>
      </c>
      <c r="C34" s="13">
        <v>40000</v>
      </c>
      <c r="D34" s="46">
        <v>40000</v>
      </c>
      <c r="E34" s="21">
        <v>0</v>
      </c>
      <c r="F34" s="61">
        <v>0</v>
      </c>
      <c r="G34" s="34">
        <v>0.5</v>
      </c>
      <c r="H34" s="152">
        <v>39820</v>
      </c>
      <c r="I34" s="19" t="s">
        <v>60</v>
      </c>
    </row>
    <row r="35" spans="1:9" ht="78" customHeight="1" thickBot="1" x14ac:dyDescent="0.45">
      <c r="A35" s="8">
        <v>3.6</v>
      </c>
      <c r="B35" s="7" t="s">
        <v>61</v>
      </c>
      <c r="C35" s="13">
        <v>40000</v>
      </c>
      <c r="D35" s="46">
        <v>40000</v>
      </c>
      <c r="E35" s="21">
        <v>0</v>
      </c>
      <c r="F35" s="61">
        <v>0</v>
      </c>
      <c r="G35" s="34">
        <v>0.5</v>
      </c>
      <c r="H35" s="152">
        <v>22575</v>
      </c>
      <c r="I35" s="19" t="s">
        <v>62</v>
      </c>
    </row>
    <row r="36" spans="1:9" ht="74.099999999999994" thickBot="1" x14ac:dyDescent="0.45">
      <c r="A36" s="8">
        <v>3.7</v>
      </c>
      <c r="B36" s="7" t="s">
        <v>63</v>
      </c>
      <c r="C36" s="13">
        <v>40000</v>
      </c>
      <c r="D36" s="46">
        <v>40000</v>
      </c>
      <c r="E36" s="21">
        <v>0</v>
      </c>
      <c r="F36" s="61">
        <v>0</v>
      </c>
      <c r="G36" s="34">
        <v>0.5</v>
      </c>
      <c r="H36" s="152">
        <v>20058</v>
      </c>
      <c r="I36" s="19" t="s">
        <v>64</v>
      </c>
    </row>
    <row r="37" spans="1:9" ht="86.4" thickBot="1" x14ac:dyDescent="0.45">
      <c r="A37" s="8">
        <v>3.8</v>
      </c>
      <c r="B37" s="7" t="s">
        <v>65</v>
      </c>
      <c r="C37" s="13">
        <v>200000</v>
      </c>
      <c r="D37" s="46">
        <v>200000</v>
      </c>
      <c r="E37" s="21">
        <v>0</v>
      </c>
      <c r="F37" s="61">
        <v>0</v>
      </c>
      <c r="G37" s="34">
        <v>0.3</v>
      </c>
      <c r="H37" s="13">
        <v>85557</v>
      </c>
      <c r="I37" s="19" t="s">
        <v>66</v>
      </c>
    </row>
    <row r="38" spans="1:9" ht="113.1" customHeight="1" thickBot="1" x14ac:dyDescent="0.45">
      <c r="A38" s="8">
        <v>3.9</v>
      </c>
      <c r="B38" s="7" t="s">
        <v>67</v>
      </c>
      <c r="C38" s="13">
        <v>100000</v>
      </c>
      <c r="D38" s="46">
        <v>100000</v>
      </c>
      <c r="E38" s="21">
        <v>0</v>
      </c>
      <c r="F38" s="61"/>
      <c r="G38" s="34">
        <v>0.5</v>
      </c>
      <c r="H38" s="152">
        <v>47585</v>
      </c>
      <c r="I38" s="19" t="s">
        <v>68</v>
      </c>
    </row>
    <row r="39" spans="1:9" ht="113.1" customHeight="1" thickBot="1" x14ac:dyDescent="0.45">
      <c r="A39" s="8">
        <v>4</v>
      </c>
      <c r="B39" s="7" t="s">
        <v>69</v>
      </c>
      <c r="C39" s="13">
        <v>130000</v>
      </c>
      <c r="D39" s="46">
        <v>65000</v>
      </c>
      <c r="E39" s="21">
        <v>65000</v>
      </c>
      <c r="F39" s="61">
        <v>0</v>
      </c>
      <c r="G39" s="174"/>
      <c r="H39" s="152">
        <v>65978</v>
      </c>
      <c r="I39" s="19" t="s">
        <v>45</v>
      </c>
    </row>
    <row r="40" spans="1:9" ht="127" customHeight="1" thickBot="1" x14ac:dyDescent="0.45">
      <c r="A40" s="8">
        <v>4.0999999999999996</v>
      </c>
      <c r="B40" s="7" t="s">
        <v>70</v>
      </c>
      <c r="C40" s="13">
        <v>270000</v>
      </c>
      <c r="D40" s="46">
        <v>170000</v>
      </c>
      <c r="E40" s="21">
        <v>70000</v>
      </c>
      <c r="F40" s="61">
        <v>30000</v>
      </c>
      <c r="G40" s="175">
        <v>0.5</v>
      </c>
      <c r="H40" s="152">
        <v>220985</v>
      </c>
      <c r="I40" s="19" t="s">
        <v>71</v>
      </c>
    </row>
    <row r="41" spans="1:9" ht="23.1" customHeight="1" thickBot="1" x14ac:dyDescent="0.45">
      <c r="A41" s="12" t="s">
        <v>72</v>
      </c>
      <c r="B41" s="20"/>
      <c r="C41" s="21">
        <f>C40+C39+C38+C37+C36+C35+C34+C33+C32+C31+C30</f>
        <v>1190000</v>
      </c>
      <c r="D41" s="21">
        <f t="shared" ref="D41:F41" si="2">D40+D39+D38+D37+D36+D35+D34+D33+D32+D31+D30</f>
        <v>995000</v>
      </c>
      <c r="E41" s="21">
        <f t="shared" si="2"/>
        <v>165000</v>
      </c>
      <c r="F41" s="21">
        <f t="shared" si="2"/>
        <v>30000</v>
      </c>
      <c r="G41" s="21" t="s">
        <v>176</v>
      </c>
      <c r="H41" s="21">
        <f>SUM(H30:H40)</f>
        <v>731469</v>
      </c>
      <c r="I41" s="19"/>
    </row>
    <row r="42" spans="1:9" ht="24.9" thickBot="1" x14ac:dyDescent="0.45">
      <c r="A42" s="22" t="s">
        <v>73</v>
      </c>
      <c r="B42" s="23"/>
      <c r="C42" s="24">
        <f>C41+C28+C17</f>
        <v>2595000</v>
      </c>
      <c r="D42" s="24">
        <f t="shared" ref="D42:F42" si="3">D41+D28+D17</f>
        <v>1455000</v>
      </c>
      <c r="E42" s="24">
        <f t="shared" si="3"/>
        <v>490000</v>
      </c>
      <c r="F42" s="24">
        <f t="shared" si="3"/>
        <v>650000</v>
      </c>
      <c r="G42" s="25"/>
      <c r="H42" s="154">
        <f>SUM(H28,H17,H41)</f>
        <v>1458316</v>
      </c>
      <c r="I42" s="26"/>
    </row>
    <row r="43" spans="1:9" ht="41.1" customHeight="1" thickBot="1" x14ac:dyDescent="0.45">
      <c r="A43" s="5" t="s">
        <v>74</v>
      </c>
      <c r="B43" s="8" t="s">
        <v>75</v>
      </c>
      <c r="C43" s="42">
        <f>'[1]Staff Per Forma'!C27+('[1]Staff Per Forma'!D27/2)</f>
        <v>36066.226349999997</v>
      </c>
      <c r="D43" s="47">
        <f>'[1]Staff Per Forma'!C27+('[1]Staff Per Forma'!D27/2)</f>
        <v>36066.226349999997</v>
      </c>
      <c r="E43" s="54"/>
      <c r="F43" s="62"/>
      <c r="G43" s="177"/>
      <c r="H43" s="155">
        <v>36066</v>
      </c>
      <c r="I43" s="70"/>
    </row>
    <row r="44" spans="1:9" ht="41.1" customHeight="1" thickBot="1" x14ac:dyDescent="0.45">
      <c r="A44" s="5"/>
      <c r="B44" s="8" t="s">
        <v>76</v>
      </c>
      <c r="C44" s="42">
        <f>3786.5*12+4165.15*6</f>
        <v>70428.899999999994</v>
      </c>
      <c r="D44" s="47">
        <f>3786.5*12+4165.15*6</f>
        <v>70428.899999999994</v>
      </c>
      <c r="E44" s="54"/>
      <c r="F44" s="62"/>
      <c r="G44" s="177"/>
      <c r="H44" s="38">
        <v>70429</v>
      </c>
      <c r="I44" s="70"/>
    </row>
    <row r="45" spans="1:9" ht="41.1" customHeight="1" thickBot="1" x14ac:dyDescent="0.45">
      <c r="A45" s="5"/>
      <c r="B45" s="8" t="s">
        <v>77</v>
      </c>
      <c r="C45" s="42">
        <f>('[1]Staff Per Forma'!I15+('[1]Staff Per Forma'!J15/2))*0.1</f>
        <v>17594.373558450501</v>
      </c>
      <c r="D45" s="47"/>
      <c r="E45" s="54">
        <f>('[1]Staff Per Forma'!I15+('[1]Staff Per Forma'!J15/2))*0.1</f>
        <v>17594.373558450501</v>
      </c>
      <c r="F45" s="62"/>
      <c r="G45" s="177"/>
      <c r="H45" s="155">
        <v>17594</v>
      </c>
      <c r="I45" s="70"/>
    </row>
    <row r="46" spans="1:9" ht="41.1" customHeight="1" thickBot="1" x14ac:dyDescent="0.45">
      <c r="A46" s="5"/>
      <c r="B46" s="8" t="s">
        <v>78</v>
      </c>
      <c r="C46" s="42">
        <f>( '[1]Staff Per Forma'!I16+('[1]Staff Per Forma'!J16/2))*0.1</f>
        <v>13440.1862000455</v>
      </c>
      <c r="D46" s="47"/>
      <c r="E46" s="54"/>
      <c r="F46" s="62">
        <f>( '[1]Staff Per Forma'!I16+('[1]Staff Per Forma'!J16/2))*0.1</f>
        <v>13440.1862000455</v>
      </c>
      <c r="G46" s="177"/>
      <c r="H46" s="155">
        <v>13440</v>
      </c>
      <c r="I46" s="70"/>
    </row>
    <row r="47" spans="1:9" ht="41.1" customHeight="1" thickBot="1" x14ac:dyDescent="0.45">
      <c r="A47" s="5"/>
      <c r="B47" s="8" t="s">
        <v>79</v>
      </c>
      <c r="C47" s="42">
        <f>( '[1]Staff Per Forma'!I16+('[1]Staff Per Forma'!J16/2))*0.1</f>
        <v>13440.1862000455</v>
      </c>
      <c r="D47" s="47"/>
      <c r="E47" s="54"/>
      <c r="F47" s="62">
        <f>+C47</f>
        <v>13440.1862000455</v>
      </c>
      <c r="G47" s="177"/>
      <c r="H47" s="38">
        <v>13440</v>
      </c>
      <c r="I47" s="70"/>
    </row>
    <row r="48" spans="1:9" ht="41.1" customHeight="1" thickBot="1" x14ac:dyDescent="0.45">
      <c r="A48" s="9" t="s">
        <v>80</v>
      </c>
      <c r="B48" s="6"/>
      <c r="C48" s="38">
        <f>C43+C44+C45+C46+C47</f>
        <v>150969.8723085415</v>
      </c>
      <c r="D48" s="48">
        <f t="shared" ref="D48:H48" si="4">D43+D44+D45+D46+D47</f>
        <v>106495.12634999999</v>
      </c>
      <c r="E48" s="55">
        <f t="shared" si="4"/>
        <v>17594.373558450501</v>
      </c>
      <c r="F48" s="63">
        <f t="shared" si="4"/>
        <v>26880.372400091001</v>
      </c>
      <c r="G48" s="177">
        <f t="shared" si="4"/>
        <v>0</v>
      </c>
      <c r="H48" s="9">
        <f t="shared" si="4"/>
        <v>150969</v>
      </c>
      <c r="I48" s="70"/>
    </row>
    <row r="49" spans="1:9" ht="57" customHeight="1" thickBot="1" x14ac:dyDescent="0.45">
      <c r="A49" s="5" t="s">
        <v>81</v>
      </c>
      <c r="B49" s="9"/>
      <c r="C49" s="38">
        <v>0</v>
      </c>
      <c r="D49" s="48"/>
      <c r="E49" s="55"/>
      <c r="F49" s="63"/>
      <c r="G49" s="177"/>
      <c r="H49" s="155"/>
      <c r="I49" s="70"/>
    </row>
    <row r="50" spans="1:9" ht="44.1" customHeight="1" thickBot="1" x14ac:dyDescent="0.45">
      <c r="A50" s="28" t="s">
        <v>82</v>
      </c>
      <c r="B50" s="29"/>
      <c r="C50" s="39">
        <f>(C42+C48)*0.07</f>
        <v>192217.89106159794</v>
      </c>
      <c r="D50" s="39">
        <f t="shared" ref="D50:G50" si="5">(D42+D48)*0.07</f>
        <v>109304.65884450001</v>
      </c>
      <c r="E50" s="39">
        <f t="shared" si="5"/>
        <v>35531.606149091538</v>
      </c>
      <c r="F50" s="39">
        <f t="shared" si="5"/>
        <v>47381.626068006379</v>
      </c>
      <c r="G50" s="178">
        <f t="shared" si="5"/>
        <v>0</v>
      </c>
      <c r="H50" s="39">
        <v>11523</v>
      </c>
      <c r="I50" s="71"/>
    </row>
    <row r="51" spans="1:9" ht="34" customHeight="1" thickTop="1" thickBot="1" x14ac:dyDescent="0.45">
      <c r="A51" s="32" t="s">
        <v>83</v>
      </c>
      <c r="B51" s="32"/>
      <c r="C51" s="33">
        <f>C42+C48+C50</f>
        <v>2938187.7633701395</v>
      </c>
      <c r="D51" s="33">
        <f t="shared" ref="D51:H51" si="6">D42+D48+D50</f>
        <v>1670799.7851945001</v>
      </c>
      <c r="E51" s="33">
        <f t="shared" si="6"/>
        <v>543125.97970754199</v>
      </c>
      <c r="F51" s="33">
        <f t="shared" si="6"/>
        <v>724261.99846809742</v>
      </c>
      <c r="G51" s="33">
        <f t="shared" si="6"/>
        <v>0</v>
      </c>
      <c r="H51" s="33">
        <f t="shared" si="6"/>
        <v>1620808</v>
      </c>
      <c r="I51" s="72"/>
    </row>
    <row r="52" spans="1:9" ht="32.1" customHeight="1" thickTop="1" thickBot="1" x14ac:dyDescent="0.45">
      <c r="A52" s="16" t="s">
        <v>84</v>
      </c>
      <c r="B52" s="30"/>
      <c r="C52" s="40">
        <f>C51*0.07</f>
        <v>205673.14343590979</v>
      </c>
      <c r="D52" s="49">
        <f>D51*0.07</f>
        <v>116955.98496361502</v>
      </c>
      <c r="E52" s="56">
        <f>E51*0.07</f>
        <v>38018.818579527942</v>
      </c>
      <c r="F52" s="64">
        <f>F51*0.07</f>
        <v>50698.339892766824</v>
      </c>
      <c r="G52" s="29">
        <f t="shared" ref="G52" si="7">G51*0.07</f>
        <v>0</v>
      </c>
      <c r="H52" s="156">
        <v>88895</v>
      </c>
      <c r="I52" s="72"/>
    </row>
    <row r="53" spans="1:9" ht="26.1" customHeight="1" thickTop="1" thickBot="1" x14ac:dyDescent="0.45">
      <c r="A53" s="35" t="s">
        <v>85</v>
      </c>
      <c r="B53" s="35" t="s">
        <v>86</v>
      </c>
      <c r="C53" s="36">
        <f>C51+C52</f>
        <v>3143860.9068060494</v>
      </c>
      <c r="D53" s="36">
        <f>D51+D52</f>
        <v>1787755.7701581151</v>
      </c>
      <c r="E53" s="36">
        <f>E51+E52</f>
        <v>581144.79828706989</v>
      </c>
      <c r="F53" s="36">
        <f>F51+F52</f>
        <v>774960.3383608642</v>
      </c>
      <c r="G53" s="35"/>
      <c r="H53" s="157">
        <f>SUM(H52,H51)</f>
        <v>1709703</v>
      </c>
      <c r="I53" s="35"/>
    </row>
    <row r="54" spans="1:9" ht="12.6" thickTop="1" x14ac:dyDescent="0.4">
      <c r="C54" s="41"/>
      <c r="D54" s="50"/>
      <c r="E54" s="57"/>
      <c r="F54" s="65"/>
    </row>
    <row r="55" spans="1:9" x14ac:dyDescent="0.4">
      <c r="C55" s="41"/>
      <c r="D55" s="50"/>
      <c r="E55" s="57"/>
      <c r="F55" s="65"/>
    </row>
    <row r="56" spans="1:9" x14ac:dyDescent="0.4">
      <c r="F56" s="66"/>
    </row>
    <row r="59" spans="1:9" x14ac:dyDescent="0.4">
      <c r="E59" s="67"/>
    </row>
    <row r="60" spans="1:9" ht="25.5" customHeight="1" x14ac:dyDescent="0.4"/>
  </sheetData>
  <mergeCells count="4">
    <mergeCell ref="A8:I8"/>
    <mergeCell ref="B9:I9"/>
    <mergeCell ref="B18:I18"/>
    <mergeCell ref="B29:I29"/>
  </mergeCells>
  <pageMargins left="0.7" right="0.7" top="0.75" bottom="0.75" header="0.3" footer="0.3"/>
  <pageSetup paperSize="8" scale="51" orientation="landscape" r:id="rId1"/>
  <rowBreaks count="3" manualBreakCount="3">
    <brk id="21" max="8" man="1"/>
    <brk id="34" max="8" man="1"/>
    <brk id="5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43"/>
  <sheetViews>
    <sheetView topLeftCell="B25" zoomScaleNormal="83" workbookViewId="0">
      <selection activeCell="D37" sqref="D37:J38"/>
    </sheetView>
  </sheetViews>
  <sheetFormatPr defaultColWidth="8.83984375" defaultRowHeight="14.4" x14ac:dyDescent="0.55000000000000004"/>
  <cols>
    <col min="1" max="1" width="35.41796875" customWidth="1"/>
    <col min="2" max="4" width="14.83984375" customWidth="1"/>
    <col min="5" max="8" width="15.68359375" customWidth="1"/>
    <col min="9" max="9" width="17.15625" customWidth="1"/>
    <col min="10" max="10" width="17.41796875" customWidth="1"/>
    <col min="11" max="14" width="16.41796875" customWidth="1"/>
    <col min="15" max="15" width="14.578125" customWidth="1"/>
    <col min="16" max="16" width="17.26171875" customWidth="1"/>
    <col min="17" max="20" width="17" customWidth="1"/>
    <col min="21" max="22" width="15.15625" customWidth="1"/>
    <col min="23" max="24" width="14.68359375" customWidth="1"/>
    <col min="25" max="25" width="14.26171875" customWidth="1"/>
    <col min="26" max="26" width="20.26171875" customWidth="1"/>
  </cols>
  <sheetData>
    <row r="1" spans="1:37" ht="15.6" x14ac:dyDescent="0.6">
      <c r="A1" s="1" t="s">
        <v>87</v>
      </c>
      <c r="B1" s="1"/>
      <c r="C1" s="1"/>
      <c r="D1" s="1"/>
      <c r="E1" s="1"/>
      <c r="F1" s="1"/>
      <c r="G1" s="1"/>
      <c r="H1" s="1"/>
      <c r="I1" s="1"/>
      <c r="J1" s="1"/>
    </row>
    <row r="2" spans="1:37" x14ac:dyDescent="0.55000000000000004">
      <c r="A2" s="2"/>
      <c r="B2" s="2"/>
      <c r="C2" s="2"/>
      <c r="D2" s="2"/>
      <c r="E2" s="2"/>
      <c r="F2" s="2"/>
      <c r="G2" s="2"/>
      <c r="H2" s="2"/>
      <c r="I2" s="2"/>
      <c r="J2" s="2"/>
    </row>
    <row r="3" spans="1:37" x14ac:dyDescent="0.55000000000000004">
      <c r="A3" s="3" t="s">
        <v>1</v>
      </c>
      <c r="B3" s="3"/>
      <c r="C3" s="3"/>
      <c r="D3" s="3"/>
      <c r="E3" s="3"/>
      <c r="F3" s="3"/>
      <c r="G3" s="3"/>
      <c r="H3" s="3"/>
      <c r="I3" s="3"/>
      <c r="J3" s="3"/>
      <c r="K3" s="4"/>
      <c r="L3" s="4"/>
      <c r="M3" s="4"/>
      <c r="N3" s="4"/>
      <c r="O3" s="4"/>
      <c r="P3" s="4"/>
      <c r="Q3" s="4"/>
      <c r="R3" s="4"/>
      <c r="S3" s="4"/>
      <c r="T3" s="4"/>
      <c r="U3" s="4"/>
      <c r="V3" s="4"/>
      <c r="W3" s="4"/>
      <c r="X3" s="4"/>
      <c r="Y3" s="4"/>
      <c r="Z3" s="4"/>
    </row>
    <row r="4" spans="1:37" x14ac:dyDescent="0.55000000000000004">
      <c r="A4" s="4"/>
      <c r="B4" s="4"/>
      <c r="C4" s="4"/>
      <c r="D4" s="4"/>
      <c r="E4" s="4"/>
      <c r="F4" s="4"/>
      <c r="G4" s="4"/>
      <c r="H4" s="4"/>
      <c r="I4" s="4"/>
      <c r="J4" s="4"/>
      <c r="K4" s="4"/>
      <c r="L4" s="4"/>
      <c r="M4" s="4"/>
      <c r="N4" s="4"/>
      <c r="O4" s="4"/>
      <c r="P4" s="4"/>
      <c r="Q4" s="4"/>
      <c r="R4" s="4"/>
      <c r="S4" s="4"/>
      <c r="T4" s="4"/>
      <c r="U4" s="4"/>
      <c r="V4" s="4"/>
      <c r="W4" s="4"/>
      <c r="X4" s="4"/>
      <c r="Y4" s="4"/>
      <c r="Z4" s="4"/>
    </row>
    <row r="5" spans="1:37" ht="10.5" customHeight="1" x14ac:dyDescent="0.55000000000000004">
      <c r="E5" s="37"/>
      <c r="F5" s="37"/>
      <c r="G5" s="37"/>
      <c r="H5" s="37"/>
      <c r="U5" s="91"/>
      <c r="V5" s="91"/>
      <c r="W5" s="91"/>
      <c r="X5" s="91"/>
      <c r="Y5" s="91"/>
      <c r="Z5" s="89"/>
    </row>
    <row r="6" spans="1:37" ht="15.75" customHeight="1" x14ac:dyDescent="0.55000000000000004">
      <c r="A6" s="92" t="s">
        <v>88</v>
      </c>
      <c r="B6" s="92" t="s">
        <v>89</v>
      </c>
      <c r="C6" s="92"/>
      <c r="D6" s="92"/>
      <c r="E6" s="92"/>
      <c r="F6" s="92"/>
      <c r="G6" s="92"/>
      <c r="H6" s="92"/>
      <c r="I6" s="92" t="s">
        <v>90</v>
      </c>
      <c r="J6" s="92"/>
      <c r="K6" s="92"/>
      <c r="L6" s="92"/>
      <c r="M6" s="92"/>
      <c r="N6" s="92"/>
      <c r="O6" s="92" t="s">
        <v>91</v>
      </c>
      <c r="P6" s="92"/>
      <c r="Q6" s="92"/>
      <c r="R6" s="92"/>
      <c r="S6" s="92"/>
      <c r="T6" s="92"/>
      <c r="U6" s="92" t="s">
        <v>92</v>
      </c>
      <c r="V6" s="92" t="s">
        <v>93</v>
      </c>
      <c r="W6" s="92" t="s">
        <v>94</v>
      </c>
      <c r="X6" s="92" t="s">
        <v>95</v>
      </c>
      <c r="Y6" s="92" t="s">
        <v>96</v>
      </c>
      <c r="Z6" s="92" t="s">
        <v>97</v>
      </c>
    </row>
    <row r="7" spans="1:37" ht="28.8" x14ac:dyDescent="0.55000000000000004">
      <c r="A7" s="92"/>
      <c r="B7" s="92" t="s">
        <v>98</v>
      </c>
      <c r="C7" s="99" t="s">
        <v>99</v>
      </c>
      <c r="D7" s="92" t="s">
        <v>100</v>
      </c>
      <c r="E7" s="92" t="s">
        <v>101</v>
      </c>
      <c r="F7" s="116" t="s">
        <v>102</v>
      </c>
      <c r="G7" s="113" t="s">
        <v>103</v>
      </c>
      <c r="H7" s="92" t="s">
        <v>104</v>
      </c>
      <c r="I7" s="92" t="s">
        <v>98</v>
      </c>
      <c r="J7" s="92" t="s">
        <v>100</v>
      </c>
      <c r="K7" s="92" t="s">
        <v>101</v>
      </c>
      <c r="L7" s="116" t="s">
        <v>105</v>
      </c>
      <c r="M7" s="113" t="s">
        <v>106</v>
      </c>
      <c r="N7" s="92" t="s">
        <v>104</v>
      </c>
      <c r="O7" s="92" t="s">
        <v>98</v>
      </c>
      <c r="P7" s="92" t="s">
        <v>100</v>
      </c>
      <c r="Q7" s="92" t="s">
        <v>101</v>
      </c>
      <c r="R7" s="116" t="s">
        <v>105</v>
      </c>
      <c r="S7" s="113" t="s">
        <v>106</v>
      </c>
      <c r="T7" s="92" t="s">
        <v>104</v>
      </c>
      <c r="U7" s="92"/>
      <c r="V7" s="92"/>
      <c r="W7" s="92"/>
      <c r="X7" s="92"/>
      <c r="Y7" s="92"/>
      <c r="Z7" s="92"/>
      <c r="AI7" t="s">
        <v>86</v>
      </c>
      <c r="AJ7" t="s">
        <v>86</v>
      </c>
      <c r="AK7" t="s">
        <v>86</v>
      </c>
    </row>
    <row r="8" spans="1:37" x14ac:dyDescent="0.55000000000000004">
      <c r="A8" s="93" t="s">
        <v>107</v>
      </c>
      <c r="B8" s="93">
        <v>31948.537904999997</v>
      </c>
      <c r="C8" s="100">
        <v>44000</v>
      </c>
      <c r="D8" s="97">
        <v>43839.1</v>
      </c>
      <c r="E8" s="93">
        <v>31948.537904999997</v>
      </c>
      <c r="F8" s="96">
        <v>31948.537904999997</v>
      </c>
      <c r="G8" s="114">
        <v>13381.5</v>
      </c>
      <c r="H8" s="93">
        <v>42598.050539999997</v>
      </c>
      <c r="I8" s="93">
        <v>5278.3120675351502</v>
      </c>
      <c r="J8" s="97">
        <v>4398</v>
      </c>
      <c r="K8" s="93">
        <v>5278.3120675351502</v>
      </c>
      <c r="L8" s="96">
        <v>5278</v>
      </c>
      <c r="M8" s="114">
        <v>4224</v>
      </c>
      <c r="N8" s="93">
        <v>7037.7494233802008</v>
      </c>
      <c r="O8" s="93">
        <v>8064.1117200273002</v>
      </c>
      <c r="P8" s="97">
        <v>8037.6</v>
      </c>
      <c r="Q8" s="93">
        <v>8064.1117200273002</v>
      </c>
      <c r="R8" s="96">
        <v>8064</v>
      </c>
      <c r="S8" s="114">
        <v>-8038</v>
      </c>
      <c r="T8" s="93">
        <v>10752.1489600364</v>
      </c>
      <c r="U8" s="93">
        <f t="shared" ref="U8:U14" si="0">B8+I8+O8</f>
        <v>45290.96169256245</v>
      </c>
      <c r="V8" s="97">
        <f t="shared" ref="V8:V14" si="1">D8+J8+P8</f>
        <v>56274.7</v>
      </c>
      <c r="W8" s="93">
        <f t="shared" ref="W8:W14" si="2">E8+K8+S8</f>
        <v>29188.84997253515</v>
      </c>
      <c r="X8" s="114">
        <f t="shared" ref="X8:Y15" si="3">G8+M8+S8</f>
        <v>9567.5</v>
      </c>
      <c r="Y8" s="93">
        <f t="shared" si="3"/>
        <v>60387.948923416596</v>
      </c>
      <c r="Z8" s="93">
        <f t="shared" ref="Z8:Z17" si="4">U8+W8+Y8</f>
        <v>134867.76058851421</v>
      </c>
      <c r="AJ8" t="s">
        <v>86</v>
      </c>
    </row>
    <row r="9" spans="1:37" x14ac:dyDescent="0.55000000000000004">
      <c r="A9" s="93" t="s">
        <v>108</v>
      </c>
      <c r="B9" s="93">
        <v>40000</v>
      </c>
      <c r="C9" s="100">
        <v>6000</v>
      </c>
      <c r="D9" s="97">
        <v>5973.36</v>
      </c>
      <c r="E9" s="93">
        <v>50000</v>
      </c>
      <c r="F9" s="96">
        <v>50000</v>
      </c>
      <c r="G9" s="114">
        <v>2215.59</v>
      </c>
      <c r="H9" s="93">
        <v>60000</v>
      </c>
      <c r="I9" s="93">
        <v>10000</v>
      </c>
      <c r="J9" s="97">
        <v>843.48</v>
      </c>
      <c r="K9" s="93">
        <v>10000</v>
      </c>
      <c r="L9" s="96">
        <v>10000</v>
      </c>
      <c r="M9" s="114">
        <v>11394</v>
      </c>
      <c r="N9" s="93">
        <v>5000</v>
      </c>
      <c r="O9" s="93">
        <v>20000</v>
      </c>
      <c r="P9" s="97">
        <v>10000</v>
      </c>
      <c r="Q9" s="93">
        <v>20000</v>
      </c>
      <c r="R9" s="96">
        <v>20000</v>
      </c>
      <c r="S9" s="114">
        <v>-10000</v>
      </c>
      <c r="T9" s="93">
        <v>40000</v>
      </c>
      <c r="U9" s="93">
        <f t="shared" si="0"/>
        <v>70000</v>
      </c>
      <c r="V9" s="97">
        <f t="shared" si="1"/>
        <v>16816.84</v>
      </c>
      <c r="W9" s="93">
        <f t="shared" si="2"/>
        <v>50000</v>
      </c>
      <c r="X9" s="114">
        <f t="shared" si="3"/>
        <v>3609.59</v>
      </c>
      <c r="Y9" s="93">
        <f t="shared" si="3"/>
        <v>105000</v>
      </c>
      <c r="Z9" s="93">
        <f t="shared" si="4"/>
        <v>225000</v>
      </c>
    </row>
    <row r="10" spans="1:37" x14ac:dyDescent="0.55000000000000004">
      <c r="A10" s="93" t="s">
        <v>109</v>
      </c>
      <c r="B10" s="93">
        <v>120000</v>
      </c>
      <c r="C10" s="100">
        <v>40000</v>
      </c>
      <c r="D10" s="97">
        <v>39575.65</v>
      </c>
      <c r="E10" s="93">
        <v>20000</v>
      </c>
      <c r="F10" s="96">
        <v>20000</v>
      </c>
      <c r="G10" s="114">
        <v>0</v>
      </c>
      <c r="H10" s="93"/>
      <c r="I10" s="93">
        <v>20000</v>
      </c>
      <c r="J10" s="97">
        <v>0</v>
      </c>
      <c r="K10" s="93">
        <v>10000</v>
      </c>
      <c r="L10" s="96">
        <v>10000</v>
      </c>
      <c r="M10" s="114">
        <v>0</v>
      </c>
      <c r="N10" s="93"/>
      <c r="O10" s="93"/>
      <c r="P10" s="97"/>
      <c r="Q10" s="93"/>
      <c r="R10" s="96"/>
      <c r="S10" s="114"/>
      <c r="T10" s="93"/>
      <c r="U10" s="93">
        <f t="shared" si="0"/>
        <v>140000</v>
      </c>
      <c r="V10" s="97">
        <f t="shared" si="1"/>
        <v>39575.65</v>
      </c>
      <c r="W10" s="93">
        <f t="shared" si="2"/>
        <v>30000</v>
      </c>
      <c r="X10" s="114">
        <f t="shared" si="3"/>
        <v>0</v>
      </c>
      <c r="Y10" s="93">
        <f t="shared" si="3"/>
        <v>0</v>
      </c>
      <c r="Z10" s="93">
        <f t="shared" si="4"/>
        <v>170000</v>
      </c>
      <c r="AC10" s="94" t="s">
        <v>86</v>
      </c>
    </row>
    <row r="11" spans="1:37" x14ac:dyDescent="0.55000000000000004">
      <c r="A11" s="93" t="s">
        <v>110</v>
      </c>
      <c r="B11" s="93">
        <v>80000</v>
      </c>
      <c r="C11" s="100">
        <v>91000</v>
      </c>
      <c r="D11" s="97">
        <v>90858.62</v>
      </c>
      <c r="E11" s="93">
        <v>100000</v>
      </c>
      <c r="F11" s="96">
        <v>100000</v>
      </c>
      <c r="G11" s="114">
        <v>9590.56</v>
      </c>
      <c r="H11" s="93">
        <v>100000</v>
      </c>
      <c r="I11" s="93">
        <v>10000</v>
      </c>
      <c r="J11" s="97">
        <v>10000</v>
      </c>
      <c r="K11" s="93">
        <v>10000</v>
      </c>
      <c r="L11" s="96">
        <v>10000</v>
      </c>
      <c r="M11" s="114">
        <v>19921</v>
      </c>
      <c r="N11" s="93">
        <v>20000</v>
      </c>
      <c r="O11" s="93">
        <v>30000</v>
      </c>
      <c r="P11" s="97">
        <v>25000</v>
      </c>
      <c r="Q11" s="93">
        <v>30000</v>
      </c>
      <c r="R11" s="96">
        <v>30000</v>
      </c>
      <c r="S11" s="114">
        <v>-7950</v>
      </c>
      <c r="T11" s="93">
        <v>40000</v>
      </c>
      <c r="U11" s="93">
        <f t="shared" si="0"/>
        <v>120000</v>
      </c>
      <c r="V11" s="97">
        <f t="shared" si="1"/>
        <v>125858.62</v>
      </c>
      <c r="W11" s="93">
        <f t="shared" si="2"/>
        <v>102050</v>
      </c>
      <c r="X11" s="114">
        <f t="shared" si="3"/>
        <v>21561.559999999998</v>
      </c>
      <c r="Y11" s="93">
        <f t="shared" si="3"/>
        <v>160000</v>
      </c>
      <c r="Z11" s="93">
        <f t="shared" si="4"/>
        <v>382050</v>
      </c>
    </row>
    <row r="12" spans="1:37" x14ac:dyDescent="0.55000000000000004">
      <c r="A12" s="93" t="s">
        <v>111</v>
      </c>
      <c r="B12" s="93">
        <v>60000</v>
      </c>
      <c r="C12" s="100">
        <v>268285</v>
      </c>
      <c r="D12" s="97">
        <v>266639.75</v>
      </c>
      <c r="E12" s="93">
        <v>70000</v>
      </c>
      <c r="F12" s="96">
        <v>215000</v>
      </c>
      <c r="G12" s="114">
        <v>174429.97</v>
      </c>
      <c r="H12" s="93">
        <v>80000</v>
      </c>
      <c r="I12" s="93">
        <v>20000</v>
      </c>
      <c r="J12" s="97">
        <v>15376.52</v>
      </c>
      <c r="K12" s="93">
        <v>35000</v>
      </c>
      <c r="L12" s="96">
        <v>50896</v>
      </c>
      <c r="M12" s="114">
        <v>62985.46</v>
      </c>
      <c r="N12" s="93">
        <v>60000</v>
      </c>
      <c r="O12" s="93">
        <v>50000</v>
      </c>
      <c r="P12" s="97">
        <v>64000</v>
      </c>
      <c r="Q12" s="93">
        <v>50000</v>
      </c>
      <c r="R12" s="96">
        <v>50000</v>
      </c>
      <c r="S12" s="114">
        <v>-50739</v>
      </c>
      <c r="T12" s="93">
        <v>150000</v>
      </c>
      <c r="U12" s="93">
        <f t="shared" si="0"/>
        <v>130000</v>
      </c>
      <c r="V12" s="97">
        <f t="shared" si="1"/>
        <v>346016.27</v>
      </c>
      <c r="W12" s="93">
        <f t="shared" si="2"/>
        <v>54261</v>
      </c>
      <c r="X12" s="114">
        <f t="shared" si="3"/>
        <v>186676.43</v>
      </c>
      <c r="Y12" s="93">
        <f t="shared" si="3"/>
        <v>290000</v>
      </c>
      <c r="Z12" s="93">
        <f t="shared" si="4"/>
        <v>474261</v>
      </c>
    </row>
    <row r="13" spans="1:37" x14ac:dyDescent="0.55000000000000004">
      <c r="A13" s="93" t="s">
        <v>112</v>
      </c>
      <c r="B13" s="93">
        <v>130000</v>
      </c>
      <c r="C13" s="100">
        <v>0</v>
      </c>
      <c r="D13" s="97">
        <v>0</v>
      </c>
      <c r="E13" s="93">
        <v>195000</v>
      </c>
      <c r="F13" s="96">
        <v>50000</v>
      </c>
      <c r="G13" s="114">
        <v>0</v>
      </c>
      <c r="H13" s="93">
        <v>350000</v>
      </c>
      <c r="I13" s="93">
        <v>100000</v>
      </c>
      <c r="J13" s="97">
        <v>88185.44</v>
      </c>
      <c r="K13" s="93">
        <v>100000</v>
      </c>
      <c r="L13" s="96">
        <v>100000</v>
      </c>
      <c r="M13" s="114">
        <v>62600</v>
      </c>
      <c r="N13" s="93">
        <v>80000</v>
      </c>
      <c r="O13" s="93">
        <v>90000</v>
      </c>
      <c r="P13" s="97">
        <v>91661.9</v>
      </c>
      <c r="Q13" s="93">
        <v>80000</v>
      </c>
      <c r="R13" s="96">
        <v>90816</v>
      </c>
      <c r="S13" s="114">
        <v>141359</v>
      </c>
      <c r="T13" s="93">
        <v>50000</v>
      </c>
      <c r="U13" s="93">
        <f t="shared" si="0"/>
        <v>320000</v>
      </c>
      <c r="V13" s="97">
        <f t="shared" si="1"/>
        <v>179847.34</v>
      </c>
      <c r="W13" s="93">
        <f t="shared" si="2"/>
        <v>436359</v>
      </c>
      <c r="X13" s="114">
        <f t="shared" si="3"/>
        <v>203959</v>
      </c>
      <c r="Y13" s="93">
        <f t="shared" si="3"/>
        <v>480000</v>
      </c>
      <c r="Z13" s="93">
        <f t="shared" si="4"/>
        <v>1236359</v>
      </c>
      <c r="AC13" s="94" t="s">
        <v>86</v>
      </c>
    </row>
    <row r="14" spans="1:37" x14ac:dyDescent="0.55000000000000004">
      <c r="A14" s="93" t="s">
        <v>113</v>
      </c>
      <c r="B14" s="93">
        <v>32336.397653350006</v>
      </c>
      <c r="C14" s="100">
        <v>45000</v>
      </c>
      <c r="D14" s="97">
        <v>42148.82</v>
      </c>
      <c r="E14" s="93">
        <v>32686.397653350006</v>
      </c>
      <c r="F14" s="96">
        <v>34567.82</v>
      </c>
      <c r="G14" s="114">
        <v>20716.22</v>
      </c>
      <c r="H14" s="93">
        <v>44281.863537800004</v>
      </c>
      <c r="I14" s="93">
        <v>11569.481844727461</v>
      </c>
      <c r="J14" s="97">
        <v>24</v>
      </c>
      <c r="K14" s="93">
        <v>11919.481844727461</v>
      </c>
      <c r="L14" s="96">
        <v>11919</v>
      </c>
      <c r="M14" s="114">
        <v>16515.759999999998</v>
      </c>
      <c r="N14" s="93">
        <v>12042.642459636614</v>
      </c>
      <c r="O14" s="93">
        <v>13864.487820401911</v>
      </c>
      <c r="P14" s="97">
        <v>2414</v>
      </c>
      <c r="Q14" s="93">
        <v>13164.487820401911</v>
      </c>
      <c r="R14" s="96">
        <v>13164</v>
      </c>
      <c r="S14" s="114">
        <v>-1649</v>
      </c>
      <c r="T14" s="93">
        <v>20352.650427202549</v>
      </c>
      <c r="U14" s="93">
        <f t="shared" si="0"/>
        <v>57770.367318479381</v>
      </c>
      <c r="V14" s="97">
        <f t="shared" si="1"/>
        <v>44586.82</v>
      </c>
      <c r="W14" s="93">
        <f t="shared" si="2"/>
        <v>42956.879498077469</v>
      </c>
      <c r="X14" s="114">
        <f t="shared" si="3"/>
        <v>35582.979999999996</v>
      </c>
      <c r="Y14" s="93">
        <f t="shared" si="3"/>
        <v>76677.156424639164</v>
      </c>
      <c r="Z14" s="93">
        <f t="shared" si="4"/>
        <v>177404.40324119601</v>
      </c>
      <c r="AC14" s="94" t="s">
        <v>86</v>
      </c>
      <c r="AD14" t="s">
        <v>86</v>
      </c>
    </row>
    <row r="15" spans="1:37" x14ac:dyDescent="0.55000000000000004">
      <c r="A15" s="92" t="s">
        <v>114</v>
      </c>
      <c r="B15" s="92">
        <f>SUM(B8:B14)</f>
        <v>494284.93555835006</v>
      </c>
      <c r="C15" s="101">
        <f>SUM(C8:C14)</f>
        <v>494285</v>
      </c>
      <c r="D15" s="98">
        <f>SUM(D8:D14)</f>
        <v>489035.3</v>
      </c>
      <c r="E15" s="92">
        <f t="shared" ref="E15:O15" si="5">SUM(E8:E14)</f>
        <v>499634.93555835006</v>
      </c>
      <c r="F15" s="95">
        <f>SUM(F8:F14)</f>
        <v>501516.35790500004</v>
      </c>
      <c r="G15" s="115">
        <f t="shared" si="5"/>
        <v>220333.84</v>
      </c>
      <c r="H15" s="92">
        <f t="shared" si="5"/>
        <v>676879.9140778</v>
      </c>
      <c r="I15" s="92">
        <f t="shared" si="5"/>
        <v>176847.79391226263</v>
      </c>
      <c r="J15" s="98">
        <f t="shared" si="5"/>
        <v>118827.44</v>
      </c>
      <c r="K15" s="92">
        <f t="shared" si="5"/>
        <v>182197.79391226263</v>
      </c>
      <c r="L15" s="95">
        <f>SUM(L8:L14)</f>
        <v>198093</v>
      </c>
      <c r="M15" s="115">
        <f>SUM(M8:M14)</f>
        <v>177640.22</v>
      </c>
      <c r="N15" s="92">
        <f t="shared" si="5"/>
        <v>184080.3918830168</v>
      </c>
      <c r="O15" s="92">
        <f t="shared" si="5"/>
        <v>211928.59954042919</v>
      </c>
      <c r="P15" s="98">
        <f t="shared" ref="P15:V15" si="6">SUM(P8:P14)</f>
        <v>201113.5</v>
      </c>
      <c r="Q15" s="92">
        <f t="shared" si="6"/>
        <v>201228.59954042919</v>
      </c>
      <c r="R15" s="95">
        <f t="shared" si="6"/>
        <v>212044</v>
      </c>
      <c r="S15" s="115">
        <f t="shared" si="6"/>
        <v>62983</v>
      </c>
      <c r="T15" s="92">
        <f t="shared" si="6"/>
        <v>311104.79938723892</v>
      </c>
      <c r="U15" s="92">
        <f t="shared" si="6"/>
        <v>883061.32901104179</v>
      </c>
      <c r="V15" s="98">
        <f t="shared" si="6"/>
        <v>808976.24</v>
      </c>
      <c r="W15" s="92">
        <f>E15+K15+Q15</f>
        <v>883061.3290110419</v>
      </c>
      <c r="X15" s="115">
        <f t="shared" si="3"/>
        <v>460957.06</v>
      </c>
      <c r="Y15" s="92">
        <f t="shared" si="3"/>
        <v>1172065.1053480557</v>
      </c>
      <c r="Z15" s="92">
        <f t="shared" si="4"/>
        <v>2938187.7633701395</v>
      </c>
      <c r="AC15" s="94" t="s">
        <v>86</v>
      </c>
    </row>
    <row r="16" spans="1:37" x14ac:dyDescent="0.55000000000000004">
      <c r="A16" s="93" t="s">
        <v>115</v>
      </c>
      <c r="B16" s="93">
        <f t="shared" ref="B16:G16" si="7">B15*0.07</f>
        <v>34599.945489084508</v>
      </c>
      <c r="C16" s="102">
        <f t="shared" si="7"/>
        <v>34599.950000000004</v>
      </c>
      <c r="D16" s="97">
        <f t="shared" si="7"/>
        <v>34232.471000000005</v>
      </c>
      <c r="E16" s="93">
        <f t="shared" si="7"/>
        <v>34974.445489084508</v>
      </c>
      <c r="F16" s="93">
        <f t="shared" si="7"/>
        <v>35106.145053350003</v>
      </c>
      <c r="G16" s="114">
        <f t="shared" si="7"/>
        <v>15423.368800000002</v>
      </c>
      <c r="H16" s="96">
        <f t="shared" ref="H16:X16" si="8">H15*0.07</f>
        <v>47381.593985446001</v>
      </c>
      <c r="I16" s="93">
        <f t="shared" si="8"/>
        <v>12379.345573858385</v>
      </c>
      <c r="J16" s="97">
        <f t="shared" si="8"/>
        <v>8317.9208000000017</v>
      </c>
      <c r="K16" s="93">
        <f t="shared" si="8"/>
        <v>12753.845573858385</v>
      </c>
      <c r="L16" s="96">
        <f t="shared" si="8"/>
        <v>13866.510000000002</v>
      </c>
      <c r="M16" s="114">
        <f t="shared" si="8"/>
        <v>12434.815400000001</v>
      </c>
      <c r="N16" s="93">
        <f t="shared" si="8"/>
        <v>12885.627431811177</v>
      </c>
      <c r="O16" s="93">
        <f t="shared" si="8"/>
        <v>14835.001967830045</v>
      </c>
      <c r="P16" s="97">
        <f t="shared" si="8"/>
        <v>14077.945000000002</v>
      </c>
      <c r="Q16" s="93">
        <f t="shared" si="8"/>
        <v>14086.001967830045</v>
      </c>
      <c r="R16" s="96">
        <f t="shared" si="8"/>
        <v>14843.080000000002</v>
      </c>
      <c r="S16" s="114">
        <f t="shared" si="8"/>
        <v>4408.8100000000004</v>
      </c>
      <c r="T16" s="96">
        <f t="shared" si="8"/>
        <v>21777.335957106727</v>
      </c>
      <c r="U16" s="96">
        <f t="shared" si="8"/>
        <v>61814.293030772933</v>
      </c>
      <c r="V16" s="97">
        <f t="shared" si="8"/>
        <v>56628.336800000005</v>
      </c>
      <c r="W16" s="93">
        <f t="shared" si="8"/>
        <v>61814.29303077294</v>
      </c>
      <c r="X16" s="114">
        <f t="shared" si="8"/>
        <v>32266.994200000005</v>
      </c>
      <c r="Y16" s="93">
        <f>H16+N16+T16</f>
        <v>82044.557374363911</v>
      </c>
      <c r="Z16" s="93">
        <f t="shared" si="4"/>
        <v>205673.14343590979</v>
      </c>
    </row>
    <row r="17" spans="1:29" x14ac:dyDescent="0.55000000000000004">
      <c r="A17" s="92" t="s">
        <v>116</v>
      </c>
      <c r="B17" s="92">
        <f>SUM(B15:B16)</f>
        <v>528884.88104743452</v>
      </c>
      <c r="C17" s="101">
        <f>SUM(C15:C16)</f>
        <v>528884.94999999995</v>
      </c>
      <c r="D17" s="98">
        <f>SUM(D15:D16)</f>
        <v>523267.77100000001</v>
      </c>
      <c r="E17" s="92">
        <f t="shared" ref="E17:T17" si="9">SUM(E15:E16)</f>
        <v>534609.38104743452</v>
      </c>
      <c r="F17" s="95">
        <f t="shared" si="9"/>
        <v>536622.50295835</v>
      </c>
      <c r="G17" s="115">
        <f>SUM(G15:G16)</f>
        <v>235757.20879999999</v>
      </c>
      <c r="H17" s="95">
        <f t="shared" si="9"/>
        <v>724261.50806324603</v>
      </c>
      <c r="I17" s="92">
        <f t="shared" si="9"/>
        <v>189227.13948612101</v>
      </c>
      <c r="J17" s="98">
        <f t="shared" si="9"/>
        <v>127145.36080000001</v>
      </c>
      <c r="K17" s="92">
        <f t="shared" si="9"/>
        <v>194951.63948612101</v>
      </c>
      <c r="L17" s="95">
        <f>SUM(L15:L16)</f>
        <v>211959.51</v>
      </c>
      <c r="M17" s="115">
        <f t="shared" si="9"/>
        <v>190075.03539999999</v>
      </c>
      <c r="N17" s="92">
        <f t="shared" si="9"/>
        <v>196966.01931482798</v>
      </c>
      <c r="O17" s="92">
        <f t="shared" si="9"/>
        <v>226763.60150825925</v>
      </c>
      <c r="P17" s="98">
        <f t="shared" si="9"/>
        <v>215191.44500000001</v>
      </c>
      <c r="Q17" s="92">
        <f t="shared" si="9"/>
        <v>215314.60150825925</v>
      </c>
      <c r="R17" s="95">
        <f>SUM(R15:R16)</f>
        <v>226887.08000000002</v>
      </c>
      <c r="S17" s="115">
        <f t="shared" si="9"/>
        <v>67391.81</v>
      </c>
      <c r="T17" s="92">
        <f t="shared" si="9"/>
        <v>332882.13534434565</v>
      </c>
      <c r="U17" s="92">
        <f>B17+I17+O17</f>
        <v>944875.62204181473</v>
      </c>
      <c r="V17" s="98">
        <f>D17+J17+P17</f>
        <v>865604.57679999992</v>
      </c>
      <c r="W17" s="92">
        <f>E17+K17+Q17</f>
        <v>944875.62204181473</v>
      </c>
      <c r="X17" s="115">
        <f>SUM(X15:X16)</f>
        <v>493224.05420000001</v>
      </c>
      <c r="Y17" s="92">
        <f>SUM(H17+N17+T17)</f>
        <v>1254109.6627224197</v>
      </c>
      <c r="Z17" s="92">
        <f t="shared" si="4"/>
        <v>3143860.9068060489</v>
      </c>
    </row>
    <row r="18" spans="1:29" x14ac:dyDescent="0.55000000000000004">
      <c r="A18" s="119" t="s">
        <v>117</v>
      </c>
      <c r="B18" s="94"/>
      <c r="C18" s="94"/>
      <c r="D18" s="94"/>
      <c r="E18" s="94"/>
      <c r="F18" s="94"/>
      <c r="G18" s="120">
        <f>E34</f>
        <v>212559.25</v>
      </c>
      <c r="H18" s="94"/>
      <c r="I18" s="94"/>
      <c r="J18" s="94"/>
      <c r="K18" s="94"/>
      <c r="L18" s="94"/>
      <c r="M18" s="120"/>
      <c r="N18" s="94"/>
      <c r="O18" s="94"/>
      <c r="P18" s="94"/>
      <c r="Q18" s="94" t="s">
        <v>86</v>
      </c>
      <c r="R18" s="94"/>
      <c r="S18" s="120">
        <f>P34</f>
        <v>138316.5</v>
      </c>
      <c r="T18" s="94"/>
      <c r="U18" s="94"/>
      <c r="V18" s="94"/>
      <c r="W18" s="94"/>
      <c r="X18" s="120">
        <f>G18+M18+S18</f>
        <v>350875.75</v>
      </c>
      <c r="Y18" s="94"/>
      <c r="Z18" s="94"/>
    </row>
    <row r="19" spans="1:29" x14ac:dyDescent="0.55000000000000004">
      <c r="A19" s="94"/>
      <c r="B19" s="94"/>
      <c r="C19" s="94"/>
      <c r="D19" s="94"/>
      <c r="E19" s="94"/>
      <c r="F19" s="94"/>
      <c r="G19" s="122">
        <f>SUM(G17:G18)</f>
        <v>448316.45880000002</v>
      </c>
      <c r="H19" s="94"/>
      <c r="I19" s="94"/>
      <c r="J19" s="94"/>
      <c r="K19" s="94"/>
      <c r="L19" s="94"/>
      <c r="M19" s="122">
        <f>SUM(M17:M18)</f>
        <v>190075.03539999999</v>
      </c>
      <c r="N19" s="94"/>
      <c r="O19" s="94"/>
      <c r="P19" s="94"/>
      <c r="Q19" s="94"/>
      <c r="R19" s="94"/>
      <c r="S19" s="122">
        <f>SUM(S17:S18)</f>
        <v>205708.31</v>
      </c>
      <c r="T19" s="94"/>
      <c r="U19" s="94"/>
      <c r="V19" s="94"/>
      <c r="W19" s="94"/>
      <c r="X19" s="121">
        <f>SUM(X17:X18)</f>
        <v>844099.80420000001</v>
      </c>
      <c r="Y19" s="94"/>
      <c r="Z19" s="94"/>
      <c r="AC19" t="s">
        <v>86</v>
      </c>
    </row>
    <row r="20" spans="1:29" x14ac:dyDescent="0.55000000000000004">
      <c r="A20" s="123" t="s">
        <v>118</v>
      </c>
      <c r="B20" s="94"/>
      <c r="C20" s="94"/>
      <c r="D20" s="124">
        <f>D17/C17*100</f>
        <v>98.937920430520862</v>
      </c>
      <c r="E20" s="94"/>
      <c r="F20" s="94"/>
      <c r="G20" s="124">
        <f>G19/F17*100</f>
        <v>83.544103411331633</v>
      </c>
      <c r="H20" s="94"/>
      <c r="I20" s="94"/>
      <c r="J20" s="124">
        <f>J17/I17*100</f>
        <v>67.191926668280885</v>
      </c>
      <c r="K20" s="94"/>
      <c r="L20" s="94"/>
      <c r="M20" s="124">
        <f>M19/L17*100</f>
        <v>89.67516267611677</v>
      </c>
      <c r="N20" s="94"/>
      <c r="O20" s="94"/>
      <c r="P20" s="124">
        <f>P17/O17*100</f>
        <v>94.896819228795962</v>
      </c>
      <c r="Q20" s="94"/>
      <c r="R20" s="94"/>
      <c r="S20" s="124">
        <f>S19/R17*100</f>
        <v>90.665501975696444</v>
      </c>
      <c r="T20" s="94"/>
      <c r="U20" s="94"/>
      <c r="V20" s="124">
        <f>V17/U17*100</f>
        <v>91.610425394348169</v>
      </c>
      <c r="W20" s="94"/>
      <c r="X20" s="124">
        <f>X19/W17*100</f>
        <v>89.33448853045391</v>
      </c>
      <c r="Y20" s="94"/>
      <c r="Z20" s="94"/>
    </row>
    <row r="21" spans="1:29" x14ac:dyDescent="0.55000000000000004">
      <c r="A21" s="94"/>
      <c r="B21" s="94"/>
      <c r="C21" s="94"/>
      <c r="D21" s="94"/>
      <c r="E21" s="94"/>
      <c r="F21" s="94"/>
      <c r="G21" s="94"/>
      <c r="H21" s="94"/>
      <c r="I21" s="94"/>
      <c r="J21" s="94"/>
      <c r="K21" s="94"/>
      <c r="L21" s="94"/>
      <c r="M21" s="94"/>
      <c r="N21" s="94"/>
      <c r="O21" s="94"/>
      <c r="P21" s="94"/>
      <c r="Q21" s="94"/>
      <c r="R21" s="94"/>
      <c r="S21" s="94"/>
      <c r="T21" s="94"/>
      <c r="U21" s="94"/>
      <c r="V21" s="94"/>
      <c r="W21" s="94"/>
      <c r="X21" s="94"/>
      <c r="Y21" s="94"/>
      <c r="Z21" s="94"/>
    </row>
    <row r="22" spans="1:29" x14ac:dyDescent="0.55000000000000004">
      <c r="A22" s="125" t="s">
        <v>119</v>
      </c>
      <c r="B22" s="139" t="s">
        <v>120</v>
      </c>
      <c r="C22" s="139" t="s">
        <v>121</v>
      </c>
      <c r="D22" s="139" t="s">
        <v>122</v>
      </c>
      <c r="E22" s="139" t="s">
        <v>123</v>
      </c>
      <c r="F22" s="139" t="s">
        <v>124</v>
      </c>
      <c r="G22" s="94" t="s">
        <v>86</v>
      </c>
      <c r="H22" s="94"/>
      <c r="I22" s="94"/>
      <c r="J22" s="94"/>
      <c r="K22" s="94"/>
      <c r="L22" s="94"/>
      <c r="M22" s="94"/>
      <c r="N22" s="94"/>
      <c r="O22" s="94"/>
      <c r="P22" s="94"/>
      <c r="Q22" s="94"/>
      <c r="R22" s="94"/>
      <c r="S22" s="94"/>
      <c r="T22" s="94"/>
      <c r="U22" s="94"/>
      <c r="V22" s="94"/>
      <c r="W22" s="94"/>
      <c r="X22" s="94"/>
      <c r="Y22" s="94"/>
      <c r="Z22" s="94"/>
    </row>
    <row r="23" spans="1:29" ht="14.85" customHeight="1" x14ac:dyDescent="0.55000000000000004">
      <c r="A23" s="125" t="s">
        <v>125</v>
      </c>
      <c r="B23" s="128">
        <f>D20%</f>
        <v>0.98937920430520865</v>
      </c>
      <c r="C23" s="128">
        <f>J20%</f>
        <v>0.67191926668280888</v>
      </c>
      <c r="D23" s="128">
        <f>P20%</f>
        <v>0.94896819228795959</v>
      </c>
      <c r="E23" s="128">
        <f>V17/U17*100%</f>
        <v>0.91610425394348172</v>
      </c>
      <c r="F23" s="166">
        <f>((V17+X19)/(U17+W17))*100%</f>
        <v>0.90472456962401049</v>
      </c>
      <c r="G23" s="94"/>
      <c r="H23" s="94"/>
      <c r="I23" s="94"/>
      <c r="J23" s="94"/>
      <c r="K23" s="94"/>
      <c r="L23" s="94"/>
      <c r="M23" s="94"/>
      <c r="N23" s="94"/>
      <c r="O23" s="94"/>
      <c r="P23" s="94"/>
      <c r="Q23" s="94"/>
      <c r="R23" s="94"/>
      <c r="S23" s="94"/>
      <c r="T23" s="94"/>
      <c r="U23" s="94"/>
      <c r="V23" s="94"/>
      <c r="W23" s="94"/>
      <c r="X23" s="94"/>
      <c r="Y23" s="94"/>
      <c r="Z23" s="94"/>
    </row>
    <row r="24" spans="1:29" ht="14.85" customHeight="1" x14ac:dyDescent="0.55000000000000004">
      <c r="A24" s="125" t="s">
        <v>126</v>
      </c>
      <c r="B24" s="128">
        <f>G20%</f>
        <v>0.83544103411331638</v>
      </c>
      <c r="C24" s="128">
        <f>M20%</f>
        <v>0.89675162676116771</v>
      </c>
      <c r="D24" s="128">
        <f>S20%</f>
        <v>0.90665501975696439</v>
      </c>
      <c r="E24" s="128">
        <f>X19/W17*100%</f>
        <v>0.89334488530453915</v>
      </c>
      <c r="F24" s="167"/>
      <c r="G24" s="94"/>
      <c r="H24" s="94"/>
      <c r="I24" s="94"/>
      <c r="J24" s="94"/>
      <c r="K24" s="94"/>
      <c r="L24" s="94"/>
      <c r="M24" s="94"/>
      <c r="N24" s="94"/>
      <c r="O24" s="94"/>
      <c r="P24" s="94"/>
      <c r="Q24" s="94"/>
      <c r="R24" s="94"/>
      <c r="S24" s="94"/>
      <c r="T24" s="94"/>
      <c r="U24" s="94"/>
      <c r="V24" s="94"/>
      <c r="W24" s="94"/>
      <c r="X24" s="94"/>
      <c r="Y24" s="94"/>
      <c r="Z24" s="94"/>
    </row>
    <row r="25" spans="1:29" x14ac:dyDescent="0.55000000000000004">
      <c r="A25" s="140"/>
      <c r="B25" s="141"/>
      <c r="C25" s="141"/>
      <c r="D25" s="141"/>
      <c r="E25" s="141"/>
      <c r="F25" s="141"/>
      <c r="G25" s="94"/>
      <c r="H25" s="94"/>
      <c r="I25" s="94"/>
      <c r="J25" s="94"/>
      <c r="K25" s="94"/>
      <c r="L25" s="94"/>
      <c r="M25" s="94"/>
      <c r="N25" s="94"/>
      <c r="Q25" s="94"/>
      <c r="R25" s="94"/>
      <c r="S25" s="94"/>
      <c r="T25" s="94"/>
      <c r="U25" s="94"/>
      <c r="V25" s="94"/>
      <c r="W25" s="94"/>
      <c r="X25" s="94"/>
      <c r="Y25" s="94"/>
      <c r="Z25" s="94"/>
    </row>
    <row r="26" spans="1:29" x14ac:dyDescent="0.55000000000000004">
      <c r="A26" s="94"/>
      <c r="B26" s="94"/>
      <c r="C26" s="94"/>
      <c r="D26" s="94"/>
      <c r="E26" s="94"/>
      <c r="F26" s="94"/>
      <c r="G26" s="94"/>
      <c r="H26" s="94"/>
      <c r="I26" s="94"/>
      <c r="J26" s="94"/>
      <c r="K26" s="94"/>
      <c r="L26" s="94"/>
      <c r="M26" s="94"/>
      <c r="N26" s="94"/>
      <c r="O26" s="94"/>
      <c r="P26" s="94"/>
      <c r="Q26" s="94"/>
      <c r="R26" s="94"/>
      <c r="S26" s="94"/>
      <c r="T26" s="94"/>
      <c r="U26" s="94"/>
      <c r="V26" s="94"/>
      <c r="W26" s="94" t="s">
        <v>86</v>
      </c>
      <c r="X26" s="94" t="s">
        <v>86</v>
      </c>
      <c r="Y26" s="94" t="s">
        <v>86</v>
      </c>
      <c r="Z26" s="94"/>
    </row>
    <row r="27" spans="1:29" x14ac:dyDescent="0.55000000000000004">
      <c r="D27" s="168" t="s">
        <v>127</v>
      </c>
      <c r="E27" s="169"/>
      <c r="F27" s="136"/>
      <c r="I27" s="168" t="s">
        <v>128</v>
      </c>
      <c r="J27" s="169"/>
      <c r="M27" s="136"/>
      <c r="O27" s="144" t="s">
        <v>129</v>
      </c>
      <c r="P27" s="137"/>
      <c r="R27" s="136"/>
      <c r="S27" s="136"/>
      <c r="W27" s="94" t="s">
        <v>86</v>
      </c>
      <c r="X27" t="s">
        <v>86</v>
      </c>
    </row>
    <row r="28" spans="1:29" x14ac:dyDescent="0.55000000000000004">
      <c r="W28" t="s">
        <v>86</v>
      </c>
    </row>
    <row r="29" spans="1:29" ht="14.7" thickBot="1" x14ac:dyDescent="0.6">
      <c r="A29" s="103" t="s">
        <v>86</v>
      </c>
      <c r="D29" s="105" t="s">
        <v>168</v>
      </c>
      <c r="E29" s="105"/>
      <c r="I29" s="105" t="s">
        <v>170</v>
      </c>
      <c r="J29" s="104"/>
      <c r="O29" s="105" t="s">
        <v>169</v>
      </c>
      <c r="P29" s="104"/>
      <c r="R29" s="104"/>
      <c r="Z29" t="s">
        <v>86</v>
      </c>
    </row>
    <row r="30" spans="1:29" ht="28.8" x14ac:dyDescent="0.55000000000000004">
      <c r="A30" s="103" t="s">
        <v>86</v>
      </c>
      <c r="B30" s="103" t="s">
        <v>86</v>
      </c>
      <c r="D30" s="106" t="s">
        <v>130</v>
      </c>
      <c r="E30" s="143">
        <f>114500+32059.25</f>
        <v>146559.25</v>
      </c>
      <c r="I30" s="132" t="s">
        <v>131</v>
      </c>
      <c r="J30" s="131" t="s">
        <v>132</v>
      </c>
      <c r="O30" s="145" t="s">
        <v>133</v>
      </c>
      <c r="P30" s="146" t="s">
        <v>132</v>
      </c>
      <c r="Z30" t="s">
        <v>86</v>
      </c>
    </row>
    <row r="31" spans="1:29" ht="27.75" customHeight="1" x14ac:dyDescent="0.55000000000000004">
      <c r="A31" s="103" t="s">
        <v>86</v>
      </c>
      <c r="B31" t="s">
        <v>86</v>
      </c>
      <c r="D31" s="107" t="s">
        <v>133</v>
      </c>
      <c r="E31" s="108" t="s">
        <v>132</v>
      </c>
      <c r="G31" s="94" t="s">
        <v>86</v>
      </c>
      <c r="I31" s="130"/>
      <c r="J31" s="129">
        <v>0</v>
      </c>
      <c r="O31" s="149" t="s">
        <v>171</v>
      </c>
      <c r="P31" s="150">
        <v>111316.5</v>
      </c>
      <c r="R31" s="117"/>
    </row>
    <row r="32" spans="1:29" ht="15.75" customHeight="1" x14ac:dyDescent="0.55000000000000004">
      <c r="D32" s="109" t="s">
        <v>134</v>
      </c>
      <c r="E32" s="142" t="s">
        <v>134</v>
      </c>
      <c r="I32" s="109"/>
      <c r="J32" s="129">
        <v>0</v>
      </c>
      <c r="O32" s="148" t="s">
        <v>172</v>
      </c>
      <c r="P32" s="147">
        <v>27000</v>
      </c>
      <c r="R32" s="118"/>
      <c r="Y32" t="s">
        <v>86</v>
      </c>
      <c r="Z32" t="s">
        <v>86</v>
      </c>
    </row>
    <row r="33" spans="2:26" ht="14.7" thickBot="1" x14ac:dyDescent="0.6">
      <c r="B33" t="s">
        <v>86</v>
      </c>
      <c r="D33" s="109" t="s">
        <v>135</v>
      </c>
      <c r="E33" s="110">
        <v>66000</v>
      </c>
      <c r="I33" s="133"/>
      <c r="J33" s="135"/>
      <c r="O33" s="133"/>
      <c r="P33" s="135"/>
      <c r="R33" s="118"/>
      <c r="Y33" t="s">
        <v>86</v>
      </c>
      <c r="Z33" t="s">
        <v>86</v>
      </c>
    </row>
    <row r="34" spans="2:26" ht="14.7" thickBot="1" x14ac:dyDescent="0.6">
      <c r="D34" s="112" t="s">
        <v>136</v>
      </c>
      <c r="E34" s="111">
        <f>SUM(E30:E33)</f>
        <v>212559.25</v>
      </c>
      <c r="I34" s="138" t="s">
        <v>137</v>
      </c>
      <c r="J34" s="134">
        <f>SUM(J30:J32)</f>
        <v>0</v>
      </c>
      <c r="O34" s="133" t="s">
        <v>137</v>
      </c>
      <c r="P34" s="134">
        <f>SUM(P30:P32)</f>
        <v>138316.5</v>
      </c>
      <c r="R34" s="117"/>
      <c r="Y34" t="s">
        <v>86</v>
      </c>
      <c r="Z34" t="s">
        <v>86</v>
      </c>
    </row>
    <row r="35" spans="2:26" x14ac:dyDescent="0.55000000000000004">
      <c r="Z35" t="s">
        <v>86</v>
      </c>
    </row>
    <row r="36" spans="2:26" x14ac:dyDescent="0.55000000000000004">
      <c r="Z36" t="s">
        <v>86</v>
      </c>
    </row>
    <row r="37" spans="2:26" x14ac:dyDescent="0.55000000000000004">
      <c r="D37" s="126" t="s">
        <v>173</v>
      </c>
      <c r="E37" s="127"/>
      <c r="F37" s="127"/>
      <c r="G37" s="127"/>
      <c r="H37" s="127"/>
      <c r="I37" s="127"/>
      <c r="J37" s="127"/>
      <c r="K37" s="127"/>
      <c r="L37" s="127"/>
    </row>
    <row r="39" spans="2:26" x14ac:dyDescent="0.55000000000000004">
      <c r="D39" s="2" t="s">
        <v>174</v>
      </c>
      <c r="G39" t="s">
        <v>86</v>
      </c>
      <c r="O39" t="s">
        <v>138</v>
      </c>
    </row>
    <row r="40" spans="2:26" x14ac:dyDescent="0.55000000000000004">
      <c r="D40" s="151"/>
      <c r="E40" s="2" t="s">
        <v>175</v>
      </c>
    </row>
    <row r="41" spans="2:26" x14ac:dyDescent="0.55000000000000004">
      <c r="N41" t="s">
        <v>86</v>
      </c>
      <c r="O41" t="s">
        <v>86</v>
      </c>
    </row>
    <row r="42" spans="2:26" x14ac:dyDescent="0.55000000000000004">
      <c r="O42" t="s">
        <v>86</v>
      </c>
    </row>
    <row r="43" spans="2:26" x14ac:dyDescent="0.55000000000000004">
      <c r="N43" t="s">
        <v>86</v>
      </c>
      <c r="O43" t="s">
        <v>86</v>
      </c>
      <c r="P43" t="s">
        <v>86</v>
      </c>
    </row>
  </sheetData>
  <mergeCells count="3">
    <mergeCell ref="F23:F24"/>
    <mergeCell ref="I27:J27"/>
    <mergeCell ref="D27:E27"/>
  </mergeCells>
  <pageMargins left="0.70866141732283472" right="0.70866141732283472" top="0.74803149606299213" bottom="0.74803149606299213" header="0.31496062992125984" footer="0.31496062992125984"/>
  <pageSetup orientation="landscape" r:id="rId1"/>
  <ignoredErrors>
    <ignoredError sqref="S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24895-60C0-8C40-83E8-32CCB9DBB9BE}">
  <dimension ref="A2:G35"/>
  <sheetViews>
    <sheetView zoomScale="210" zoomScaleNormal="210" workbookViewId="0">
      <selection activeCell="B1" sqref="B1"/>
    </sheetView>
  </sheetViews>
  <sheetFormatPr defaultColWidth="11.41796875" defaultRowHeight="14.4" x14ac:dyDescent="0.55000000000000004"/>
  <cols>
    <col min="1" max="1" width="38.26171875" customWidth="1"/>
    <col min="2" max="2" width="32.15625" customWidth="1"/>
    <col min="3" max="3" width="23.68359375" customWidth="1"/>
  </cols>
  <sheetData>
    <row r="2" spans="1:7" x14ac:dyDescent="0.55000000000000004">
      <c r="A2" s="170" t="s">
        <v>139</v>
      </c>
      <c r="B2" s="170"/>
      <c r="C2" s="4"/>
      <c r="D2" s="4"/>
      <c r="E2" s="4"/>
      <c r="F2" s="4"/>
    </row>
    <row r="3" spans="1:7" x14ac:dyDescent="0.55000000000000004">
      <c r="A3" s="76" t="s">
        <v>140</v>
      </c>
      <c r="B3" s="77">
        <v>720000</v>
      </c>
      <c r="C3" s="4"/>
      <c r="D3" s="4"/>
      <c r="E3" s="4"/>
      <c r="F3" s="4"/>
    </row>
    <row r="4" spans="1:7" x14ac:dyDescent="0.55000000000000004">
      <c r="A4" s="76" t="s">
        <v>141</v>
      </c>
      <c r="B4" s="77">
        <v>685000</v>
      </c>
      <c r="C4" s="4"/>
      <c r="D4" s="4"/>
      <c r="E4" s="4"/>
      <c r="F4" s="4"/>
    </row>
    <row r="5" spans="1:7" x14ac:dyDescent="0.55000000000000004">
      <c r="A5" s="76" t="s">
        <v>142</v>
      </c>
      <c r="B5" s="77">
        <v>1190000</v>
      </c>
      <c r="C5" s="4"/>
      <c r="D5" s="4"/>
      <c r="E5" s="4"/>
      <c r="F5" s="4"/>
    </row>
    <row r="6" spans="1:7" x14ac:dyDescent="0.55000000000000004">
      <c r="A6" s="82" t="s">
        <v>143</v>
      </c>
      <c r="B6" s="83">
        <f>SUM(B3:B5)</f>
        <v>2595000</v>
      </c>
      <c r="C6" s="4"/>
      <c r="D6" s="4"/>
      <c r="E6" s="4"/>
      <c r="F6" s="4"/>
    </row>
    <row r="7" spans="1:7" x14ac:dyDescent="0.55000000000000004">
      <c r="A7" s="76" t="s">
        <v>144</v>
      </c>
      <c r="B7" s="77">
        <v>150970</v>
      </c>
      <c r="C7" s="4"/>
      <c r="D7" s="4"/>
      <c r="E7" s="4"/>
      <c r="F7" s="4"/>
    </row>
    <row r="8" spans="1:7" x14ac:dyDescent="0.55000000000000004">
      <c r="A8" s="76" t="s">
        <v>145</v>
      </c>
      <c r="B8" s="77">
        <v>0</v>
      </c>
      <c r="C8" s="4"/>
      <c r="D8" s="4"/>
      <c r="E8" s="4"/>
      <c r="F8" s="4"/>
    </row>
    <row r="9" spans="1:7" x14ac:dyDescent="0.55000000000000004">
      <c r="A9" s="76" t="s">
        <v>146</v>
      </c>
      <c r="B9" s="77">
        <v>192218</v>
      </c>
      <c r="C9" s="4"/>
      <c r="D9" s="4"/>
      <c r="E9" s="4"/>
      <c r="F9" s="4"/>
    </row>
    <row r="10" spans="1:7" x14ac:dyDescent="0.55000000000000004">
      <c r="A10" s="82" t="s">
        <v>147</v>
      </c>
      <c r="B10" s="83">
        <f>SUM(B6:B9)</f>
        <v>2938188</v>
      </c>
      <c r="C10" s="4"/>
      <c r="D10" s="4"/>
      <c r="E10" s="4"/>
      <c r="F10" s="4"/>
    </row>
    <row r="11" spans="1:7" x14ac:dyDescent="0.55000000000000004">
      <c r="A11" s="76" t="s">
        <v>148</v>
      </c>
      <c r="B11" s="78">
        <v>205673</v>
      </c>
      <c r="C11" s="4"/>
      <c r="D11" s="4"/>
      <c r="E11" s="4"/>
      <c r="F11" s="4"/>
    </row>
    <row r="12" spans="1:7" x14ac:dyDescent="0.55000000000000004">
      <c r="A12" s="82" t="s">
        <v>149</v>
      </c>
      <c r="B12" s="83">
        <f>SUM(B10:B11)</f>
        <v>3143861</v>
      </c>
      <c r="C12" s="4"/>
      <c r="D12" s="4"/>
      <c r="E12" s="4"/>
      <c r="F12" s="4"/>
    </row>
    <row r="14" spans="1:7" x14ac:dyDescent="0.55000000000000004">
      <c r="A14" s="171" t="s">
        <v>150</v>
      </c>
      <c r="B14" s="171"/>
    </row>
    <row r="15" spans="1:7" x14ac:dyDescent="0.55000000000000004">
      <c r="A15" s="85" t="s">
        <v>151</v>
      </c>
      <c r="B15" s="86" t="s">
        <v>152</v>
      </c>
    </row>
    <row r="16" spans="1:7" x14ac:dyDescent="0.55000000000000004">
      <c r="A16" s="76" t="s">
        <v>153</v>
      </c>
      <c r="B16" s="77">
        <v>1670800</v>
      </c>
      <c r="C16" s="4"/>
      <c r="D16" s="4"/>
      <c r="E16" s="4"/>
      <c r="F16" s="4"/>
      <c r="G16" s="4"/>
    </row>
    <row r="17" spans="1:7" x14ac:dyDescent="0.55000000000000004">
      <c r="A17" s="76" t="s">
        <v>154</v>
      </c>
      <c r="B17" s="77">
        <v>543126</v>
      </c>
      <c r="C17" s="4"/>
      <c r="D17" s="4"/>
      <c r="E17" s="4"/>
      <c r="F17" s="4"/>
      <c r="G17" s="4"/>
    </row>
    <row r="18" spans="1:7" x14ac:dyDescent="0.55000000000000004">
      <c r="A18" s="76" t="s">
        <v>122</v>
      </c>
      <c r="B18" s="77">
        <v>724262</v>
      </c>
      <c r="C18" s="4"/>
      <c r="D18" s="4"/>
      <c r="E18" s="4"/>
      <c r="F18" s="4"/>
      <c r="G18" s="4"/>
    </row>
    <row r="19" spans="1:7" x14ac:dyDescent="0.55000000000000004">
      <c r="A19" s="82" t="s">
        <v>155</v>
      </c>
      <c r="B19" s="84">
        <f>SUM(B16:B18)</f>
        <v>2938188</v>
      </c>
      <c r="C19" s="4"/>
      <c r="D19" s="4"/>
      <c r="E19" s="4"/>
      <c r="F19" s="4"/>
      <c r="G19" s="4"/>
    </row>
    <row r="20" spans="1:7" x14ac:dyDescent="0.55000000000000004">
      <c r="A20" s="76" t="s">
        <v>156</v>
      </c>
      <c r="B20" s="77">
        <v>116956</v>
      </c>
      <c r="C20" s="4"/>
      <c r="D20" s="4"/>
      <c r="E20" s="4"/>
      <c r="F20" s="4"/>
      <c r="G20" s="4"/>
    </row>
    <row r="21" spans="1:7" x14ac:dyDescent="0.55000000000000004">
      <c r="A21" s="76" t="s">
        <v>157</v>
      </c>
      <c r="B21" s="77">
        <v>38019</v>
      </c>
      <c r="C21" s="4"/>
      <c r="D21" s="4"/>
      <c r="E21" s="4"/>
      <c r="F21" s="4"/>
      <c r="G21" s="4"/>
    </row>
    <row r="22" spans="1:7" x14ac:dyDescent="0.55000000000000004">
      <c r="A22" s="76" t="s">
        <v>158</v>
      </c>
      <c r="B22" s="77">
        <v>50698</v>
      </c>
      <c r="C22" s="4"/>
      <c r="D22" s="4"/>
      <c r="E22" s="4"/>
      <c r="F22" s="4"/>
      <c r="G22" s="4"/>
    </row>
    <row r="23" spans="1:7" x14ac:dyDescent="0.55000000000000004">
      <c r="A23" s="82" t="s">
        <v>159</v>
      </c>
      <c r="B23" s="84">
        <f>SUM(B20:B22)</f>
        <v>205673</v>
      </c>
      <c r="C23" s="4"/>
      <c r="D23" s="4"/>
      <c r="E23" s="4"/>
      <c r="F23" s="4"/>
      <c r="G23" s="4"/>
    </row>
    <row r="24" spans="1:7" x14ac:dyDescent="0.55000000000000004">
      <c r="A24" s="76" t="s">
        <v>160</v>
      </c>
      <c r="B24" s="77">
        <f>B16+B20</f>
        <v>1787756</v>
      </c>
      <c r="C24" s="90"/>
      <c r="D24" s="4"/>
      <c r="E24" s="4"/>
      <c r="F24" s="4"/>
      <c r="G24" s="4"/>
    </row>
    <row r="25" spans="1:7" x14ac:dyDescent="0.55000000000000004">
      <c r="A25" s="76" t="s">
        <v>161</v>
      </c>
      <c r="B25" s="77">
        <f>B17+B21</f>
        <v>581145</v>
      </c>
      <c r="C25" s="90"/>
      <c r="D25" s="4"/>
      <c r="E25" s="4"/>
      <c r="F25" s="4"/>
      <c r="G25" s="4"/>
    </row>
    <row r="26" spans="1:7" x14ac:dyDescent="0.55000000000000004">
      <c r="A26" s="76" t="s">
        <v>162</v>
      </c>
      <c r="B26" s="77">
        <f>B18+B22</f>
        <v>774960</v>
      </c>
      <c r="C26" s="4"/>
      <c r="D26" s="4"/>
      <c r="E26" s="4"/>
      <c r="F26" s="4"/>
      <c r="G26" s="4"/>
    </row>
    <row r="27" spans="1:7" x14ac:dyDescent="0.55000000000000004">
      <c r="A27" s="82" t="s">
        <v>163</v>
      </c>
      <c r="B27" s="84">
        <f>SUM(B24,B25,B26)</f>
        <v>3143861</v>
      </c>
      <c r="C27" s="79"/>
      <c r="D27" s="4"/>
      <c r="E27" s="4"/>
      <c r="F27" s="4"/>
      <c r="G27" s="4"/>
    </row>
    <row r="29" spans="1:7" x14ac:dyDescent="0.55000000000000004">
      <c r="A29" s="172" t="s">
        <v>164</v>
      </c>
      <c r="B29" s="172"/>
    </row>
    <row r="30" spans="1:7" x14ac:dyDescent="0.55000000000000004">
      <c r="A30" s="87" t="s">
        <v>165</v>
      </c>
      <c r="B30" s="87" t="s">
        <v>166</v>
      </c>
      <c r="C30" s="87" t="s">
        <v>167</v>
      </c>
      <c r="D30" s="4"/>
      <c r="E30" s="4"/>
      <c r="F30" s="4"/>
    </row>
    <row r="31" spans="1:7" x14ac:dyDescent="0.55000000000000004">
      <c r="A31" s="77">
        <v>720000</v>
      </c>
      <c r="B31" s="77">
        <v>65000</v>
      </c>
      <c r="C31" s="80">
        <f>B31/A31</f>
        <v>9.0277777777777776E-2</v>
      </c>
      <c r="D31" s="4"/>
      <c r="E31" s="4"/>
      <c r="F31" s="4"/>
    </row>
    <row r="32" spans="1:7" x14ac:dyDescent="0.55000000000000004">
      <c r="A32" s="77">
        <v>685000</v>
      </c>
      <c r="B32" s="77">
        <v>169000</v>
      </c>
      <c r="C32" s="80">
        <f t="shared" ref="C32:C34" si="0">B32/A32</f>
        <v>0.24671532846715327</v>
      </c>
      <c r="D32" s="4"/>
      <c r="E32" s="4"/>
      <c r="F32" s="4"/>
    </row>
    <row r="33" spans="1:6" x14ac:dyDescent="0.55000000000000004">
      <c r="A33" s="77">
        <v>1190000</v>
      </c>
      <c r="B33" s="77">
        <v>552000</v>
      </c>
      <c r="C33" s="80">
        <f t="shared" si="0"/>
        <v>0.46386554621848741</v>
      </c>
      <c r="D33" s="4"/>
      <c r="E33" s="4"/>
      <c r="F33" s="4"/>
    </row>
    <row r="34" spans="1:6" x14ac:dyDescent="0.55000000000000004">
      <c r="A34" s="78">
        <f>SUM(A31:A33)</f>
        <v>2595000</v>
      </c>
      <c r="B34" s="78">
        <f>SUM(B31:B33)</f>
        <v>786000</v>
      </c>
      <c r="C34" s="81">
        <f t="shared" si="0"/>
        <v>0.30289017341040464</v>
      </c>
      <c r="D34" s="4"/>
      <c r="E34" s="4"/>
      <c r="F34" s="4"/>
    </row>
    <row r="35" spans="1:6" x14ac:dyDescent="0.55000000000000004">
      <c r="D35" s="4"/>
      <c r="E35" s="4"/>
      <c r="F35" s="4"/>
    </row>
  </sheetData>
  <mergeCells count="3">
    <mergeCell ref="A2:B2"/>
    <mergeCell ref="A14:B14"/>
    <mergeCell ref="A29:B2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A29FEC7855404E8EA01A8972C44AFD" ma:contentTypeVersion="13" ma:contentTypeDescription="Create a new document." ma:contentTypeScope="" ma:versionID="b770236619cfd6cad25ccb9c75e00f53">
  <xsd:schema xmlns:xsd="http://www.w3.org/2001/XMLSchema" xmlns:xs="http://www.w3.org/2001/XMLSchema" xmlns:p="http://schemas.microsoft.com/office/2006/metadata/properties" xmlns:ns3="8c6d3ca7-2d66-4ea4-8abf-fbd015073eaf" xmlns:ns4="00c47382-c5b0-4086-82d9-e69e6dfae392" targetNamespace="http://schemas.microsoft.com/office/2006/metadata/properties" ma:root="true" ma:fieldsID="8165652c86e241e4c7653a9919c16b1b" ns3:_="" ns4:_="">
    <xsd:import namespace="8c6d3ca7-2d66-4ea4-8abf-fbd015073eaf"/>
    <xsd:import namespace="00c47382-c5b0-4086-82d9-e69e6dfae39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6d3ca7-2d66-4ea4-8abf-fbd015073ea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c47382-c5b0-4086-82d9-e69e6dfae39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5B3452-D520-40FC-B076-5C918BA7D38D}">
  <ds:schemaRefs>
    <ds:schemaRef ds:uri="8c6d3ca7-2d66-4ea4-8abf-fbd015073eaf"/>
    <ds:schemaRef ds:uri="00c47382-c5b0-4086-82d9-e69e6dfae392"/>
    <ds:schemaRef ds:uri="http://purl.org/dc/dcmitype/"/>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E6BD54C6-4B3A-4D14-A4F6-65A55101D05C}">
  <ds:schemaRefs>
    <ds:schemaRef ds:uri="http://schemas.microsoft.com/sharepoint/v3/contenttype/forms"/>
  </ds:schemaRefs>
</ds:datastoreItem>
</file>

<file path=customXml/itemProps3.xml><?xml version="1.0" encoding="utf-8"?>
<ds:datastoreItem xmlns:ds="http://schemas.openxmlformats.org/officeDocument/2006/customXml" ds:itemID="{37C0F819-61C6-4888-BD9E-88C925628A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6d3ca7-2d66-4ea4-8abf-fbd015073eaf"/>
    <ds:schemaRef ds:uri="00c47382-c5b0-4086-82d9-e69e6dfae3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Annex D-PBF Budget</vt:lpstr>
      <vt:lpstr>Table 2-Project Budget - UN Cat</vt:lpstr>
      <vt:lpstr>Summary</vt:lpstr>
      <vt:lpstr>'Annex D-PBF Budget'!Print_Area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Jean-Paul Kimbulu</cp:lastModifiedBy>
  <cp:revision/>
  <dcterms:created xsi:type="dcterms:W3CDTF">2017-11-15T21:17:43Z</dcterms:created>
  <dcterms:modified xsi:type="dcterms:W3CDTF">2020-10-12T05:52:58Z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0x01010061A29FEC7855404E8EA01A8972C44AFD</vt:lpwstr>
  </property>
</Properties>
</file>