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betty.jean\OneDrive - United Nations Development Programme\MyComputer\Documents\Donnee BJean\BJean\Projet PBF\2020\"/>
    </mc:Choice>
  </mc:AlternateContent>
  <xr:revisionPtr revIDLastSave="2" documentId="8_{062D49CE-66A0-4350-A293-88600081F9CA}" xr6:coauthVersionLast="44" xr6:coauthVersionMax="44" xr10:uidLastSave="{A1D0CCF2-E5A3-4E02-BF8E-86D9C9F7453F}"/>
  <bookViews>
    <workbookView xWindow="-120" yWindow="-120" windowWidth="20730" windowHeight="11160" firstSheet="1" activeTab="1" xr2:uid="{00000000-000D-0000-FFFF-FFFF00000000}"/>
  </bookViews>
  <sheets>
    <sheet name="Rapport Nov 19 (2)" sheetId="6" state="hidden" r:id="rId1"/>
    <sheet name="Rapport financier" sheetId="1" r:id="rId2"/>
    <sheet name="Sheet 2" sheetId="3" r:id="rId3"/>
    <sheet name="Sheet2"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0" i="1" l="1"/>
  <c r="I21" i="1"/>
  <c r="G21" i="1"/>
  <c r="E21" i="1"/>
  <c r="I49" i="1"/>
  <c r="I43" i="1"/>
  <c r="I47" i="1"/>
  <c r="I48" i="1" l="1"/>
  <c r="G43" i="1" l="1"/>
  <c r="G47" i="1" s="1"/>
  <c r="G49" i="1" s="1"/>
  <c r="D50" i="1" l="1"/>
  <c r="J49" i="1"/>
  <c r="J50" i="1" s="1"/>
  <c r="J43" i="1"/>
  <c r="K15" i="1"/>
  <c r="K45" i="1"/>
  <c r="E43" i="1"/>
  <c r="E47" i="1" s="1"/>
  <c r="D52" i="6"/>
  <c r="J45" i="6"/>
  <c r="J44" i="6"/>
  <c r="J43" i="6"/>
  <c r="I42" i="6"/>
  <c r="H42" i="6"/>
  <c r="G42" i="6"/>
  <c r="F42" i="6"/>
  <c r="F46" i="6" s="1"/>
  <c r="F47" i="6" s="1"/>
  <c r="F48" i="6" s="1"/>
  <c r="F53" i="6" s="1"/>
  <c r="E42" i="6"/>
  <c r="E46" i="6" s="1"/>
  <c r="E48" i="6" s="1"/>
  <c r="E53" i="6" s="1"/>
  <c r="D42" i="6"/>
  <c r="C42" i="6"/>
  <c r="J40" i="6"/>
  <c r="J39" i="6"/>
  <c r="J38" i="6"/>
  <c r="J37" i="6"/>
  <c r="J34" i="6"/>
  <c r="J33" i="6"/>
  <c r="J31" i="6"/>
  <c r="J30" i="6"/>
  <c r="J29" i="6"/>
  <c r="J28" i="6"/>
  <c r="J27" i="6"/>
  <c r="J25" i="6"/>
  <c r="J24" i="6"/>
  <c r="J23" i="6"/>
  <c r="J22" i="6"/>
  <c r="I20" i="6"/>
  <c r="I48" i="6" s="1"/>
  <c r="I53" i="6" s="1"/>
  <c r="H20" i="6"/>
  <c r="H46" i="6" s="1"/>
  <c r="H47" i="6" s="1"/>
  <c r="H48" i="6" s="1"/>
  <c r="H53" i="6" s="1"/>
  <c r="G20" i="6"/>
  <c r="F20" i="6"/>
  <c r="C20" i="6"/>
  <c r="D19" i="6"/>
  <c r="D20" i="6" s="1"/>
  <c r="D46" i="6" s="1"/>
  <c r="J18" i="6"/>
  <c r="J17" i="6"/>
  <c r="J16" i="6"/>
  <c r="J14" i="6"/>
  <c r="J13" i="6"/>
  <c r="J12" i="6"/>
  <c r="J11" i="6"/>
  <c r="J10" i="6"/>
  <c r="K46" i="1"/>
  <c r="E48" i="1" l="1"/>
  <c r="E49" i="1" s="1"/>
  <c r="J42" i="6"/>
  <c r="G46" i="6"/>
  <c r="G47" i="6" s="1"/>
  <c r="G48" i="6" s="1"/>
  <c r="G53" i="6" s="1"/>
  <c r="C46" i="6"/>
  <c r="C47" i="6" s="1"/>
  <c r="C48" i="6" s="1"/>
  <c r="C53" i="6" s="1"/>
  <c r="D47" i="6"/>
  <c r="D48" i="6" s="1"/>
  <c r="D53" i="6" s="1"/>
  <c r="J53" i="6" s="1"/>
  <c r="J46" i="6"/>
  <c r="J19" i="6"/>
  <c r="J20" i="6" s="1"/>
  <c r="J47" i="6"/>
  <c r="J48" i="6" s="1"/>
  <c r="D20" i="1"/>
  <c r="D43" i="1" l="1"/>
  <c r="D21" i="1"/>
  <c r="D47" i="1" l="1"/>
  <c r="D48" i="1" l="1"/>
  <c r="D49" i="1"/>
  <c r="K11" i="1"/>
  <c r="F43" i="1"/>
  <c r="F47" i="1" s="1"/>
  <c r="F49" i="1" s="1"/>
  <c r="F50" i="1" s="1"/>
  <c r="E14" i="3"/>
  <c r="E16" i="3" s="1"/>
  <c r="D14" i="3"/>
  <c r="D16" i="3"/>
  <c r="G13" i="3"/>
  <c r="I13" i="3" s="1"/>
  <c r="F13" i="3"/>
  <c r="H13" i="3" s="1"/>
  <c r="G12" i="3"/>
  <c r="I12" i="3" s="1"/>
  <c r="F12" i="3"/>
  <c r="H12" i="3" s="1"/>
  <c r="G11" i="3"/>
  <c r="I11" i="3" s="1"/>
  <c r="F11" i="3"/>
  <c r="H11" i="3" s="1"/>
  <c r="G10" i="3"/>
  <c r="F10" i="3"/>
  <c r="G9" i="3"/>
  <c r="I9" i="3"/>
  <c r="F9" i="3"/>
  <c r="H9" i="3"/>
  <c r="G8" i="3"/>
  <c r="I8" i="3"/>
  <c r="F8" i="3"/>
  <c r="G7" i="3"/>
  <c r="I7" i="3" s="1"/>
  <c r="J7" i="3" s="1"/>
  <c r="F7" i="3"/>
  <c r="H7" i="3"/>
  <c r="B11" i="3"/>
  <c r="B10" i="3"/>
  <c r="B14" i="3"/>
  <c r="C10" i="3"/>
  <c r="C14" i="3"/>
  <c r="C15" i="3" s="1"/>
  <c r="K16" i="3"/>
  <c r="J13" i="3"/>
  <c r="L13" i="3" s="1"/>
  <c r="L12" i="3"/>
  <c r="J11" i="3"/>
  <c r="L11" i="3"/>
  <c r="J10" i="3"/>
  <c r="L10" i="3"/>
  <c r="J9" i="3"/>
  <c r="J21" i="1"/>
  <c r="K20" i="1"/>
  <c r="C21" i="1"/>
  <c r="H43" i="1"/>
  <c r="K39" i="1"/>
  <c r="K38" i="1"/>
  <c r="K29" i="1"/>
  <c r="K28" i="1"/>
  <c r="H21" i="1"/>
  <c r="K18" i="1"/>
  <c r="C43" i="1"/>
  <c r="K14" i="1"/>
  <c r="K13" i="1"/>
  <c r="K44" i="1"/>
  <c r="K41" i="1"/>
  <c r="K40" i="1"/>
  <c r="K35" i="1"/>
  <c r="K32" i="1"/>
  <c r="K31" i="1"/>
  <c r="K30" i="1"/>
  <c r="K26" i="1"/>
  <c r="K25" i="1"/>
  <c r="K24" i="1"/>
  <c r="K23" i="1"/>
  <c r="K12" i="1"/>
  <c r="K17" i="1"/>
  <c r="K19" i="1"/>
  <c r="B15" i="3"/>
  <c r="B16" i="3"/>
  <c r="K34" i="1"/>
  <c r="H10" i="3"/>
  <c r="F14" i="3" l="1"/>
  <c r="K21" i="1"/>
  <c r="K47" i="1"/>
  <c r="H47" i="1"/>
  <c r="H48" i="1" s="1"/>
  <c r="I50" i="1"/>
  <c r="I10" i="3"/>
  <c r="I14" i="3" s="1"/>
  <c r="G14" i="3"/>
  <c r="G15" i="3" s="1"/>
  <c r="C47" i="1"/>
  <c r="K43" i="1"/>
  <c r="F15" i="3"/>
  <c r="F16" i="3" s="1"/>
  <c r="I15" i="3"/>
  <c r="H8" i="3"/>
  <c r="C16" i="3"/>
  <c r="K48" i="1" l="1"/>
  <c r="K49" i="1"/>
  <c r="I16" i="3"/>
  <c r="G16" i="3"/>
  <c r="H49" i="1"/>
  <c r="H50" i="1" s="1"/>
  <c r="C48" i="1"/>
  <c r="C49" i="1"/>
  <c r="C50" i="1" s="1"/>
  <c r="G50" i="1"/>
  <c r="H14" i="3"/>
  <c r="J8" i="3"/>
  <c r="H15" i="3"/>
  <c r="J15" i="3" s="1"/>
  <c r="L15" i="3" s="1"/>
  <c r="L8" i="3" l="1"/>
  <c r="J14" i="3"/>
  <c r="J16" i="3" s="1"/>
  <c r="H16" i="3"/>
  <c r="K7" i="3" l="1"/>
</calcChain>
</file>

<file path=xl/sharedStrings.xml><?xml version="1.0" encoding="utf-8"?>
<sst xmlns="http://schemas.openxmlformats.org/spreadsheetml/2006/main" count="223" uniqueCount="128">
  <si>
    <t xml:space="preserve"> </t>
  </si>
  <si>
    <t>CATEGORIES</t>
  </si>
  <si>
    <t>TOTAL</t>
  </si>
  <si>
    <t>Tranche 1 (70%)</t>
  </si>
  <si>
    <t>Tranche 2 (30%)</t>
  </si>
  <si>
    <t>Total tranche 1</t>
  </si>
  <si>
    <t>Total tranche 2</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</si>
  <si>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</si>
  <si>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</si>
  <si>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</si>
  <si>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</si>
  <si>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</si>
  <si>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</si>
  <si>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 xml:space="preserve">Resultat 2: </t>
  </si>
  <si>
    <t>Produit 1.1:</t>
  </si>
  <si>
    <t>Produit 1.2:</t>
  </si>
  <si>
    <t>Produit 2.1:</t>
  </si>
  <si>
    <t>Produit 2.2:</t>
  </si>
  <si>
    <t>Produit 2.3:</t>
  </si>
  <si>
    <t>Activite 1.1.1:</t>
  </si>
  <si>
    <t>Activite 1.1.2:</t>
  </si>
  <si>
    <t>Activite 1.1.3:</t>
  </si>
  <si>
    <t>Activite 1.2.1:</t>
  </si>
  <si>
    <t>Activite 1.2.2:</t>
  </si>
  <si>
    <t>Activite 1.2.3:</t>
  </si>
  <si>
    <t>Activite 2.1.1:</t>
  </si>
  <si>
    <t>Activite 2.1.2:</t>
  </si>
  <si>
    <t>Activite 2.1.3:</t>
  </si>
  <si>
    <t>Activite 2.2.1:</t>
  </si>
  <si>
    <t>Activite 2.2.2:</t>
  </si>
  <si>
    <t>Activite 2.2.3:</t>
  </si>
  <si>
    <t>Activite 2.3.1:</t>
  </si>
  <si>
    <t>Activite 2.3.2:</t>
  </si>
  <si>
    <t>Cout de personnel du projet si pas inclus dans les activites si-dessus</t>
  </si>
  <si>
    <t>Couts operationnels si pas inclus dans les activites si-dessus</t>
  </si>
  <si>
    <t>Budget S&amp;E du projet</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</si>
  <si>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</si>
  <si>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</si>
  <si>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</si>
  <si>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</si>
  <si>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</si>
  <si>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</si>
  <si>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</si>
  <si>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</si>
  <si>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</si>
  <si>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</si>
  <si>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</si>
  <si>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</si>
  <si>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</si>
  <si>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</si>
  <si>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</si>
  <si>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</si>
  <si>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</si>
  <si>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 xml:space="preserve">Resultat 1: 500 jeunes femmes et jeunes hommes entre 15 et 25 ans disposent des compétences favorisant leur participation active et équitable aux affaires publiques de la commune de Jérémie en synergie avec les autorités et les acteurs locaux </t>
  </si>
  <si>
    <t>Les compétences en leadership et la confiance de 200 jeunes (100 femmes et 100 hommes) sont renforcées pour faciliter leur participation et leur influence aux affaires publiques de la ville.</t>
  </si>
  <si>
    <t>Activite 1.1.4:</t>
  </si>
  <si>
    <t>Activite 1.1.5:</t>
  </si>
  <si>
    <t>Appui aux 2.500 jeunes sans documentation dans la restitution de leurs documents d’identité (actes de naissance et extraits des archives)</t>
  </si>
  <si>
    <t xml:space="preserve">Les jeunes femmes et les jeunes hommes, ainsi que d’autres acteurs communautaires de la ville de Jérémie, sont sensibilisés et disposent des capacités pour être des agents catalyseurs de la réduction des violences basées sur le genre et le changement du comportement en faveur des nouvelles masculinités </t>
  </si>
  <si>
    <t>100 jeunes femmes et jeunes hommes interviennent activement et de façon équitable dans la résolution de conflits de leurs communautés</t>
  </si>
  <si>
    <t xml:space="preserve">Les principales institutions politiques, sociales et communautaires de Jérémie sont sensibilisées sur la culture de la paix, la communication non violente, et la résolution pacifique des conflits </t>
  </si>
  <si>
    <t>Sensibilisation sur le rôle des jeunes dans la promotion de la paix, l’égalité de genre, les droits à la documentation et à la migration régulière, l’Agenda durable 2030 (en particulier l’ODD 16) et la Résolution 2250 </t>
  </si>
  <si>
    <t xml:space="preserve">Organisation d’activités culturelles et sportives en concertation avec les associations de jeunes pour la promotion de la paix et les ODD (théâtre de l’opprimé, boxe ou capoeira pour la paix, concours d’illustration, récit et/ou photographie…). </t>
  </si>
  <si>
    <t>Produit 2.4:</t>
  </si>
  <si>
    <t>L’expérience pilote de Jérémie alimente une réflexion au niveau national sur l’importance des jeunes comme agents de développement et comme constructeurs de paix</t>
  </si>
  <si>
    <t>Activite 2.2.4:</t>
  </si>
  <si>
    <t>Activite 2.2.5:</t>
  </si>
  <si>
    <t xml:space="preserve">Renforcement des capacités organisationnelles et de réseautage des groupements de jeunes et appui dans la réalisation de micro-projets sur la culture de la non-violence, l’unité nationale et le soutien de la paix, en lien avec les ODD 5, 11, 16 </t>
  </si>
  <si>
    <t>Organisation de concours de laboratoire d'innovation sociale</t>
  </si>
  <si>
    <t xml:space="preserve">Mise en place de mécanismes communautaires de prévention de la violence et de gestion des conflits dans les quartiers cibles, avec une participation active et équitable des jeunes femmes et des jeunes hommes </t>
  </si>
  <si>
    <t xml:space="preserve">Organisation de dialogues multi acteurs réguliers (associations de jeunes et de femmes, organisations communautaires de base, police, leaders religieux, secteur privé, autorités locales…) sur les quartiers cibles afin d’atteindre une compréhension partagée des défis de sécurité et du rôle des jeunes dans la réduction de la violence communautaire </t>
  </si>
  <si>
    <t xml:space="preserve"> Organisation de forums communautaires dans les quartiers cibles pour analyser de façon participative avec les jeunes les causes de la violence, y compris la violence basée sur le genre,  et les possibles solutions ; </t>
  </si>
  <si>
    <t>Promotion du dialogue intergénérationnel sur l’égalité de genre et consolidation de la paix, les masculinités, la VBG et le leadership (débats radio, atelier de mentorat et partage d’expériences entre les organisations d’hommes et de garçons).</t>
  </si>
  <si>
    <t>Formation sur les droits des femmes, les masculinités et les Violences Basées sur le Genre au bénéfice des groupes cibles :  autorités locales les enseignants, directeurs de lycées et universités; les lycéens et associations de parents ; les organisations de jeunes, les organisations de femmes, les organisations de jeunes hommes et les leaders religieux.</t>
  </si>
  <si>
    <t>Réalisation d'une cartographie des endroits non-sécuritaires pour les filles et femmes ou à haut risque de Violence Sexuelle ou Basée sur le Genre et mise en place d’une stratégie des acteurs de la justice et de la sécurité visant la protection des femmes et des filles dans les espaces publics.</t>
  </si>
  <si>
    <t>Activite 1.2.4:</t>
  </si>
  <si>
    <t xml:space="preserve">Organisation d’une journée de l’entreprenariat et de l’innovation avec une foire de l'emploi en partenariat avec le secteur privé du département pour promouvoir l’employabilité des jeunes </t>
  </si>
  <si>
    <t>Accompagnement technique à la Mairie pour la mise en place et l’animation d’un cadre de dialogue ou de concertation avec les association de jeunes, favorisant la participation des jeunes aux affaires publiques de la ville</t>
  </si>
  <si>
    <t xml:space="preserve"> Identification (mapping) des associations de jeunes de la ville de Jérémie et création d’une base de donnes gérée et régulièrement mise à jour par la Mairie ;</t>
  </si>
  <si>
    <t>Construction et équipement d’un centre de socialisation communautaire pour les jeunes femmes et les jeunes hommes, priorisant les matériaux locaux, tenant en compte les risques sociaux et environnementaux et impliquant les jeunes dans sa construction, dans sa gestion et dans son animation </t>
  </si>
  <si>
    <t>Ateliers de réflexion et de dialogue entre les associations des jeunes et les partis politiques, et les élus sénateurs et parlementaires du département de la Grand’ Anse sur l’importance d’incorporer les préoccupations des jeunes dans leurs programmes et campagnes électorales</t>
  </si>
  <si>
    <t>Université d’été en participation citoyenne, leadership et égalité de genre au bénéfice de 200 jeunes (100 femmes et 100 hommes).</t>
  </si>
  <si>
    <t>Mise en place d’une attestation universitaire en participation citoyenne, leadership et égalité de genre pour les jeunes en partenariat avec l’Université de la Grand’Anse au bénéfice de 100 jeunes (50 femmes et 50 hommes)</t>
  </si>
  <si>
    <t>Activite 2.4.1:</t>
  </si>
  <si>
    <t>Activite 2.4.2:</t>
  </si>
  <si>
    <t>Mise en réseau des jeunes femmes et jeunes hommes de Jérémie avec les initiatives nationales de jeunes parlementaires, jeunes sénateurs et gouvernement jeunesse et échange d’expériences;</t>
  </si>
  <si>
    <t>Organisation d’un atelier national de dialogue, en partenariat avec le Ministère de la Jeunesse et des Sports, sur les bénéfices d’inclure les jeunes dans les efforts pour la cohésion sociale à partir du cas pratique de Jérémie</t>
  </si>
  <si>
    <t>Activite 2.4.3:</t>
  </si>
  <si>
    <t xml:space="preserve">Élaborer et publier un inventaire recensant les organisations de jeunesse en Haïti organisé par département et leurs membres ventilés par sexe ; </t>
  </si>
  <si>
    <t>Activite 2.4.4:</t>
  </si>
  <si>
    <t>Conception et mise en œuvre d’une stratégie de plaidoyer et de sensibilisation sur le leadership de jeunes femmes dans les organisations et les réseaux de jeunes et la promotion de nouvelles masculinités.</t>
  </si>
  <si>
    <t>Niveau de depense total/ engagement actuel en USD (a remplir au moment des rapports de projet)</t>
  </si>
  <si>
    <t>PNUD Budget</t>
  </si>
  <si>
    <t xml:space="preserve">ONU Femmes Budget </t>
  </si>
  <si>
    <t>OIM Budget</t>
  </si>
  <si>
    <t>un premiere atelier de lancement a été organisé avec tous les partenaires</t>
  </si>
  <si>
    <t>2 visites d'information sur le Projet PBF avec la justice et la police ont été organisées en attendant le deroulement ce cette activite</t>
  </si>
  <si>
    <t>2 visites d'information sur le Projet PBF a MJSAC et le MENFP</t>
  </si>
  <si>
    <t>Activite 2.3.2.1:</t>
  </si>
  <si>
    <t xml:space="preserve">Mener des activités de sensibilisation de proximité et campagne médiatique dans les espaces publics de la ville de Jérémie 
3 organisations sélectionnées suite à un appel à candidatures ouvert  (unités mobiles de sensibilisation dans les marchés et lieux publics, au cours des rencontres sportives et artistiques) : octroi de micro subvention par organisation
formation de 5 jours pour 30 personnes en plaidoyer, médias pour la paix et techniques de sensibilisation; et sur la gestion des microsubventions pour réaliser la sensibilisation de proximité dans les marchés, les lieux sportifs, etc. 
Conception de 4 spots et diffusion radio; Conception et diffusion de sms; Production et diffusion de T-shirts, casquettes, bracelets, banderoles,  calendriers et reproduction des documents officiels
</t>
  </si>
  <si>
    <t>Planfication en cours pour la realisation de cette activite</t>
  </si>
  <si>
    <t>Planification en cours pour la realisation de cette activite, Idem/Resultat activite 1.1.1</t>
  </si>
  <si>
    <t>PNUD Dépenses</t>
  </si>
  <si>
    <t>ONU Femmes Dépenses</t>
  </si>
  <si>
    <t>OIM Dépenses</t>
  </si>
  <si>
    <t>Comments</t>
  </si>
  <si>
    <t>Montant</t>
  </si>
  <si>
    <t>%</t>
  </si>
  <si>
    <t xml:space="preserve">Celle-ci est une nouvelle rubrique qui tient compte des dépenses telles que l'achat de la voiture, des ordinateurs, une imprimante, qui n'avaient pas été pris en compte dans la soumission initiale (voir note au dossier en annexe). 
Les pourcentages notés correspondent aux déductions faites dans les differentes lignes afin d'arriver au montant souhaité. </t>
  </si>
  <si>
    <t>ONU Femmes</t>
  </si>
  <si>
    <t>PNUD</t>
  </si>
  <si>
    <t>OIM</t>
  </si>
  <si>
    <r>
      <rPr>
        <b/>
        <u/>
        <sz val="12"/>
        <color theme="1"/>
        <rFont val="Calibri"/>
        <family val="2"/>
        <scheme val="minor"/>
      </rPr>
      <t xml:space="preserve">2 </t>
    </r>
    <r>
      <rPr>
        <sz val="12"/>
        <color theme="1"/>
        <rFont val="Calibri"/>
        <family val="2"/>
        <scheme val="minor"/>
      </rPr>
      <t xml:space="preserve">rencontres de travail ont été réalisées avec l’Université Publique de la Grand Anse sur identification des besoins par rapport aux modules proposes et sur identification des besoins pour la pleine réussite de cette activité.     </t>
    </r>
    <r>
      <rPr>
        <b/>
        <u/>
        <sz val="12"/>
        <color theme="1"/>
        <rFont val="Calibri"/>
        <family val="2"/>
        <scheme val="minor"/>
      </rPr>
      <t>1</t>
    </r>
    <r>
      <rPr>
        <sz val="12"/>
        <color theme="1"/>
        <rFont val="Calibri"/>
        <family val="2"/>
        <scheme val="minor"/>
      </rPr>
      <t xml:space="preserve"> rencontre avec la Responsable de l'Universite Quisquella sur l'Elaboration des modules</t>
    </r>
  </si>
  <si>
    <r>
      <t xml:space="preserve">4 rencontres ont été organisées avec 22 membres de 4 organisations de femmes </t>
    </r>
    <r>
      <rPr>
        <b/>
        <sz val="12"/>
        <color theme="1"/>
        <rFont val="Calibri"/>
        <family val="2"/>
        <scheme val="minor"/>
      </rPr>
      <t>(Association des Femmes Actives de la Grand Anse (AFAGA), Fanm Lakay, Fanm Deside)</t>
    </r>
    <r>
      <rPr>
        <sz val="12"/>
        <color theme="1"/>
        <rFont val="Calibri"/>
        <family val="2"/>
        <scheme val="minor"/>
      </rPr>
      <t xml:space="preserve"> et 3 organisations de jeunes </t>
    </r>
    <r>
      <rPr>
        <b/>
        <sz val="12"/>
        <color theme="1"/>
        <rFont val="Calibri"/>
        <family val="2"/>
        <scheme val="minor"/>
      </rPr>
      <t>(Jeune Chambre Internationale (JCI), Groupe d’Appui au Développment et à la Démocratie(GRADE),</t>
    </r>
    <r>
      <rPr>
        <sz val="12"/>
        <color theme="1"/>
        <rFont val="Calibri"/>
        <family val="2"/>
        <scheme val="minor"/>
      </rPr>
      <t xml:space="preserve"> </t>
    </r>
    <r>
      <rPr>
        <b/>
        <sz val="12"/>
        <color theme="1"/>
        <rFont val="Calibri"/>
        <family val="2"/>
        <scheme val="minor"/>
      </rPr>
      <t>Jeunes Progressistes de la Grand Anse (JPGA))</t>
    </r>
    <r>
      <rPr>
        <sz val="12"/>
        <color theme="1"/>
        <rFont val="Calibri"/>
        <family val="2"/>
        <scheme val="minor"/>
      </rPr>
      <t xml:space="preserve"> sur la presentation du Projet et leur intégration dans la diminution des cas de violence dans la communauté.</t>
    </r>
  </si>
  <si>
    <t xml:space="preserve">19 mai </t>
  </si>
  <si>
    <t>Sensibilisation sur le rôle des jeunes dans la promotion de la paix, l’égalité de genre, les droits à la documentation et à la migration régulière, l’Agenda durable 2030 (en particulier l’ODD 16) et la Résolution 2250 (Réhabilitation)</t>
  </si>
  <si>
    <t>PO # 18330</t>
  </si>
  <si>
    <t>Financial Report au 31 decembre 2019 et engagement au 26 fevrier 2020</t>
  </si>
  <si>
    <t>Engagements au 26 fevrier 2020</t>
  </si>
  <si>
    <t>Total  engagements</t>
  </si>
  <si>
    <t>Gramd total Depenses et engagements</t>
  </si>
  <si>
    <t>PO # 18357</t>
  </si>
  <si>
    <t xml:space="preserve">Rehabilitation/ Bibliotheque stenio Vincent </t>
  </si>
  <si>
    <t>Evalutation du projet/consultant</t>
  </si>
  <si>
    <t>Dépenses</t>
  </si>
  <si>
    <t>GRAND TOTAL</t>
  </si>
  <si>
    <t>Construction et équipement d’un centre de socialisation communautaire pour les jeunes femmes et les jeunes hommes, priorisant les matériaux locaux, tenant en compte les risques sociaux et environnementaux et impliquant les jeunes dans sa construction, dans sa gestion et dans son animation / PO # 18357</t>
  </si>
  <si>
    <t>Engagements consultant  Evalutation PO# 18330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</si>
</sst>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43" formatCode="_(* #,##0.00_);_(* \(#,##0.00\);_(* &quot;-&quot;??_);_(@_)"/>
  </numFmts>
  <fonts count="14" x14ac:knownFonts="1">
    <font>
      <sz val="11"/>
      <color theme="1"/>
      <name val="Calibri"/>
      <family val="2"/>
      <scheme val="minor"/>
    </font>
    <font>
      <b/>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color theme="1"/>
      <name val="Calibri"/>
      <family val="2"/>
    </font>
    <font>
      <sz val="10"/>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u/>
      <sz val="12"/>
      <color theme="1"/>
      <name val="Calibri"/>
      <family val="2"/>
      <scheme val="minor"/>
    </font>
    <font>
      <sz val="12"/>
      <color rgb="FFFF0000"/>
      <name val="Calibri"/>
      <family val="2"/>
      <scheme val="minor"/>
    </font>
    <font>
      <b/>
      <sz val="11"/>
      <name val="Calibri"/>
      <family val="2"/>
      <scheme val="minor"/>
    </font>
  </fonts>
  <fills count="8">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66">
    <xf numFmtId="0" fontId="0" fillId="0" borderId="0" xfId="0"/>
    <xf numFmtId="43" fontId="4" fillId="0" borderId="1" xfId="1" applyFont="1" applyBorder="1" applyAlignment="1">
      <alignment horizontal="right" vertical="top" wrapText="1"/>
    </xf>
    <xf numFmtId="0" fontId="4" fillId="0" borderId="1" xfId="0" applyFont="1" applyBorder="1" applyAlignment="1">
      <alignment vertical="top" wrapText="1"/>
    </xf>
    <xf numFmtId="0" fontId="3" fillId="0" borderId="0" xfId="0" applyFont="1" applyAlignment="1">
      <alignment vertical="top"/>
    </xf>
    <xf numFmtId="0" fontId="4" fillId="0" borderId="0" xfId="0" applyFont="1" applyAlignment="1">
      <alignment vertical="top"/>
    </xf>
    <xf numFmtId="0" fontId="0" fillId="0" borderId="0" xfId="0" applyAlignment="1">
      <alignment vertical="top"/>
    </xf>
    <xf numFmtId="0" fontId="3" fillId="2" borderId="1" xfId="0" applyFont="1" applyFill="1" applyBorder="1" applyAlignment="1">
      <alignment horizontal="center" vertical="top" wrapText="1"/>
    </xf>
    <xf numFmtId="0" fontId="1" fillId="0" borderId="2" xfId="0" applyFont="1" applyBorder="1" applyAlignment="1">
      <alignment vertical="top"/>
    </xf>
    <xf numFmtId="0" fontId="1" fillId="0" borderId="0" xfId="0" applyFont="1" applyAlignment="1">
      <alignment vertical="top"/>
    </xf>
    <xf numFmtId="0" fontId="3" fillId="3" borderId="1" xfId="0" applyFont="1" applyFill="1" applyBorder="1" applyAlignment="1">
      <alignment horizontal="center" vertical="top" wrapText="1"/>
    </xf>
    <xf numFmtId="0" fontId="4" fillId="0" borderId="1" xfId="0" applyFont="1" applyBorder="1" applyAlignment="1">
      <alignment horizontal="center" vertical="top"/>
    </xf>
    <xf numFmtId="0" fontId="4" fillId="0" borderId="1" xfId="0" applyFont="1" applyBorder="1" applyAlignment="1">
      <alignment vertical="top"/>
    </xf>
    <xf numFmtId="0" fontId="0" fillId="0" borderId="2" xfId="0" applyBorder="1" applyAlignment="1">
      <alignment vertical="top"/>
    </xf>
    <xf numFmtId="0" fontId="0" fillId="0" borderId="0" xfId="0" applyBorder="1" applyAlignment="1">
      <alignment vertical="top"/>
    </xf>
    <xf numFmtId="0" fontId="0" fillId="0" borderId="0" xfId="0" applyAlignment="1">
      <alignment horizontal="center" vertical="top"/>
    </xf>
    <xf numFmtId="43" fontId="4" fillId="0" borderId="1" xfId="0" applyNumberFormat="1" applyFont="1" applyBorder="1" applyAlignment="1">
      <alignment vertical="top"/>
    </xf>
    <xf numFmtId="0" fontId="3" fillId="4" borderId="1" xfId="0" applyFont="1" applyFill="1" applyBorder="1" applyAlignment="1">
      <alignment vertical="top" wrapText="1"/>
    </xf>
    <xf numFmtId="43" fontId="4" fillId="4" borderId="1" xfId="1" applyFont="1" applyFill="1" applyBorder="1" applyAlignment="1">
      <alignment horizontal="right" vertical="top" wrapText="1"/>
    </xf>
    <xf numFmtId="43" fontId="4" fillId="0" borderId="1" xfId="1" applyFont="1" applyFill="1" applyBorder="1" applyAlignment="1">
      <alignment horizontal="right" vertical="top" wrapText="1"/>
    </xf>
    <xf numFmtId="43" fontId="4" fillId="0" borderId="1" xfId="1" applyFont="1" applyFill="1" applyBorder="1" applyAlignment="1">
      <alignment horizontal="center" vertical="top" wrapText="1"/>
    </xf>
    <xf numFmtId="4" fontId="4" fillId="0" borderId="1" xfId="0" applyNumberFormat="1" applyFont="1" applyFill="1" applyBorder="1" applyAlignment="1">
      <alignment horizontal="right" vertical="top" wrapText="1"/>
    </xf>
    <xf numFmtId="0" fontId="4" fillId="0" borderId="1" xfId="0" applyFont="1" applyFill="1" applyBorder="1" applyAlignment="1">
      <alignment horizontal="right" vertical="top" wrapText="1"/>
    </xf>
    <xf numFmtId="43" fontId="4" fillId="0" borderId="1" xfId="0" applyNumberFormat="1" applyFont="1" applyFill="1" applyBorder="1" applyAlignment="1">
      <alignment horizontal="right" vertical="top" wrapText="1"/>
    </xf>
    <xf numFmtId="43" fontId="4" fillId="0" borderId="1" xfId="0" applyNumberFormat="1" applyFont="1" applyBorder="1" applyAlignment="1">
      <alignment horizontal="right" vertical="top" wrapText="1"/>
    </xf>
    <xf numFmtId="43" fontId="4" fillId="4" borderId="1" xfId="0" applyNumberFormat="1" applyFont="1" applyFill="1" applyBorder="1" applyAlignment="1">
      <alignment horizontal="right" vertical="top" wrapText="1"/>
    </xf>
    <xf numFmtId="43" fontId="3" fillId="4" borderId="1" xfId="1" applyFont="1" applyFill="1" applyBorder="1" applyAlignment="1">
      <alignment horizontal="right" vertical="top" wrapText="1"/>
    </xf>
    <xf numFmtId="43" fontId="3" fillId="6" borderId="1" xfId="1" applyFont="1" applyFill="1" applyBorder="1" applyAlignment="1">
      <alignment horizontal="right" vertical="top" wrapText="1"/>
    </xf>
    <xf numFmtId="3" fontId="4" fillId="0" borderId="1" xfId="0" applyNumberFormat="1" applyFont="1" applyFill="1" applyBorder="1" applyAlignment="1">
      <alignment horizontal="right" vertical="top" wrapText="1"/>
    </xf>
    <xf numFmtId="43" fontId="6" fillId="0" borderId="1" xfId="1" applyFont="1" applyBorder="1" applyAlignment="1">
      <alignment horizontal="right" vertical="top" wrapText="1"/>
    </xf>
    <xf numFmtId="43" fontId="5" fillId="0" borderId="1" xfId="1" applyFont="1" applyFill="1" applyBorder="1" applyAlignment="1">
      <alignment horizontal="right" vertical="center" wrapText="1"/>
    </xf>
    <xf numFmtId="0" fontId="7" fillId="0" borderId="0" xfId="0" applyFont="1"/>
    <xf numFmtId="0" fontId="8" fillId="0" borderId="0" xfId="0" applyFont="1"/>
    <xf numFmtId="0" fontId="9" fillId="0" borderId="0" xfId="0" applyFont="1" applyFill="1"/>
    <xf numFmtId="0" fontId="9" fillId="0" borderId="0" xfId="0" applyFont="1"/>
    <xf numFmtId="0" fontId="7" fillId="7" borderId="1" xfId="0" applyFont="1" applyFill="1" applyBorder="1" applyAlignment="1">
      <alignment vertical="center" wrapText="1"/>
    </xf>
    <xf numFmtId="0" fontId="7"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7" fillId="0" borderId="1" xfId="0" applyFont="1" applyBorder="1" applyAlignment="1">
      <alignment vertical="center" wrapText="1"/>
    </xf>
    <xf numFmtId="4" fontId="8" fillId="0" borderId="1" xfId="0" applyNumberFormat="1" applyFont="1" applyBorder="1" applyAlignment="1">
      <alignment vertical="top"/>
    </xf>
    <xf numFmtId="0" fontId="10" fillId="0" borderId="1" xfId="0" applyFont="1" applyFill="1" applyBorder="1" applyAlignment="1">
      <alignment vertical="center" wrapText="1"/>
    </xf>
    <xf numFmtId="0" fontId="10" fillId="0" borderId="1" xfId="0" applyFont="1" applyBorder="1" applyAlignment="1">
      <alignment vertical="center" wrapText="1"/>
    </xf>
    <xf numFmtId="10" fontId="8" fillId="0" borderId="1" xfId="0" applyNumberFormat="1" applyFont="1" applyBorder="1" applyAlignment="1">
      <alignment vertical="top" wrapText="1"/>
    </xf>
    <xf numFmtId="0" fontId="8" fillId="0" borderId="0" xfId="0" applyFont="1" applyAlignment="1">
      <alignment wrapText="1"/>
    </xf>
    <xf numFmtId="0" fontId="8" fillId="0" borderId="1" xfId="0" applyFont="1" applyBorder="1" applyAlignment="1">
      <alignment vertical="top" wrapText="1"/>
    </xf>
    <xf numFmtId="0" fontId="9" fillId="0" borderId="1" xfId="0" applyFont="1" applyBorder="1" applyAlignment="1">
      <alignment vertical="top" wrapText="1"/>
    </xf>
    <xf numFmtId="0" fontId="8" fillId="0" borderId="1" xfId="0" applyFont="1" applyBorder="1" applyAlignment="1">
      <alignment vertical="center" wrapText="1"/>
    </xf>
    <xf numFmtId="2" fontId="8" fillId="0" borderId="1" xfId="0" applyNumberFormat="1" applyFont="1" applyBorder="1" applyAlignment="1">
      <alignment vertical="center" wrapText="1"/>
    </xf>
    <xf numFmtId="8" fontId="8" fillId="0" borderId="1" xfId="0" applyNumberFormat="1" applyFont="1" applyFill="1" applyBorder="1" applyAlignment="1">
      <alignment vertical="center" wrapText="1"/>
    </xf>
    <xf numFmtId="2" fontId="10" fillId="0" borderId="1" xfId="0" applyNumberFormat="1" applyFont="1" applyFill="1" applyBorder="1" applyAlignment="1">
      <alignment vertical="center"/>
    </xf>
    <xf numFmtId="2" fontId="8" fillId="0" borderId="1" xfId="0" applyNumberFormat="1" applyFont="1" applyBorder="1" applyAlignment="1">
      <alignment vertical="center"/>
    </xf>
    <xf numFmtId="2" fontId="9" fillId="0" borderId="1" xfId="0" applyNumberFormat="1" applyFont="1" applyBorder="1" applyAlignment="1">
      <alignment vertical="center"/>
    </xf>
    <xf numFmtId="10" fontId="8" fillId="0" borderId="1" xfId="0" applyNumberFormat="1" applyFont="1" applyBorder="1" applyAlignment="1">
      <alignment vertical="center" wrapText="1"/>
    </xf>
    <xf numFmtId="8" fontId="8" fillId="0" borderId="1" xfId="0" applyNumberFormat="1" applyFont="1" applyBorder="1" applyAlignment="1">
      <alignment vertical="center" wrapText="1"/>
    </xf>
    <xf numFmtId="2" fontId="9" fillId="0" borderId="1" xfId="0" applyNumberFormat="1" applyFont="1" applyFill="1" applyBorder="1" applyAlignment="1">
      <alignment vertical="center"/>
    </xf>
    <xf numFmtId="43" fontId="8" fillId="5" borderId="1" xfId="1" applyFont="1" applyFill="1" applyBorder="1" applyAlignment="1">
      <alignment horizontal="center" vertical="center" wrapText="1"/>
    </xf>
    <xf numFmtId="8" fontId="9" fillId="0" borderId="1" xfId="0" applyNumberFormat="1" applyFont="1" applyFill="1" applyBorder="1" applyAlignment="1">
      <alignment vertical="center" wrapText="1"/>
    </xf>
    <xf numFmtId="8" fontId="9" fillId="0" borderId="1" xfId="0" applyNumberFormat="1" applyFont="1" applyBorder="1" applyAlignment="1">
      <alignment vertical="center" wrapText="1"/>
    </xf>
    <xf numFmtId="9" fontId="8" fillId="0" borderId="1" xfId="3" applyFont="1" applyBorder="1" applyAlignment="1">
      <alignment vertical="center" wrapText="1"/>
    </xf>
    <xf numFmtId="43" fontId="8" fillId="0" borderId="1" xfId="0" applyNumberFormat="1" applyFont="1" applyBorder="1" applyAlignment="1">
      <alignment vertical="center" wrapText="1"/>
    </xf>
    <xf numFmtId="2" fontId="9" fillId="0" borderId="1" xfId="0" applyNumberFormat="1" applyFont="1" applyFill="1" applyBorder="1" applyAlignment="1">
      <alignment vertical="center" wrapText="1"/>
    </xf>
    <xf numFmtId="4" fontId="8" fillId="0" borderId="1" xfId="0" applyNumberFormat="1" applyFont="1" applyBorder="1" applyAlignment="1">
      <alignment vertical="center" wrapText="1"/>
    </xf>
    <xf numFmtId="4" fontId="9" fillId="0" borderId="1" xfId="0" applyNumberFormat="1" applyFont="1" applyBorder="1" applyAlignment="1">
      <alignment vertical="center" wrapText="1"/>
    </xf>
    <xf numFmtId="2" fontId="9" fillId="0" borderId="1" xfId="0" applyNumberFormat="1" applyFont="1" applyBorder="1" applyAlignment="1">
      <alignment vertical="center" wrapText="1"/>
    </xf>
    <xf numFmtId="0" fontId="9" fillId="0" borderId="1" xfId="0" applyFont="1" applyFill="1" applyBorder="1" applyAlignment="1">
      <alignment vertical="center" wrapText="1"/>
    </xf>
    <xf numFmtId="0" fontId="9" fillId="0" borderId="1" xfId="0" applyFont="1" applyBorder="1" applyAlignment="1">
      <alignment vertical="center" wrapText="1"/>
    </xf>
    <xf numFmtId="0" fontId="7" fillId="5" borderId="1" xfId="0" applyFont="1" applyFill="1" applyBorder="1" applyAlignment="1">
      <alignment horizontal="left" vertical="center" wrapText="1"/>
    </xf>
    <xf numFmtId="4" fontId="8" fillId="5" borderId="1" xfId="0" applyNumberFormat="1" applyFont="1" applyFill="1" applyBorder="1" applyAlignment="1">
      <alignment horizontal="right" vertical="center" wrapText="1"/>
    </xf>
    <xf numFmtId="0" fontId="7" fillId="0" borderId="1" xfId="0" applyFont="1" applyBorder="1" applyAlignment="1">
      <alignment vertical="center"/>
    </xf>
    <xf numFmtId="8" fontId="7" fillId="0" borderId="1" xfId="0" applyNumberFormat="1" applyFont="1" applyBorder="1" applyAlignment="1">
      <alignment vertical="center"/>
    </xf>
    <xf numFmtId="8" fontId="10" fillId="0" borderId="1" xfId="0" applyNumberFormat="1" applyFont="1" applyFill="1" applyBorder="1" applyAlignment="1">
      <alignment vertical="center"/>
    </xf>
    <xf numFmtId="8" fontId="10" fillId="0" borderId="1" xfId="0" applyNumberFormat="1" applyFont="1" applyBorder="1" applyAlignment="1">
      <alignment vertical="center"/>
    </xf>
    <xf numFmtId="2" fontId="8" fillId="0" borderId="1" xfId="0" applyNumberFormat="1" applyFont="1" applyBorder="1" applyAlignment="1">
      <alignment vertical="top" wrapText="1"/>
    </xf>
    <xf numFmtId="7" fontId="8" fillId="0" borderId="1" xfId="2" applyNumberFormat="1" applyFont="1" applyBorder="1" applyAlignment="1">
      <alignment horizontal="right" vertical="top" wrapText="1"/>
    </xf>
    <xf numFmtId="2" fontId="9" fillId="0" borderId="1" xfId="0" applyNumberFormat="1" applyFont="1" applyFill="1" applyBorder="1" applyAlignment="1">
      <alignment vertical="top" wrapText="1"/>
    </xf>
    <xf numFmtId="2" fontId="9" fillId="0" borderId="1" xfId="0" applyNumberFormat="1" applyFont="1" applyBorder="1" applyAlignment="1">
      <alignment vertical="top" wrapText="1"/>
    </xf>
    <xf numFmtId="8" fontId="8" fillId="0" borderId="1" xfId="0" applyNumberFormat="1" applyFont="1" applyBorder="1" applyAlignment="1">
      <alignment horizontal="right" vertical="center" wrapText="1"/>
    </xf>
    <xf numFmtId="2" fontId="10" fillId="0" borderId="1" xfId="0" applyNumberFormat="1" applyFont="1" applyFill="1" applyBorder="1" applyAlignment="1">
      <alignment vertical="center" wrapText="1"/>
    </xf>
    <xf numFmtId="43" fontId="8" fillId="0" borderId="1" xfId="1" applyFont="1" applyBorder="1" applyAlignment="1">
      <alignment vertical="center" wrapText="1"/>
    </xf>
    <xf numFmtId="0" fontId="8" fillId="0" borderId="1" xfId="0" applyFont="1" applyBorder="1" applyAlignment="1">
      <alignment wrapText="1"/>
    </xf>
    <xf numFmtId="0" fontId="8" fillId="0" borderId="1" xfId="0" applyFont="1" applyBorder="1"/>
    <xf numFmtId="8" fontId="8" fillId="0" borderId="1" xfId="0" applyNumberFormat="1" applyFont="1" applyBorder="1" applyAlignment="1">
      <alignment vertical="top" wrapText="1"/>
    </xf>
    <xf numFmtId="8" fontId="9" fillId="0" borderId="1" xfId="0" applyNumberFormat="1" applyFont="1" applyFill="1" applyBorder="1" applyAlignment="1">
      <alignment vertical="top" wrapText="1"/>
    </xf>
    <xf numFmtId="0" fontId="8" fillId="0" borderId="1" xfId="0" applyFont="1" applyBorder="1" applyAlignment="1">
      <alignment horizontal="left" vertical="center" wrapText="1"/>
    </xf>
    <xf numFmtId="43" fontId="7" fillId="0" borderId="1" xfId="0" applyNumberFormat="1" applyFont="1" applyBorder="1" applyAlignment="1">
      <alignment vertical="center"/>
    </xf>
    <xf numFmtId="43" fontId="7" fillId="0" borderId="1" xfId="0" applyNumberFormat="1" applyFont="1" applyFill="1" applyBorder="1" applyAlignment="1">
      <alignment vertical="center"/>
    </xf>
    <xf numFmtId="43" fontId="10" fillId="0" borderId="1" xfId="0" applyNumberFormat="1" applyFont="1" applyFill="1" applyBorder="1" applyAlignment="1">
      <alignment vertical="center"/>
    </xf>
    <xf numFmtId="43" fontId="10" fillId="0" borderId="1" xfId="0" applyNumberFormat="1" applyFont="1" applyBorder="1" applyAlignment="1">
      <alignment vertical="center"/>
    </xf>
    <xf numFmtId="43" fontId="8" fillId="0" borderId="1" xfId="1" applyFont="1" applyFill="1" applyBorder="1" applyAlignment="1">
      <alignment vertical="center" wrapText="1"/>
    </xf>
    <xf numFmtId="43" fontId="10" fillId="0" borderId="1" xfId="1" applyFont="1" applyFill="1" applyBorder="1" applyAlignment="1">
      <alignment vertical="center" wrapText="1"/>
    </xf>
    <xf numFmtId="43" fontId="9" fillId="0" borderId="1" xfId="1" applyFont="1" applyFill="1" applyBorder="1" applyAlignment="1">
      <alignment vertical="center" wrapText="1"/>
    </xf>
    <xf numFmtId="8" fontId="7" fillId="0" borderId="1" xfId="0" applyNumberFormat="1" applyFont="1" applyBorder="1" applyAlignment="1">
      <alignment vertical="center" wrapText="1"/>
    </xf>
    <xf numFmtId="8" fontId="10" fillId="0" borderId="1" xfId="0" applyNumberFormat="1" applyFont="1" applyBorder="1" applyAlignment="1">
      <alignment vertical="center" wrapText="1"/>
    </xf>
    <xf numFmtId="0" fontId="8" fillId="0" borderId="1" xfId="0" applyFont="1" applyBorder="1" applyAlignment="1">
      <alignment vertical="center"/>
    </xf>
    <xf numFmtId="43" fontId="8" fillId="0" borderId="1" xfId="0" applyNumberFormat="1" applyFont="1" applyBorder="1" applyAlignment="1">
      <alignment vertical="center"/>
    </xf>
    <xf numFmtId="8" fontId="8" fillId="0" borderId="1" xfId="0" applyNumberFormat="1" applyFont="1" applyFill="1" applyBorder="1" applyAlignment="1">
      <alignment vertical="center"/>
    </xf>
    <xf numFmtId="43" fontId="9" fillId="0" borderId="1" xfId="0" applyNumberFormat="1" applyFont="1" applyFill="1" applyBorder="1" applyAlignment="1">
      <alignment vertical="center"/>
    </xf>
    <xf numFmtId="8" fontId="8" fillId="0" borderId="1" xfId="0" applyNumberFormat="1" applyFont="1" applyBorder="1" applyAlignment="1">
      <alignment vertical="center"/>
    </xf>
    <xf numFmtId="8" fontId="9" fillId="0" borderId="1" xfId="0" applyNumberFormat="1" applyFont="1" applyBorder="1" applyAlignment="1">
      <alignment vertical="center"/>
    </xf>
    <xf numFmtId="43" fontId="9" fillId="0" borderId="0" xfId="0" applyNumberFormat="1" applyFont="1" applyFill="1"/>
    <xf numFmtId="43" fontId="8" fillId="5" borderId="1" xfId="1" applyFont="1" applyFill="1" applyBorder="1" applyAlignment="1">
      <alignment horizontal="right" vertical="center" wrapText="1"/>
    </xf>
    <xf numFmtId="43" fontId="8" fillId="0" borderId="1" xfId="1" applyFont="1" applyFill="1" applyBorder="1" applyAlignment="1">
      <alignment horizontal="center" vertical="center"/>
    </xf>
    <xf numFmtId="43" fontId="8" fillId="5" borderId="1" xfId="1" applyFont="1" applyFill="1" applyBorder="1" applyAlignment="1">
      <alignment vertical="center" wrapText="1"/>
    </xf>
    <xf numFmtId="0" fontId="9" fillId="5" borderId="1" xfId="0" applyFont="1" applyFill="1" applyBorder="1"/>
    <xf numFmtId="0" fontId="7" fillId="0" borderId="1" xfId="0" applyFont="1" applyBorder="1"/>
    <xf numFmtId="0" fontId="10" fillId="5" borderId="1" xfId="0" applyFont="1" applyFill="1" applyBorder="1"/>
    <xf numFmtId="43" fontId="10" fillId="5" borderId="1" xfId="0" applyNumberFormat="1" applyFont="1" applyFill="1" applyBorder="1"/>
    <xf numFmtId="4" fontId="9" fillId="5" borderId="1" xfId="0" applyNumberFormat="1" applyFont="1" applyFill="1" applyBorder="1"/>
    <xf numFmtId="43" fontId="9" fillId="5" borderId="1" xfId="1" applyFont="1" applyFill="1" applyBorder="1"/>
    <xf numFmtId="0" fontId="7" fillId="0" borderId="3" xfId="0" applyFont="1" applyBorder="1" applyAlignment="1">
      <alignment vertical="center"/>
    </xf>
    <xf numFmtId="0" fontId="8" fillId="0" borderId="0" xfId="0" applyFont="1" applyBorder="1"/>
    <xf numFmtId="0" fontId="7" fillId="0" borderId="0" xfId="0" applyFont="1" applyBorder="1"/>
    <xf numFmtId="0" fontId="9" fillId="0" borderId="1" xfId="0" applyFont="1" applyFill="1" applyBorder="1"/>
    <xf numFmtId="43" fontId="8" fillId="0" borderId="1" xfId="1" applyFont="1" applyBorder="1"/>
    <xf numFmtId="43" fontId="9" fillId="0" borderId="1" xfId="0" applyNumberFormat="1" applyFont="1" applyBorder="1"/>
    <xf numFmtId="43" fontId="7" fillId="0" borderId="1" xfId="0" applyNumberFormat="1" applyFont="1" applyBorder="1"/>
    <xf numFmtId="43" fontId="10" fillId="0" borderId="1" xfId="0" applyNumberFormat="1" applyFont="1" applyFill="1" applyBorder="1"/>
    <xf numFmtId="8" fontId="7" fillId="0" borderId="1" xfId="0" applyNumberFormat="1" applyFont="1" applyBorder="1"/>
    <xf numFmtId="8" fontId="10" fillId="0" borderId="1" xfId="0" applyNumberFormat="1" applyFont="1" applyBorder="1"/>
    <xf numFmtId="43" fontId="7" fillId="5" borderId="1" xfId="0" applyNumberFormat="1" applyFont="1" applyFill="1" applyBorder="1" applyAlignment="1">
      <alignment vertical="center"/>
    </xf>
    <xf numFmtId="44" fontId="7" fillId="0" borderId="1" xfId="2" applyFont="1" applyBorder="1" applyAlignment="1">
      <alignment vertical="center"/>
    </xf>
    <xf numFmtId="0" fontId="9" fillId="5" borderId="1" xfId="0" applyFont="1" applyFill="1" applyBorder="1" applyAlignment="1">
      <alignment horizontal="center" wrapText="1"/>
    </xf>
    <xf numFmtId="43" fontId="9" fillId="0" borderId="1" xfId="1" applyFont="1" applyFill="1" applyBorder="1"/>
    <xf numFmtId="0" fontId="7" fillId="0" borderId="9" xfId="0" applyFont="1" applyBorder="1" applyAlignment="1">
      <alignment vertical="center" wrapText="1"/>
    </xf>
    <xf numFmtId="4" fontId="9" fillId="5" borderId="1" xfId="0" applyNumberFormat="1" applyFont="1" applyFill="1" applyBorder="1" applyAlignment="1">
      <alignment horizontal="center" vertical="center"/>
    </xf>
    <xf numFmtId="43" fontId="9" fillId="5" borderId="1" xfId="1" applyFont="1" applyFill="1" applyBorder="1" applyAlignment="1">
      <alignment vertical="center"/>
    </xf>
    <xf numFmtId="43" fontId="7" fillId="0" borderId="0" xfId="0" applyNumberFormat="1" applyFont="1" applyBorder="1" applyAlignment="1">
      <alignment vertical="center"/>
    </xf>
    <xf numFmtId="43" fontId="7" fillId="5" borderId="3" xfId="0" applyNumberFormat="1" applyFont="1" applyFill="1" applyBorder="1" applyAlignment="1">
      <alignment vertical="center"/>
    </xf>
    <xf numFmtId="43" fontId="7" fillId="0" borderId="3" xfId="0" applyNumberFormat="1" applyFont="1" applyBorder="1" applyAlignment="1">
      <alignment vertical="center"/>
    </xf>
    <xf numFmtId="8" fontId="7" fillId="0" borderId="3" xfId="0" applyNumberFormat="1" applyFont="1" applyBorder="1" applyAlignment="1">
      <alignment vertical="center"/>
    </xf>
    <xf numFmtId="43" fontId="7" fillId="5" borderId="5" xfId="0" applyNumberFormat="1" applyFont="1" applyFill="1" applyBorder="1" applyAlignment="1">
      <alignment vertical="center"/>
    </xf>
    <xf numFmtId="0" fontId="7" fillId="0" borderId="6" xfId="0" applyFont="1" applyBorder="1" applyAlignment="1">
      <alignment vertical="center"/>
    </xf>
    <xf numFmtId="0" fontId="7" fillId="0" borderId="5" xfId="0" applyFont="1" applyBorder="1" applyAlignment="1">
      <alignment vertical="center"/>
    </xf>
    <xf numFmtId="43" fontId="7" fillId="0" borderId="5" xfId="0" applyNumberFormat="1" applyFont="1" applyBorder="1" applyAlignment="1">
      <alignment vertical="center"/>
    </xf>
    <xf numFmtId="43" fontId="10" fillId="0" borderId="5" xfId="0" applyNumberFormat="1" applyFont="1" applyFill="1" applyBorder="1" applyAlignment="1">
      <alignment vertical="center"/>
    </xf>
    <xf numFmtId="8" fontId="7" fillId="0" borderId="5" xfId="0" applyNumberFormat="1" applyFont="1" applyBorder="1" applyAlignment="1">
      <alignment vertical="center"/>
    </xf>
    <xf numFmtId="8" fontId="10" fillId="0" borderId="5" xfId="0" applyNumberFormat="1" applyFont="1" applyBorder="1" applyAlignment="1">
      <alignment vertical="center"/>
    </xf>
    <xf numFmtId="43" fontId="8" fillId="0" borderId="0" xfId="0" applyNumberFormat="1" applyFont="1"/>
    <xf numFmtId="0" fontId="10" fillId="5" borderId="1" xfId="0" applyFont="1" applyFill="1" applyBorder="1" applyAlignment="1">
      <alignment vertical="center" wrapText="1"/>
    </xf>
    <xf numFmtId="0" fontId="9" fillId="5" borderId="1" xfId="0" applyFont="1" applyFill="1" applyBorder="1" applyAlignment="1">
      <alignment vertical="top" wrapText="1"/>
    </xf>
    <xf numFmtId="8" fontId="9" fillId="5" borderId="1" xfId="0" applyNumberFormat="1" applyFont="1" applyFill="1" applyBorder="1" applyAlignment="1">
      <alignment vertical="center" wrapText="1"/>
    </xf>
    <xf numFmtId="2" fontId="9" fillId="5" borderId="1" xfId="0" applyNumberFormat="1" applyFont="1" applyFill="1" applyBorder="1" applyAlignment="1">
      <alignment vertical="center" wrapText="1"/>
    </xf>
    <xf numFmtId="0" fontId="9" fillId="5" borderId="1" xfId="0" applyFont="1" applyFill="1" applyBorder="1" applyAlignment="1">
      <alignment vertical="center" wrapText="1"/>
    </xf>
    <xf numFmtId="8" fontId="10" fillId="5" borderId="1" xfId="0" applyNumberFormat="1" applyFont="1" applyFill="1" applyBorder="1" applyAlignment="1">
      <alignment vertical="center"/>
    </xf>
    <xf numFmtId="0" fontId="13" fillId="5" borderId="1" xfId="0" applyFont="1" applyFill="1" applyBorder="1" applyAlignment="1">
      <alignment vertical="center" wrapText="1"/>
    </xf>
    <xf numFmtId="2" fontId="9" fillId="5" borderId="1" xfId="0" applyNumberFormat="1" applyFont="1" applyFill="1" applyBorder="1" applyAlignment="1">
      <alignment vertical="top" wrapText="1"/>
    </xf>
    <xf numFmtId="43" fontId="9" fillId="5" borderId="1" xfId="1" applyFont="1" applyFill="1" applyBorder="1" applyAlignment="1">
      <alignment vertical="center" wrapText="1"/>
    </xf>
    <xf numFmtId="8" fontId="9" fillId="5" borderId="1" xfId="0" applyNumberFormat="1" applyFont="1" applyFill="1" applyBorder="1" applyAlignment="1">
      <alignment vertical="top" wrapText="1"/>
    </xf>
    <xf numFmtId="43" fontId="10" fillId="5" borderId="1" xfId="0" applyNumberFormat="1" applyFont="1" applyFill="1" applyBorder="1" applyAlignment="1">
      <alignment vertical="center"/>
    </xf>
    <xf numFmtId="8" fontId="9" fillId="5" borderId="1" xfId="0" applyNumberFormat="1" applyFont="1" applyFill="1" applyBorder="1" applyAlignment="1">
      <alignment vertical="center"/>
    </xf>
    <xf numFmtId="2" fontId="9" fillId="5" borderId="1" xfId="0" applyNumberFormat="1" applyFont="1" applyFill="1" applyBorder="1" applyAlignment="1">
      <alignment vertical="center"/>
    </xf>
    <xf numFmtId="4" fontId="9" fillId="5" borderId="1" xfId="0" applyNumberFormat="1" applyFont="1" applyFill="1" applyBorder="1" applyAlignment="1">
      <alignment vertical="center" wrapText="1"/>
    </xf>
    <xf numFmtId="8" fontId="10" fillId="5" borderId="1" xfId="0" applyNumberFormat="1" applyFont="1" applyFill="1" applyBorder="1" applyAlignment="1">
      <alignment vertical="center" wrapText="1"/>
    </xf>
    <xf numFmtId="43" fontId="12" fillId="0" borderId="0" xfId="0" applyNumberFormat="1" applyFont="1" applyFill="1"/>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43" fontId="7" fillId="5" borderId="6" xfId="0" applyNumberFormat="1" applyFont="1" applyFill="1" applyBorder="1" applyAlignment="1">
      <alignment horizontal="center" vertical="center" wrapText="1"/>
    </xf>
    <xf numFmtId="43" fontId="7" fillId="5" borderId="7" xfId="0" applyNumberFormat="1" applyFont="1" applyFill="1" applyBorder="1" applyAlignment="1">
      <alignment horizontal="center" vertical="center" wrapText="1"/>
    </xf>
    <xf numFmtId="0" fontId="7" fillId="7" borderId="8" xfId="0" applyFont="1" applyFill="1" applyBorder="1" applyAlignment="1">
      <alignment horizontal="center"/>
    </xf>
    <xf numFmtId="0" fontId="7" fillId="7" borderId="9" xfId="0" applyFont="1" applyFill="1" applyBorder="1" applyAlignment="1">
      <alignment horizontal="center"/>
    </xf>
    <xf numFmtId="0" fontId="0" fillId="0" borderId="2" xfId="0" applyBorder="1" applyAlignment="1">
      <alignment horizontal="left" vertical="top" wrapText="1"/>
    </xf>
    <xf numFmtId="0" fontId="0" fillId="0" borderId="0" xfId="0" applyAlignment="1">
      <alignment horizontal="left" vertical="top" wrapText="1"/>
    </xf>
    <xf numFmtId="0" fontId="0" fillId="0" borderId="0" xfId="0" applyAlignment="1">
      <alignment horizontal="center" vertical="top"/>
    </xf>
    <xf numFmtId="0" fontId="3" fillId="2" borderId="1" xfId="0" applyFont="1" applyFill="1" applyBorder="1" applyAlignment="1">
      <alignment horizontal="center" vertical="top" wrapText="1"/>
    </xf>
    <xf numFmtId="0" fontId="3" fillId="0" borderId="1" xfId="0" applyFont="1" applyBorder="1" applyAlignment="1">
      <alignment horizontal="center" vertical="top"/>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ephanie.Ziebell\AppData\Local\Microsoft\Windows\INetCache\Content.Outlook\3GVQR32Q\MASTER_PBF%20Financial%20repor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 2"/>
      <sheetName val="Sheet3"/>
    </sheetNames>
    <sheetDataSet>
      <sheetData sheetId="0"/>
      <sheetData sheetId="1"/>
      <sheetData sheetId="2" refreshError="1">
        <row r="46">
          <cell r="C46">
            <v>95760</v>
          </cell>
          <cell r="D46">
            <v>41040</v>
          </cell>
        </row>
        <row r="47">
          <cell r="C47">
            <v>4410</v>
          </cell>
          <cell r="D47">
            <v>1890</v>
          </cell>
        </row>
        <row r="48">
          <cell r="C48">
            <v>13595.526</v>
          </cell>
          <cell r="D48">
            <v>5826.6539999999995</v>
          </cell>
        </row>
        <row r="49">
          <cell r="C49">
            <v>140000</v>
          </cell>
          <cell r="D49">
            <v>60000</v>
          </cell>
        </row>
        <row r="50">
          <cell r="C50">
            <v>33838</v>
          </cell>
          <cell r="D50">
            <v>14502</v>
          </cell>
        </row>
        <row r="51">
          <cell r="C51">
            <v>0</v>
          </cell>
          <cell r="D51">
            <v>0</v>
          </cell>
        </row>
        <row r="52">
          <cell r="C52">
            <v>235759.86</v>
          </cell>
          <cell r="D52">
            <v>101039.93999999999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76AB7-2D21-411E-9342-5F210570C556}">
  <dimension ref="A1:L53"/>
  <sheetViews>
    <sheetView zoomScale="70" zoomScaleNormal="70" zoomScaleSheetLayoutView="80" workbookViewId="0">
      <pane ySplit="7" topLeftCell="A46" activePane="bottomLeft" state="frozen"/>
      <selection pane="bottomLeft" activeCell="E1" sqref="E1:E1048576"/>
    </sheetView>
  </sheetViews>
  <sheetFormatPr defaultColWidth="8.81640625" defaultRowHeight="26.15" customHeight="1" x14ac:dyDescent="0.35"/>
  <cols>
    <col min="1" max="1" width="26.1796875" style="31" customWidth="1"/>
    <col min="2" max="2" width="38.453125" style="31" customWidth="1"/>
    <col min="3" max="5" width="25.54296875" style="31" customWidth="1"/>
    <col min="6" max="6" width="25.54296875" style="32" customWidth="1"/>
    <col min="7" max="7" width="25.54296875" style="31" customWidth="1"/>
    <col min="8" max="8" width="25.54296875" style="33" customWidth="1"/>
    <col min="9" max="9" width="24.453125" style="31" customWidth="1"/>
    <col min="10" max="10" width="26.54296875" style="31" customWidth="1"/>
    <col min="11" max="11" width="20.81640625" style="31" hidden="1" customWidth="1"/>
    <col min="12" max="12" width="22.54296875" style="31" customWidth="1"/>
    <col min="13" max="15" width="28.54296875" style="31" customWidth="1"/>
    <col min="16" max="16" width="34.1796875" style="31" customWidth="1"/>
    <col min="17" max="16384" width="8.81640625" style="31"/>
  </cols>
  <sheetData>
    <row r="1" spans="1:12" ht="15.5" x14ac:dyDescent="0.35">
      <c r="A1" s="30" t="s">
        <v>117</v>
      </c>
      <c r="B1" s="30"/>
    </row>
    <row r="2" spans="1:12" ht="15.5" x14ac:dyDescent="0.35">
      <c r="A2" s="30"/>
      <c r="B2" s="30"/>
    </row>
    <row r="3" spans="1:12" ht="15.5" x14ac:dyDescent="0.35">
      <c r="A3" s="30" t="s">
        <v>7</v>
      </c>
      <c r="B3" s="30"/>
    </row>
    <row r="4" spans="1:12" ht="15.5" x14ac:dyDescent="0.35"/>
    <row r="5" spans="1:12" ht="15.5" x14ac:dyDescent="0.35">
      <c r="A5" s="30" t="s">
        <v>8</v>
      </c>
      <c r="F5" s="98"/>
    </row>
    <row r="7" spans="1:12" ht="79" customHeight="1" x14ac:dyDescent="0.35">
      <c r="A7" s="34" t="s">
        <v>9</v>
      </c>
      <c r="B7" s="34" t="s">
        <v>10</v>
      </c>
      <c r="C7" s="35" t="s">
        <v>92</v>
      </c>
      <c r="D7" s="35" t="s">
        <v>102</v>
      </c>
      <c r="E7" s="35" t="s">
        <v>93</v>
      </c>
      <c r="F7" s="36" t="s">
        <v>103</v>
      </c>
      <c r="G7" s="35" t="s">
        <v>94</v>
      </c>
      <c r="H7" s="36" t="s">
        <v>104</v>
      </c>
      <c r="I7" s="34" t="s">
        <v>11</v>
      </c>
      <c r="J7" s="34" t="s">
        <v>91</v>
      </c>
      <c r="K7" s="37" t="s">
        <v>12</v>
      </c>
    </row>
    <row r="8" spans="1:12" s="42" customFormat="1" ht="174.65" customHeight="1" x14ac:dyDescent="0.35">
      <c r="A8" s="37" t="s">
        <v>53</v>
      </c>
      <c r="B8" s="37"/>
      <c r="C8" s="37"/>
      <c r="D8" s="37"/>
      <c r="E8" s="38"/>
      <c r="F8" s="39"/>
      <c r="G8" s="37"/>
      <c r="H8" s="40"/>
      <c r="I8" s="41"/>
      <c r="J8" s="37"/>
      <c r="K8" s="37"/>
    </row>
    <row r="9" spans="1:12" ht="99" customHeight="1" x14ac:dyDescent="0.35">
      <c r="A9" s="37" t="s">
        <v>14</v>
      </c>
      <c r="B9" s="43" t="s">
        <v>54</v>
      </c>
      <c r="C9" s="43"/>
      <c r="D9" s="43"/>
      <c r="E9" s="43"/>
      <c r="F9" s="44"/>
      <c r="G9" s="43"/>
      <c r="H9" s="44"/>
      <c r="I9" s="43"/>
      <c r="J9" s="43"/>
      <c r="K9" s="43"/>
    </row>
    <row r="10" spans="1:12" ht="110.5" customHeight="1" x14ac:dyDescent="0.35">
      <c r="A10" s="45" t="s">
        <v>19</v>
      </c>
      <c r="B10" s="45" t="s">
        <v>82</v>
      </c>
      <c r="C10" s="46">
        <v>0</v>
      </c>
      <c r="D10" s="46"/>
      <c r="E10" s="47">
        <v>138500</v>
      </c>
      <c r="F10" s="48">
        <v>15534.57</v>
      </c>
      <c r="G10" s="49">
        <v>0</v>
      </c>
      <c r="H10" s="50">
        <v>0</v>
      </c>
      <c r="I10" s="51">
        <v>0.2079</v>
      </c>
      <c r="J10" s="52">
        <f>D10+F10+H10</f>
        <v>15534.57</v>
      </c>
      <c r="K10" s="45" t="s">
        <v>112</v>
      </c>
    </row>
    <row r="11" spans="1:12" ht="77.5" customHeight="1" x14ac:dyDescent="0.35">
      <c r="A11" s="45" t="s">
        <v>20</v>
      </c>
      <c r="B11" s="45" t="s">
        <v>81</v>
      </c>
      <c r="C11" s="46">
        <v>0</v>
      </c>
      <c r="D11" s="46"/>
      <c r="E11" s="47">
        <v>77500</v>
      </c>
      <c r="F11" s="53">
        <v>0</v>
      </c>
      <c r="G11" s="49">
        <v>0</v>
      </c>
      <c r="H11" s="50">
        <v>0</v>
      </c>
      <c r="I11" s="51">
        <v>0.1186</v>
      </c>
      <c r="J11" s="52">
        <f>D11+F11+H11</f>
        <v>0</v>
      </c>
      <c r="K11" s="43" t="s">
        <v>101</v>
      </c>
    </row>
    <row r="12" spans="1:12" ht="126.65" customHeight="1" x14ac:dyDescent="0.35">
      <c r="A12" s="45" t="s">
        <v>21</v>
      </c>
      <c r="B12" s="45" t="s">
        <v>80</v>
      </c>
      <c r="C12" s="54">
        <v>7000</v>
      </c>
      <c r="D12" s="100">
        <v>4788.5</v>
      </c>
      <c r="E12" s="52">
        <v>0</v>
      </c>
      <c r="F12" s="55">
        <v>0</v>
      </c>
      <c r="G12" s="52">
        <v>0</v>
      </c>
      <c r="H12" s="56">
        <v>0</v>
      </c>
      <c r="I12" s="57">
        <v>0</v>
      </c>
      <c r="J12" s="58">
        <f>D12+F12+H12</f>
        <v>4788.5</v>
      </c>
      <c r="K12" s="45" t="s">
        <v>95</v>
      </c>
      <c r="L12" s="31" t="s">
        <v>114</v>
      </c>
    </row>
    <row r="13" spans="1:12" ht="83.5" customHeight="1" x14ac:dyDescent="0.35">
      <c r="A13" s="45" t="s">
        <v>55</v>
      </c>
      <c r="B13" s="45" t="s">
        <v>57</v>
      </c>
      <c r="C13" s="46">
        <v>0</v>
      </c>
      <c r="D13" s="46"/>
      <c r="E13" s="46">
        <v>0</v>
      </c>
      <c r="F13" s="59">
        <v>0</v>
      </c>
      <c r="G13" s="60">
        <v>200000</v>
      </c>
      <c r="H13" s="61">
        <v>53474.46</v>
      </c>
      <c r="I13" s="57">
        <v>0</v>
      </c>
      <c r="J13" s="52">
        <f>D13+F13+H13</f>
        <v>53474.46</v>
      </c>
      <c r="K13" s="45"/>
    </row>
    <row r="14" spans="1:12" ht="139.75" customHeight="1" x14ac:dyDescent="0.35">
      <c r="A14" s="45" t="s">
        <v>56</v>
      </c>
      <c r="B14" s="45" t="s">
        <v>79</v>
      </c>
      <c r="C14" s="54">
        <v>195000</v>
      </c>
      <c r="D14" s="87"/>
      <c r="E14" s="46">
        <v>0</v>
      </c>
      <c r="F14" s="59">
        <v>0</v>
      </c>
      <c r="G14" s="46">
        <v>0</v>
      </c>
      <c r="H14" s="62">
        <v>0</v>
      </c>
      <c r="I14" s="57">
        <v>0.1</v>
      </c>
      <c r="J14" s="52">
        <f>D14+F14+H14</f>
        <v>0</v>
      </c>
      <c r="K14" s="45"/>
    </row>
    <row r="15" spans="1:12" ht="69.650000000000006" customHeight="1" x14ac:dyDescent="0.35">
      <c r="A15" s="37" t="s">
        <v>15</v>
      </c>
      <c r="B15" s="45"/>
      <c r="C15" s="45"/>
      <c r="D15" s="45"/>
      <c r="E15" s="45"/>
      <c r="F15" s="63"/>
      <c r="G15" s="45"/>
      <c r="H15" s="64"/>
      <c r="I15" s="45"/>
      <c r="J15" s="52"/>
      <c r="K15" s="45"/>
    </row>
    <row r="16" spans="1:12" ht="93.65" customHeight="1" x14ac:dyDescent="0.35">
      <c r="A16" s="45" t="s">
        <v>22</v>
      </c>
      <c r="B16" s="45" t="s">
        <v>78</v>
      </c>
      <c r="C16" s="54">
        <v>5000</v>
      </c>
      <c r="D16" s="46">
        <v>4500</v>
      </c>
      <c r="E16" s="46">
        <v>0</v>
      </c>
      <c r="F16" s="59">
        <v>0</v>
      </c>
      <c r="G16" s="46">
        <v>0</v>
      </c>
      <c r="H16" s="62">
        <v>0</v>
      </c>
      <c r="I16" s="57">
        <v>0.1</v>
      </c>
      <c r="J16" s="52">
        <f>D16+G16+H16</f>
        <v>4500</v>
      </c>
      <c r="K16" s="45"/>
    </row>
    <row r="17" spans="1:11" ht="117" customHeight="1" x14ac:dyDescent="0.35">
      <c r="A17" s="45" t="s">
        <v>23</v>
      </c>
      <c r="B17" s="45" t="s">
        <v>77</v>
      </c>
      <c r="C17" s="54">
        <v>26500</v>
      </c>
      <c r="D17" s="77">
        <v>23934.42</v>
      </c>
      <c r="E17" s="46">
        <v>0</v>
      </c>
      <c r="F17" s="59">
        <v>0</v>
      </c>
      <c r="G17" s="46">
        <v>0</v>
      </c>
      <c r="H17" s="62">
        <v>0</v>
      </c>
      <c r="I17" s="57">
        <v>0.15</v>
      </c>
      <c r="J17" s="52">
        <f>D17+F17+H17</f>
        <v>23934.42</v>
      </c>
      <c r="K17" s="45"/>
    </row>
    <row r="18" spans="1:11" ht="108.65" customHeight="1" x14ac:dyDescent="0.35">
      <c r="A18" s="45" t="s">
        <v>24</v>
      </c>
      <c r="B18" s="45" t="s">
        <v>76</v>
      </c>
      <c r="C18" s="99">
        <v>10000</v>
      </c>
      <c r="D18" s="101">
        <v>8230.99</v>
      </c>
      <c r="E18" s="46">
        <v>0</v>
      </c>
      <c r="F18" s="59">
        <v>0</v>
      </c>
      <c r="G18" s="46">
        <v>0</v>
      </c>
      <c r="H18" s="62">
        <v>0</v>
      </c>
      <c r="I18" s="57">
        <v>0</v>
      </c>
      <c r="J18" s="52">
        <f>D18+F18+H18</f>
        <v>8230.99</v>
      </c>
      <c r="K18" s="45"/>
    </row>
    <row r="19" spans="1:11" ht="130.4" customHeight="1" x14ac:dyDescent="0.35">
      <c r="A19" s="45" t="s">
        <v>75</v>
      </c>
      <c r="B19" s="65" t="s">
        <v>115</v>
      </c>
      <c r="C19" s="66">
        <v>126916.18</v>
      </c>
      <c r="D19" s="87">
        <f>20598.29-7358</f>
        <v>13240.29</v>
      </c>
      <c r="E19" s="46">
        <v>0</v>
      </c>
      <c r="F19" s="59">
        <v>0</v>
      </c>
      <c r="G19" s="46">
        <v>0</v>
      </c>
      <c r="H19" s="62">
        <v>0</v>
      </c>
      <c r="I19" s="57">
        <v>0.1</v>
      </c>
      <c r="J19" s="52">
        <f>D19+F19+H19</f>
        <v>13240.29</v>
      </c>
      <c r="K19" s="45"/>
    </row>
    <row r="20" spans="1:11" ht="25.75" customHeight="1" x14ac:dyDescent="0.35">
      <c r="A20" s="67" t="s">
        <v>50</v>
      </c>
      <c r="B20" s="67"/>
      <c r="C20" s="68">
        <f>C19+C18+C17+C16+C14+C13+C12+C11+C10</f>
        <v>370416.18</v>
      </c>
      <c r="D20" s="68">
        <f>D19+D18+D17+D16+D14+D13+D12+D11+D10</f>
        <v>54694.2</v>
      </c>
      <c r="E20" s="46"/>
      <c r="F20" s="69">
        <f>F19+F18+G17+F16+F14+F13+F12+F11+F10</f>
        <v>15534.57</v>
      </c>
      <c r="G20" s="68">
        <f>G19+G18+H17+G16+G14+G13+G12+G11+G10</f>
        <v>200000</v>
      </c>
      <c r="H20" s="70">
        <f>H19+H18+I17+H16+H14+H13+H12+H11+H10</f>
        <v>53474.61</v>
      </c>
      <c r="I20" s="68">
        <f>SUM(C19*0.1)+(C17*0.15)+(C16*0.1)+(C14*0.1)+(E10*0.2079)+(E11*0.1186)</f>
        <v>74652.268000000011</v>
      </c>
      <c r="J20" s="68">
        <f>J19+J18+K17+J16+J14+J13+J12+J11+J10</f>
        <v>99768.81</v>
      </c>
      <c r="K20" s="67"/>
    </row>
    <row r="21" spans="1:11" ht="26.15" customHeight="1" x14ac:dyDescent="0.35">
      <c r="A21" s="37" t="s">
        <v>13</v>
      </c>
      <c r="B21" s="37"/>
      <c r="C21" s="37"/>
      <c r="D21" s="37"/>
      <c r="E21" s="37"/>
      <c r="F21" s="40"/>
      <c r="G21" s="37"/>
      <c r="H21" s="40"/>
      <c r="I21" s="37"/>
      <c r="J21" s="37"/>
      <c r="K21" s="37"/>
    </row>
    <row r="22" spans="1:11" ht="144.65" customHeight="1" x14ac:dyDescent="0.35">
      <c r="A22" s="37" t="s">
        <v>16</v>
      </c>
      <c r="B22" s="43" t="s">
        <v>58</v>
      </c>
      <c r="C22" s="71">
        <v>0</v>
      </c>
      <c r="D22" s="71"/>
      <c r="E22" s="72"/>
      <c r="F22" s="73">
        <v>0</v>
      </c>
      <c r="G22" s="71">
        <v>0</v>
      </c>
      <c r="H22" s="74">
        <v>0</v>
      </c>
      <c r="I22" s="41">
        <v>0.47510000000000002</v>
      </c>
      <c r="J22" s="52">
        <f>D22+F22+H22</f>
        <v>0</v>
      </c>
      <c r="K22" s="43"/>
    </row>
    <row r="23" spans="1:11" ht="127.75" customHeight="1" x14ac:dyDescent="0.35">
      <c r="A23" s="45" t="s">
        <v>25</v>
      </c>
      <c r="B23" s="45" t="s">
        <v>74</v>
      </c>
      <c r="C23" s="46">
        <v>0</v>
      </c>
      <c r="D23" s="46"/>
      <c r="E23" s="75">
        <v>23700</v>
      </c>
      <c r="F23" s="76">
        <v>321.95</v>
      </c>
      <c r="G23" s="46">
        <v>0</v>
      </c>
      <c r="H23" s="62">
        <v>0</v>
      </c>
      <c r="I23" s="51">
        <v>3.4000000000000002E-2</v>
      </c>
      <c r="J23" s="52">
        <f>D23+F23+H23</f>
        <v>321.95</v>
      </c>
      <c r="K23" s="43" t="s">
        <v>96</v>
      </c>
    </row>
    <row r="24" spans="1:11" ht="26.15" customHeight="1" x14ac:dyDescent="0.35">
      <c r="A24" s="45" t="s">
        <v>26</v>
      </c>
      <c r="B24" s="45" t="s">
        <v>73</v>
      </c>
      <c r="C24" s="46">
        <v>0</v>
      </c>
      <c r="D24" s="46"/>
      <c r="E24" s="52">
        <v>128000</v>
      </c>
      <c r="F24" s="76">
        <v>7468.85</v>
      </c>
      <c r="G24" s="46">
        <v>0</v>
      </c>
      <c r="H24" s="62">
        <v>0</v>
      </c>
      <c r="I24" s="51">
        <v>0.19339999999999999</v>
      </c>
      <c r="J24" s="52">
        <f>D24+F24+H24</f>
        <v>7468.85</v>
      </c>
      <c r="K24" s="43" t="s">
        <v>97</v>
      </c>
    </row>
    <row r="25" spans="1:11" ht="26.15" customHeight="1" x14ac:dyDescent="0.35">
      <c r="A25" s="45" t="s">
        <v>27</v>
      </c>
      <c r="B25" s="45" t="s">
        <v>72</v>
      </c>
      <c r="C25" s="46">
        <v>0</v>
      </c>
      <c r="D25" s="46"/>
      <c r="E25" s="52">
        <v>32000</v>
      </c>
      <c r="F25" s="59">
        <v>0</v>
      </c>
      <c r="G25" s="46">
        <v>0</v>
      </c>
      <c r="H25" s="62">
        <v>0</v>
      </c>
      <c r="I25" s="46">
        <v>0</v>
      </c>
      <c r="J25" s="52">
        <f>D25+F25+H25</f>
        <v>0</v>
      </c>
      <c r="K25" s="45"/>
    </row>
    <row r="26" spans="1:11" ht="26.15" customHeight="1" x14ac:dyDescent="0.35">
      <c r="A26" s="37" t="s">
        <v>17</v>
      </c>
      <c r="B26" s="43" t="s">
        <v>59</v>
      </c>
      <c r="C26" s="43"/>
      <c r="D26" s="43"/>
      <c r="E26" s="43"/>
      <c r="F26" s="44"/>
      <c r="G26" s="43"/>
      <c r="H26" s="44"/>
      <c r="I26" s="43"/>
      <c r="J26" s="43"/>
      <c r="K26" s="43"/>
    </row>
    <row r="27" spans="1:11" ht="114" customHeight="1" x14ac:dyDescent="0.35">
      <c r="A27" s="45" t="s">
        <v>28</v>
      </c>
      <c r="B27" s="45" t="s">
        <v>71</v>
      </c>
      <c r="C27" s="54">
        <v>5000</v>
      </c>
      <c r="D27" s="77">
        <v>5000</v>
      </c>
      <c r="E27" s="46">
        <v>0</v>
      </c>
      <c r="F27" s="59">
        <v>0</v>
      </c>
      <c r="G27" s="46">
        <v>0</v>
      </c>
      <c r="H27" s="62">
        <v>0</v>
      </c>
      <c r="I27" s="57">
        <v>0.1</v>
      </c>
      <c r="J27" s="52">
        <f>D27+F27+H27</f>
        <v>5000</v>
      </c>
      <c r="K27" s="45"/>
    </row>
    <row r="28" spans="1:11" ht="163.75" customHeight="1" x14ac:dyDescent="0.35">
      <c r="A28" s="45" t="s">
        <v>29</v>
      </c>
      <c r="B28" s="45" t="s">
        <v>70</v>
      </c>
      <c r="C28" s="54">
        <v>7000</v>
      </c>
      <c r="D28" s="77">
        <v>4910.84</v>
      </c>
      <c r="E28" s="46">
        <v>0</v>
      </c>
      <c r="F28" s="59">
        <v>0</v>
      </c>
      <c r="G28" s="46">
        <v>0</v>
      </c>
      <c r="H28" s="62">
        <v>0</v>
      </c>
      <c r="I28" s="57">
        <v>0.15</v>
      </c>
      <c r="J28" s="52">
        <f>D28+F28+H28</f>
        <v>4910.84</v>
      </c>
      <c r="K28" s="45"/>
    </row>
    <row r="29" spans="1:11" ht="126" customHeight="1" x14ac:dyDescent="0.35">
      <c r="A29" s="45" t="s">
        <v>30</v>
      </c>
      <c r="B29" s="45" t="s">
        <v>69</v>
      </c>
      <c r="C29" s="54">
        <v>7000</v>
      </c>
      <c r="D29" s="87">
        <v>6414.59</v>
      </c>
      <c r="E29" s="46">
        <v>0</v>
      </c>
      <c r="F29" s="59">
        <v>0</v>
      </c>
      <c r="G29" s="46">
        <v>0</v>
      </c>
      <c r="H29" s="62">
        <v>0</v>
      </c>
      <c r="I29" s="57">
        <v>0.15</v>
      </c>
      <c r="J29" s="52">
        <f>D29+F29+H29</f>
        <v>6414.59</v>
      </c>
      <c r="K29" s="45"/>
    </row>
    <row r="30" spans="1:11" ht="60" customHeight="1" x14ac:dyDescent="0.35">
      <c r="A30" s="45" t="s">
        <v>65</v>
      </c>
      <c r="B30" s="45" t="s">
        <v>68</v>
      </c>
      <c r="C30" s="54">
        <v>26500</v>
      </c>
      <c r="D30" s="77">
        <v>15660.1</v>
      </c>
      <c r="E30" s="46">
        <v>0</v>
      </c>
      <c r="F30" s="59">
        <v>0</v>
      </c>
      <c r="G30" s="46">
        <v>0</v>
      </c>
      <c r="H30" s="62">
        <v>0</v>
      </c>
      <c r="I30" s="57">
        <v>0.15</v>
      </c>
      <c r="J30" s="52">
        <f>E30+F30+H30</f>
        <v>0</v>
      </c>
      <c r="K30" s="45"/>
    </row>
    <row r="31" spans="1:11" ht="124.75" customHeight="1" x14ac:dyDescent="0.35">
      <c r="A31" s="45" t="s">
        <v>66</v>
      </c>
      <c r="B31" s="45" t="s">
        <v>67</v>
      </c>
      <c r="C31" s="46">
        <v>0</v>
      </c>
      <c r="D31" s="46"/>
      <c r="E31" s="46">
        <v>0</v>
      </c>
      <c r="F31" s="59">
        <v>0</v>
      </c>
      <c r="G31" s="77">
        <v>185000</v>
      </c>
      <c r="H31" s="62">
        <v>0</v>
      </c>
      <c r="I31" s="57">
        <v>0</v>
      </c>
      <c r="J31" s="52">
        <f>D31+F31+H31</f>
        <v>0</v>
      </c>
      <c r="K31" s="45"/>
    </row>
    <row r="32" spans="1:11" ht="93" customHeight="1" x14ac:dyDescent="0.35">
      <c r="A32" s="37" t="s">
        <v>18</v>
      </c>
      <c r="B32" s="43" t="s">
        <v>60</v>
      </c>
      <c r="C32" s="43"/>
      <c r="D32" s="43"/>
      <c r="E32" s="43"/>
      <c r="F32" s="44"/>
      <c r="G32" s="43"/>
      <c r="H32" s="44"/>
      <c r="I32" s="43"/>
      <c r="J32" s="43"/>
      <c r="K32" s="43"/>
    </row>
    <row r="33" spans="1:11" ht="122.5" customHeight="1" x14ac:dyDescent="0.35">
      <c r="A33" s="45" t="s">
        <v>31</v>
      </c>
      <c r="B33" s="78" t="s">
        <v>62</v>
      </c>
      <c r="C33" s="54">
        <v>25500</v>
      </c>
      <c r="D33" s="87">
        <v>25256.17</v>
      </c>
      <c r="E33" s="46">
        <v>0</v>
      </c>
      <c r="F33" s="59">
        <v>0</v>
      </c>
      <c r="G33" s="46">
        <v>0</v>
      </c>
      <c r="H33" s="62">
        <v>0</v>
      </c>
      <c r="I33" s="57">
        <v>0.15</v>
      </c>
      <c r="J33" s="52">
        <f>D33+F33+H33</f>
        <v>25256.17</v>
      </c>
      <c r="K33" s="45"/>
    </row>
    <row r="34" spans="1:11" ht="152.5" customHeight="1" x14ac:dyDescent="0.35">
      <c r="A34" s="45" t="s">
        <v>98</v>
      </c>
      <c r="B34" s="78" t="s">
        <v>99</v>
      </c>
      <c r="C34" s="46">
        <v>0</v>
      </c>
      <c r="D34" s="46"/>
      <c r="E34" s="54">
        <v>106394</v>
      </c>
      <c r="F34" s="76">
        <v>3577.74</v>
      </c>
      <c r="G34" s="46">
        <v>0</v>
      </c>
      <c r="H34" s="62">
        <v>0</v>
      </c>
      <c r="I34" s="51">
        <v>0.15939999999999999</v>
      </c>
      <c r="J34" s="52">
        <f>D35+F35+H35</f>
        <v>40507.440000000002</v>
      </c>
      <c r="K34" s="43" t="s">
        <v>100</v>
      </c>
    </row>
    <row r="35" spans="1:11" ht="107.5" customHeight="1" x14ac:dyDescent="0.35">
      <c r="A35" s="45" t="s">
        <v>32</v>
      </c>
      <c r="B35" s="78" t="s">
        <v>61</v>
      </c>
      <c r="C35" s="54">
        <v>44700</v>
      </c>
      <c r="D35" s="47">
        <v>40507.440000000002</v>
      </c>
      <c r="E35" s="45"/>
      <c r="F35" s="63"/>
      <c r="G35" s="77">
        <v>151800</v>
      </c>
      <c r="H35" s="64">
        <v>0</v>
      </c>
      <c r="I35" s="57">
        <v>0.15</v>
      </c>
      <c r="J35" s="79"/>
      <c r="K35" s="45"/>
    </row>
    <row r="36" spans="1:11" ht="80.5" customHeight="1" x14ac:dyDescent="0.35">
      <c r="A36" s="45" t="s">
        <v>63</v>
      </c>
      <c r="B36" s="43" t="s">
        <v>64</v>
      </c>
      <c r="C36" s="43"/>
      <c r="D36" s="43"/>
      <c r="E36" s="43"/>
      <c r="F36" s="44"/>
      <c r="G36" s="43"/>
      <c r="H36" s="44"/>
      <c r="I36" s="43"/>
      <c r="J36" s="43"/>
      <c r="K36" s="43"/>
    </row>
    <row r="37" spans="1:11" ht="112.75" customHeight="1" x14ac:dyDescent="0.35">
      <c r="A37" s="45" t="s">
        <v>83</v>
      </c>
      <c r="B37" s="45" t="s">
        <v>85</v>
      </c>
      <c r="C37" s="54">
        <v>7000</v>
      </c>
      <c r="D37" s="52">
        <v>1628</v>
      </c>
      <c r="E37" s="80">
        <v>0</v>
      </c>
      <c r="F37" s="81">
        <v>0</v>
      </c>
      <c r="G37" s="52">
        <v>0</v>
      </c>
      <c r="H37" s="56">
        <v>0</v>
      </c>
      <c r="I37" s="51">
        <v>8.8300000000000003E-2</v>
      </c>
      <c r="J37" s="52">
        <f>D37+F37+H37</f>
        <v>1628</v>
      </c>
      <c r="K37" s="82" t="s">
        <v>113</v>
      </c>
    </row>
    <row r="38" spans="1:11" ht="99.65" customHeight="1" x14ac:dyDescent="0.35">
      <c r="A38" s="45" t="s">
        <v>84</v>
      </c>
      <c r="B38" s="45" t="s">
        <v>86</v>
      </c>
      <c r="C38" s="46">
        <v>14000</v>
      </c>
      <c r="D38" s="46">
        <v>0</v>
      </c>
      <c r="E38" s="46">
        <v>0</v>
      </c>
      <c r="F38" s="59">
        <v>0</v>
      </c>
      <c r="G38" s="46">
        <v>0</v>
      </c>
      <c r="H38" s="62">
        <v>0</v>
      </c>
      <c r="I38" s="79"/>
      <c r="J38" s="52">
        <f>D38+F38+H38</f>
        <v>0</v>
      </c>
      <c r="K38" s="45"/>
    </row>
    <row r="39" spans="1:11" ht="88.4" customHeight="1" x14ac:dyDescent="0.35">
      <c r="A39" s="45" t="s">
        <v>87</v>
      </c>
      <c r="B39" s="45" t="s">
        <v>88</v>
      </c>
      <c r="C39" s="54">
        <v>14500</v>
      </c>
      <c r="D39" s="77">
        <v>7358</v>
      </c>
      <c r="E39" s="46">
        <v>0</v>
      </c>
      <c r="F39" s="59">
        <v>0</v>
      </c>
      <c r="G39" s="46">
        <v>0</v>
      </c>
      <c r="H39" s="62">
        <v>0</v>
      </c>
      <c r="I39" s="57">
        <v>0.15</v>
      </c>
      <c r="J39" s="52">
        <f>D39+F39+H39</f>
        <v>7358</v>
      </c>
      <c r="K39" s="45"/>
    </row>
    <row r="40" spans="1:11" ht="94.75" customHeight="1" x14ac:dyDescent="0.35">
      <c r="A40" s="45" t="s">
        <v>89</v>
      </c>
      <c r="B40" s="45" t="s">
        <v>90</v>
      </c>
      <c r="C40" s="46">
        <v>0</v>
      </c>
      <c r="D40" s="46"/>
      <c r="E40" s="54">
        <v>60746</v>
      </c>
      <c r="F40" s="76">
        <v>2755.3229999999999</v>
      </c>
      <c r="G40" s="46">
        <v>0</v>
      </c>
      <c r="H40" s="62">
        <v>0</v>
      </c>
      <c r="I40" s="57">
        <v>0</v>
      </c>
      <c r="J40" s="52">
        <f>D40+F40+H40</f>
        <v>2755.3229999999999</v>
      </c>
      <c r="K40" s="45"/>
    </row>
    <row r="41" spans="1:11" ht="32.5" customHeight="1" x14ac:dyDescent="0.35">
      <c r="A41" s="45"/>
      <c r="B41" s="45"/>
      <c r="C41" s="45"/>
      <c r="D41" s="45"/>
      <c r="E41" s="45"/>
      <c r="F41" s="63"/>
      <c r="G41" s="45"/>
      <c r="H41" s="64"/>
      <c r="I41" s="45"/>
      <c r="J41" s="45"/>
      <c r="K41" s="45"/>
    </row>
    <row r="42" spans="1:11" ht="26.15" customHeight="1" x14ac:dyDescent="0.35">
      <c r="A42" s="67" t="s">
        <v>51</v>
      </c>
      <c r="B42" s="67"/>
      <c r="C42" s="83">
        <f t="shared" ref="C42:H42" si="0">C40+C39+C38+C37+C35+C34+C33+C31+C30+C29+C28+C27+C25+C24+C23+C22</f>
        <v>151200</v>
      </c>
      <c r="D42" s="83">
        <f t="shared" si="0"/>
        <v>106735.14</v>
      </c>
      <c r="E42" s="84">
        <f t="shared" si="0"/>
        <v>350840</v>
      </c>
      <c r="F42" s="85">
        <f t="shared" si="0"/>
        <v>14123.863000000001</v>
      </c>
      <c r="G42" s="83">
        <f t="shared" si="0"/>
        <v>336800</v>
      </c>
      <c r="H42" s="86">
        <f t="shared" si="0"/>
        <v>0</v>
      </c>
      <c r="I42" s="83">
        <f>SUM(E22*0.4751)+(E23*0.034)+(E24*0.1934)+(C27*0.1)+(C28*0.15)+(C29*0.15)+(C30*0.15)+(C33*0.15)+(C35*0.15)+(C37*0.0883)+(C39*0.15)</f>
        <v>45459.1</v>
      </c>
      <c r="J42" s="68">
        <f>J40+J39+J38+J37+J35+J34+J33+J31+J30+J29+J28+J27+J25+J24+J23+J22</f>
        <v>101621.163</v>
      </c>
      <c r="K42" s="67"/>
    </row>
    <row r="43" spans="1:11" ht="72" customHeight="1" x14ac:dyDescent="0.35">
      <c r="A43" s="45" t="s">
        <v>33</v>
      </c>
      <c r="B43" s="37"/>
      <c r="C43" s="77">
        <v>200160</v>
      </c>
      <c r="D43" s="77">
        <v>198502.97</v>
      </c>
      <c r="E43" s="87">
        <v>157411.5</v>
      </c>
      <c r="F43" s="88">
        <v>44538.48</v>
      </c>
      <c r="G43" s="46">
        <v>0</v>
      </c>
      <c r="H43" s="62">
        <v>49745.97</v>
      </c>
      <c r="I43" s="57">
        <v>0</v>
      </c>
      <c r="J43" s="52">
        <f>D43+F43+H43</f>
        <v>292787.42000000004</v>
      </c>
      <c r="K43" s="37"/>
    </row>
    <row r="44" spans="1:11" ht="54.75" customHeight="1" x14ac:dyDescent="0.35">
      <c r="A44" s="45" t="s">
        <v>34</v>
      </c>
      <c r="B44" s="37"/>
      <c r="C44" s="77">
        <v>85662.85</v>
      </c>
      <c r="D44" s="77">
        <v>78650.34</v>
      </c>
      <c r="E44" s="87">
        <v>58754</v>
      </c>
      <c r="F44" s="88">
        <v>31194.43</v>
      </c>
      <c r="G44" s="46">
        <v>0</v>
      </c>
      <c r="H44" s="62">
        <v>44724.480000000003</v>
      </c>
      <c r="I44" s="57">
        <v>0</v>
      </c>
      <c r="J44" s="58">
        <f>D44+F44+H44</f>
        <v>154569.25</v>
      </c>
      <c r="K44" s="37"/>
    </row>
    <row r="45" spans="1:11" ht="26.15" customHeight="1" x14ac:dyDescent="0.35">
      <c r="A45" s="45" t="s">
        <v>35</v>
      </c>
      <c r="B45" s="45" t="s">
        <v>0</v>
      </c>
      <c r="C45" s="77">
        <v>69500</v>
      </c>
      <c r="D45" s="77">
        <v>53065.38</v>
      </c>
      <c r="E45" s="87">
        <v>20300</v>
      </c>
      <c r="F45" s="89">
        <v>0</v>
      </c>
      <c r="G45" s="46">
        <v>0</v>
      </c>
      <c r="H45" s="62">
        <v>0</v>
      </c>
      <c r="I45" s="57">
        <v>0</v>
      </c>
      <c r="J45" s="58">
        <f>D45+F45+H45</f>
        <v>53065.38</v>
      </c>
      <c r="K45" s="45"/>
    </row>
    <row r="46" spans="1:11" ht="26.15" customHeight="1" x14ac:dyDescent="0.35">
      <c r="A46" s="67" t="s">
        <v>52</v>
      </c>
      <c r="B46" s="67"/>
      <c r="C46" s="83">
        <f>C43+C44+C42+C20+C45</f>
        <v>876939.03</v>
      </c>
      <c r="D46" s="83">
        <f>D43+D44+D42+D20+D45</f>
        <v>491648.03</v>
      </c>
      <c r="E46" s="84">
        <f>E43+E44+E42+E20+E45</f>
        <v>587305.5</v>
      </c>
      <c r="F46" s="85">
        <f>F43+F44+F42+F20+F45</f>
        <v>105391.34299999999</v>
      </c>
      <c r="G46" s="90">
        <f>G20+G42+G43+G44+G45</f>
        <v>536800</v>
      </c>
      <c r="H46" s="91">
        <f>H20+H42+H43+H44+H45</f>
        <v>147945.06</v>
      </c>
      <c r="I46" s="67"/>
      <c r="J46" s="58">
        <f>D46+F46+H46</f>
        <v>744984.43299999996</v>
      </c>
      <c r="K46" s="68"/>
    </row>
    <row r="47" spans="1:11" ht="26.15" customHeight="1" x14ac:dyDescent="0.35">
      <c r="A47" s="92" t="s">
        <v>36</v>
      </c>
      <c r="B47" s="92"/>
      <c r="C47" s="93">
        <f t="shared" ref="C47:H47" si="1">C46*7%</f>
        <v>61385.732100000008</v>
      </c>
      <c r="D47" s="93">
        <f t="shared" si="1"/>
        <v>34415.362100000006</v>
      </c>
      <c r="E47" s="94">
        <v>56231.39</v>
      </c>
      <c r="F47" s="95">
        <f t="shared" ref="F47" si="2">F46*7%</f>
        <v>7377.39401</v>
      </c>
      <c r="G47" s="96">
        <f t="shared" si="1"/>
        <v>37576</v>
      </c>
      <c r="H47" s="97">
        <f t="shared" si="1"/>
        <v>10356.154200000001</v>
      </c>
      <c r="I47" s="92"/>
      <c r="J47" s="96">
        <f>J46*7%</f>
        <v>52148.910309999999</v>
      </c>
      <c r="K47" s="92"/>
    </row>
    <row r="48" spans="1:11" ht="26.15" customHeight="1" x14ac:dyDescent="0.35">
      <c r="A48" s="67" t="s">
        <v>37</v>
      </c>
      <c r="B48" s="67"/>
      <c r="C48" s="118">
        <f>C46+C47</f>
        <v>938324.76210000005</v>
      </c>
      <c r="D48" s="118">
        <f>D46+D47</f>
        <v>526063.39210000006</v>
      </c>
      <c r="E48" s="83">
        <f t="shared" ref="E48:H48" si="3">E46+E47</f>
        <v>643536.89</v>
      </c>
      <c r="F48" s="85">
        <f t="shared" si="3"/>
        <v>112768.73701</v>
      </c>
      <c r="G48" s="68">
        <f t="shared" si="3"/>
        <v>574376</v>
      </c>
      <c r="H48" s="70">
        <f t="shared" si="3"/>
        <v>158301.21419999999</v>
      </c>
      <c r="I48" s="68">
        <f>SUM(I20,I42)</f>
        <v>120111.36800000002</v>
      </c>
      <c r="J48" s="68">
        <f>J46+J47</f>
        <v>797133.34330999991</v>
      </c>
      <c r="K48" s="83"/>
    </row>
    <row r="49" spans="1:10" ht="26.15" customHeight="1" x14ac:dyDescent="0.35">
      <c r="A49" s="110" t="s">
        <v>118</v>
      </c>
      <c r="B49" s="109"/>
      <c r="C49" s="109"/>
      <c r="D49" s="109"/>
    </row>
    <row r="50" spans="1:10" ht="33.65" customHeight="1" x14ac:dyDescent="0.35">
      <c r="A50" s="79" t="s">
        <v>121</v>
      </c>
      <c r="B50" s="120" t="s">
        <v>122</v>
      </c>
      <c r="C50" s="102"/>
      <c r="D50" s="106">
        <v>174975.23</v>
      </c>
      <c r="E50" s="79"/>
      <c r="F50" s="121">
        <v>0</v>
      </c>
      <c r="G50" s="121"/>
      <c r="H50" s="121">
        <v>0</v>
      </c>
      <c r="I50" s="79"/>
      <c r="J50" s="79"/>
    </row>
    <row r="51" spans="1:10" ht="26.15" customHeight="1" x14ac:dyDescent="0.35">
      <c r="A51" s="79" t="s">
        <v>116</v>
      </c>
      <c r="B51" s="102" t="s">
        <v>123</v>
      </c>
      <c r="C51" s="107"/>
      <c r="D51" s="107">
        <v>21520</v>
      </c>
      <c r="E51" s="79"/>
      <c r="F51" s="121">
        <v>0</v>
      </c>
      <c r="G51" s="121"/>
      <c r="H51" s="121">
        <v>0</v>
      </c>
      <c r="I51" s="79"/>
      <c r="J51" s="79"/>
    </row>
    <row r="52" spans="1:10" ht="26.15" customHeight="1" x14ac:dyDescent="0.35">
      <c r="A52" s="103" t="s">
        <v>119</v>
      </c>
      <c r="B52" s="104"/>
      <c r="C52" s="105"/>
      <c r="D52" s="105">
        <f>D50+D51</f>
        <v>196495.23</v>
      </c>
      <c r="E52" s="112"/>
      <c r="F52" s="111"/>
      <c r="G52" s="112"/>
      <c r="H52" s="113"/>
      <c r="I52" s="79"/>
      <c r="J52" s="79"/>
    </row>
    <row r="53" spans="1:10" ht="26.15" customHeight="1" x14ac:dyDescent="0.35">
      <c r="A53" s="103" t="s">
        <v>120</v>
      </c>
      <c r="B53" s="103"/>
      <c r="C53" s="114">
        <f>C48</f>
        <v>938324.76210000005</v>
      </c>
      <c r="D53" s="114">
        <f>D48+D52</f>
        <v>722558.62210000004</v>
      </c>
      <c r="E53" s="114">
        <f>E48</f>
        <v>643536.89</v>
      </c>
      <c r="F53" s="115">
        <f>F48</f>
        <v>112768.73701</v>
      </c>
      <c r="G53" s="116">
        <f>G48</f>
        <v>574376</v>
      </c>
      <c r="H53" s="117">
        <f>H48</f>
        <v>158301.21419999999</v>
      </c>
      <c r="I53" s="116">
        <f>I48</f>
        <v>120111.36800000002</v>
      </c>
      <c r="J53" s="119">
        <f>D53+F53+H53</f>
        <v>993628.57331000012</v>
      </c>
    </row>
  </sheetData>
  <pageMargins left="0.7" right="0.7" top="0.75" bottom="0.75" header="0.3" footer="0.3"/>
  <pageSetup scale="44" orientation="landscape" r:id="rId1"/>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4"/>
  <sheetViews>
    <sheetView tabSelected="1" zoomScale="60" zoomScaleNormal="60" zoomScaleSheetLayoutView="80" workbookViewId="0">
      <pane ySplit="8" topLeftCell="A45" activePane="bottomLeft" state="frozen"/>
      <selection pane="bottomLeft" activeCell="B52" sqref="B52"/>
    </sheetView>
  </sheetViews>
  <sheetFormatPr defaultColWidth="8.81640625" defaultRowHeight="26.15" customHeight="1" x14ac:dyDescent="0.35"/>
  <cols>
    <col min="1" max="1" width="37.1796875" style="31" customWidth="1"/>
    <col min="2" max="2" width="67.90625" style="31" customWidth="1"/>
    <col min="3" max="4" width="25.54296875" style="31" customWidth="1"/>
    <col min="5" max="5" width="27.453125" style="31" customWidth="1"/>
    <col min="6" max="6" width="25.54296875" style="31" customWidth="1"/>
    <col min="7" max="7" width="25.54296875" style="32" customWidth="1"/>
    <col min="8" max="8" width="25.54296875" style="31" customWidth="1"/>
    <col min="9" max="9" width="25.54296875" style="33" customWidth="1"/>
    <col min="10" max="10" width="27.1796875" style="31" customWidth="1"/>
    <col min="11" max="11" width="26.54296875" style="31" customWidth="1"/>
    <col min="12" max="12" width="20.81640625" style="31" hidden="1" customWidth="1"/>
    <col min="13" max="13" width="22.54296875" style="31" customWidth="1"/>
    <col min="14" max="16" width="28.54296875" style="31" customWidth="1"/>
    <col min="17" max="17" width="34.1796875" style="31" customWidth="1"/>
    <col min="18" max="16384" width="8.81640625" style="31"/>
  </cols>
  <sheetData>
    <row r="1" spans="1:12" ht="15.5" x14ac:dyDescent="0.35">
      <c r="A1" s="30" t="s">
        <v>117</v>
      </c>
      <c r="B1" s="30"/>
    </row>
    <row r="2" spans="1:12" ht="15.5" x14ac:dyDescent="0.35">
      <c r="A2" s="30"/>
      <c r="B2" s="30"/>
    </row>
    <row r="3" spans="1:12" ht="15.5" x14ac:dyDescent="0.35">
      <c r="A3" s="30" t="s">
        <v>7</v>
      </c>
      <c r="B3" s="30"/>
    </row>
    <row r="4" spans="1:12" ht="15.5" x14ac:dyDescent="0.35"/>
    <row r="5" spans="1:12" ht="15.5" x14ac:dyDescent="0.35">
      <c r="A5" s="30" t="s">
        <v>8</v>
      </c>
      <c r="G5" s="98"/>
    </row>
    <row r="7" spans="1:12" ht="42" customHeight="1" x14ac:dyDescent="0.35">
      <c r="A7" s="153" t="s">
        <v>9</v>
      </c>
      <c r="B7" s="153" t="s">
        <v>10</v>
      </c>
      <c r="C7" s="153" t="s">
        <v>92</v>
      </c>
      <c r="D7" s="159" t="s">
        <v>102</v>
      </c>
      <c r="E7" s="160"/>
      <c r="F7" s="153" t="s">
        <v>93</v>
      </c>
      <c r="G7" s="155" t="s">
        <v>103</v>
      </c>
      <c r="H7" s="153" t="s">
        <v>94</v>
      </c>
      <c r="I7" s="155" t="s">
        <v>104</v>
      </c>
      <c r="J7" s="153" t="s">
        <v>11</v>
      </c>
      <c r="K7" s="153" t="s">
        <v>91</v>
      </c>
    </row>
    <row r="8" spans="1:12" ht="79.400000000000006" customHeight="1" x14ac:dyDescent="0.35">
      <c r="A8" s="154"/>
      <c r="B8" s="154"/>
      <c r="C8" s="154"/>
      <c r="D8" s="35" t="s">
        <v>124</v>
      </c>
      <c r="E8" s="35" t="s">
        <v>118</v>
      </c>
      <c r="F8" s="154"/>
      <c r="G8" s="156"/>
      <c r="H8" s="154"/>
      <c r="I8" s="156"/>
      <c r="J8" s="154"/>
      <c r="K8" s="154"/>
      <c r="L8" s="122" t="s">
        <v>12</v>
      </c>
    </row>
    <row r="9" spans="1:12" s="42" customFormat="1" ht="195.5" customHeight="1" x14ac:dyDescent="0.35">
      <c r="A9" s="37" t="s">
        <v>53</v>
      </c>
      <c r="B9" s="37"/>
      <c r="C9" s="37"/>
      <c r="D9" s="37"/>
      <c r="E9" s="37"/>
      <c r="F9" s="38"/>
      <c r="G9" s="137"/>
      <c r="H9" s="37"/>
      <c r="I9" s="137"/>
      <c r="J9" s="41"/>
      <c r="K9" s="37"/>
      <c r="L9" s="37"/>
    </row>
    <row r="10" spans="1:12" ht="99" customHeight="1" x14ac:dyDescent="0.35">
      <c r="A10" s="37" t="s">
        <v>14</v>
      </c>
      <c r="B10" s="43" t="s">
        <v>54</v>
      </c>
      <c r="C10" s="43"/>
      <c r="D10" s="43"/>
      <c r="E10" s="43"/>
      <c r="F10" s="43"/>
      <c r="G10" s="138"/>
      <c r="H10" s="43"/>
      <c r="I10" s="138"/>
      <c r="J10" s="43"/>
      <c r="K10" s="43"/>
      <c r="L10" s="43"/>
    </row>
    <row r="11" spans="1:12" ht="110.5" customHeight="1" x14ac:dyDescent="0.35">
      <c r="A11" s="45" t="s">
        <v>19</v>
      </c>
      <c r="B11" s="45" t="s">
        <v>82</v>
      </c>
      <c r="C11" s="46">
        <v>0</v>
      </c>
      <c r="D11" s="46"/>
      <c r="E11" s="46"/>
      <c r="F11" s="47">
        <v>138500</v>
      </c>
      <c r="G11" s="124">
        <v>110075.89</v>
      </c>
      <c r="H11" s="49">
        <v>0</v>
      </c>
      <c r="I11" s="149">
        <v>0</v>
      </c>
      <c r="J11" s="51">
        <v>0.2079</v>
      </c>
      <c r="K11" s="52">
        <f>D11+G11+I11</f>
        <v>110075.89</v>
      </c>
      <c r="L11" s="45" t="s">
        <v>112</v>
      </c>
    </row>
    <row r="12" spans="1:12" ht="77.5" customHeight="1" x14ac:dyDescent="0.35">
      <c r="A12" s="45" t="s">
        <v>20</v>
      </c>
      <c r="B12" s="45" t="s">
        <v>81</v>
      </c>
      <c r="C12" s="46">
        <v>0</v>
      </c>
      <c r="D12" s="46"/>
      <c r="E12" s="46"/>
      <c r="F12" s="47">
        <v>77500</v>
      </c>
      <c r="G12" s="124">
        <v>40079.65</v>
      </c>
      <c r="H12" s="49">
        <v>0</v>
      </c>
      <c r="I12" s="149">
        <v>0</v>
      </c>
      <c r="J12" s="51">
        <v>0.1186</v>
      </c>
      <c r="K12" s="52">
        <f t="shared" ref="K12:K20" si="0">D12+G12+I12</f>
        <v>40079.65</v>
      </c>
      <c r="L12" s="43" t="s">
        <v>101</v>
      </c>
    </row>
    <row r="13" spans="1:12" ht="126.65" customHeight="1" x14ac:dyDescent="0.35">
      <c r="A13" s="45" t="s">
        <v>21</v>
      </c>
      <c r="B13" s="45" t="s">
        <v>80</v>
      </c>
      <c r="C13" s="54">
        <v>7000</v>
      </c>
      <c r="D13" s="100">
        <v>4788.5</v>
      </c>
      <c r="E13" s="100"/>
      <c r="F13" s="52">
        <v>0</v>
      </c>
      <c r="G13" s="139">
        <v>0</v>
      </c>
      <c r="H13" s="52">
        <v>0</v>
      </c>
      <c r="I13" s="139">
        <v>0</v>
      </c>
      <c r="J13" s="57">
        <v>0</v>
      </c>
      <c r="K13" s="58">
        <f>D13+G13+I13</f>
        <v>4788.5</v>
      </c>
      <c r="L13" s="45" t="s">
        <v>95</v>
      </c>
    </row>
    <row r="14" spans="1:12" ht="83.5" customHeight="1" x14ac:dyDescent="0.35">
      <c r="A14" s="45" t="s">
        <v>55</v>
      </c>
      <c r="B14" s="45" t="s">
        <v>57</v>
      </c>
      <c r="C14" s="46">
        <v>0</v>
      </c>
      <c r="D14" s="46"/>
      <c r="E14" s="46"/>
      <c r="F14" s="46">
        <v>0</v>
      </c>
      <c r="G14" s="140">
        <v>0</v>
      </c>
      <c r="H14" s="60">
        <v>200000</v>
      </c>
      <c r="I14" s="150">
        <v>164068.71</v>
      </c>
      <c r="J14" s="57">
        <v>0</v>
      </c>
      <c r="K14" s="52">
        <f>D14+G14+I14</f>
        <v>164068.71</v>
      </c>
      <c r="L14" s="45"/>
    </row>
    <row r="15" spans="1:12" ht="162" customHeight="1" x14ac:dyDescent="0.35">
      <c r="A15" s="45" t="s">
        <v>56</v>
      </c>
      <c r="B15" s="45" t="s">
        <v>126</v>
      </c>
      <c r="C15" s="54">
        <v>195000</v>
      </c>
      <c r="D15" s="87"/>
      <c r="E15" s="123">
        <v>174975.23</v>
      </c>
      <c r="F15" s="46">
        <v>0</v>
      </c>
      <c r="G15" s="140">
        <v>0</v>
      </c>
      <c r="H15" s="46">
        <v>0</v>
      </c>
      <c r="I15" s="140">
        <v>0</v>
      </c>
      <c r="J15" s="57">
        <v>0.1</v>
      </c>
      <c r="K15" s="58">
        <f>D15+G15+I15+E15</f>
        <v>174975.23</v>
      </c>
      <c r="L15" s="45"/>
    </row>
    <row r="16" spans="1:12" ht="69.650000000000006" customHeight="1" x14ac:dyDescent="0.35">
      <c r="A16" s="37" t="s">
        <v>15</v>
      </c>
      <c r="B16" s="45"/>
      <c r="C16" s="45"/>
      <c r="D16" s="45"/>
      <c r="E16" s="45"/>
      <c r="F16" s="45"/>
      <c r="G16" s="141"/>
      <c r="H16" s="45"/>
      <c r="I16" s="141"/>
      <c r="J16" s="45"/>
      <c r="K16" s="52"/>
      <c r="L16" s="45"/>
    </row>
    <row r="17" spans="1:12" ht="93.65" customHeight="1" x14ac:dyDescent="0.35">
      <c r="A17" s="45" t="s">
        <v>22</v>
      </c>
      <c r="B17" s="45" t="s">
        <v>78</v>
      </c>
      <c r="C17" s="54">
        <v>5000</v>
      </c>
      <c r="D17" s="46">
        <v>4500</v>
      </c>
      <c r="E17" s="46"/>
      <c r="F17" s="46">
        <v>0</v>
      </c>
      <c r="G17" s="140">
        <v>0</v>
      </c>
      <c r="H17" s="46">
        <v>0</v>
      </c>
      <c r="I17" s="140">
        <v>0</v>
      </c>
      <c r="J17" s="57">
        <v>0.1</v>
      </c>
      <c r="K17" s="52">
        <f>D17+H17+I17</f>
        <v>4500</v>
      </c>
      <c r="L17" s="45"/>
    </row>
    <row r="18" spans="1:12" ht="117" customHeight="1" x14ac:dyDescent="0.35">
      <c r="A18" s="45" t="s">
        <v>23</v>
      </c>
      <c r="B18" s="45" t="s">
        <v>77</v>
      </c>
      <c r="C18" s="54">
        <v>26500</v>
      </c>
      <c r="D18" s="77">
        <v>23934.42</v>
      </c>
      <c r="E18" s="77"/>
      <c r="F18" s="46">
        <v>0</v>
      </c>
      <c r="G18" s="140">
        <v>0</v>
      </c>
      <c r="H18" s="46">
        <v>0</v>
      </c>
      <c r="I18" s="140">
        <v>0</v>
      </c>
      <c r="J18" s="57">
        <v>0.15</v>
      </c>
      <c r="K18" s="52">
        <f>D18+G18+I18</f>
        <v>23934.42</v>
      </c>
      <c r="L18" s="45"/>
    </row>
    <row r="19" spans="1:12" ht="108.65" customHeight="1" x14ac:dyDescent="0.35">
      <c r="A19" s="45" t="s">
        <v>24</v>
      </c>
      <c r="B19" s="45" t="s">
        <v>76</v>
      </c>
      <c r="C19" s="99">
        <v>10000</v>
      </c>
      <c r="D19" s="101">
        <v>8230.99</v>
      </c>
      <c r="E19" s="101"/>
      <c r="F19" s="46">
        <v>0</v>
      </c>
      <c r="G19" s="140">
        <v>0</v>
      </c>
      <c r="H19" s="46">
        <v>0</v>
      </c>
      <c r="I19" s="140">
        <v>0</v>
      </c>
      <c r="J19" s="57">
        <v>0</v>
      </c>
      <c r="K19" s="52">
        <f t="shared" si="0"/>
        <v>8230.99</v>
      </c>
      <c r="L19" s="45"/>
    </row>
    <row r="20" spans="1:12" ht="130.4" customHeight="1" x14ac:dyDescent="0.35">
      <c r="A20" s="45" t="s">
        <v>75</v>
      </c>
      <c r="B20" s="65" t="s">
        <v>115</v>
      </c>
      <c r="C20" s="66">
        <v>126916.18</v>
      </c>
      <c r="D20" s="87">
        <f>20598.29-7358</f>
        <v>13240.29</v>
      </c>
      <c r="E20" s="87"/>
      <c r="F20" s="46">
        <v>0</v>
      </c>
      <c r="G20" s="140">
        <v>0</v>
      </c>
      <c r="H20" s="46">
        <v>0</v>
      </c>
      <c r="I20" s="140">
        <v>0</v>
      </c>
      <c r="J20" s="57">
        <v>0.1</v>
      </c>
      <c r="K20" s="52">
        <f t="shared" si="0"/>
        <v>13240.29</v>
      </c>
      <c r="L20" s="45"/>
    </row>
    <row r="21" spans="1:12" ht="25.75" customHeight="1" x14ac:dyDescent="0.35">
      <c r="A21" s="67" t="s">
        <v>50</v>
      </c>
      <c r="B21" s="67"/>
      <c r="C21" s="68">
        <f>C20+C19+C18+C17+C15+C14+C13+C12+C11</f>
        <v>370416.18</v>
      </c>
      <c r="D21" s="68">
        <f>D20+D19+D18+D17+D15+D14+D13+D12+D11</f>
        <v>54694.2</v>
      </c>
      <c r="E21" s="83">
        <f>E20+E19+E18+E17+E15+E14+E13+E12+E11</f>
        <v>174975.23</v>
      </c>
      <c r="F21" s="46"/>
      <c r="G21" s="142">
        <f>G20+G19+H18+G17+G15+G14+G13+G12+G11</f>
        <v>150155.54</v>
      </c>
      <c r="H21" s="68">
        <f>H20+H19+I18+H17+H15+H14+H13+H12+H11</f>
        <v>200000</v>
      </c>
      <c r="I21" s="142">
        <f>I20+I19+J18+I17+I15+I14+I13+I12+I11</f>
        <v>164068.85999999999</v>
      </c>
      <c r="J21" s="68">
        <f>SUM(C20*0.1)+(C18*0.15)+(C17*0.1)+(C15*0.1)+(F11*0.2079)+(F12*0.1186)</f>
        <v>74652.268000000011</v>
      </c>
      <c r="K21" s="68">
        <f>K20+K19+L18+K17+K15+K14+K13+K12+K11</f>
        <v>519959.26</v>
      </c>
      <c r="L21" s="67"/>
    </row>
    <row r="22" spans="1:12" ht="26.15" customHeight="1" x14ac:dyDescent="0.35">
      <c r="A22" s="37" t="s">
        <v>13</v>
      </c>
      <c r="B22" s="37"/>
      <c r="C22" s="37"/>
      <c r="D22" s="37"/>
      <c r="E22" s="37"/>
      <c r="F22" s="37"/>
      <c r="G22" s="143"/>
      <c r="H22" s="37"/>
      <c r="I22" s="137"/>
      <c r="J22" s="37"/>
      <c r="K22" s="37"/>
      <c r="L22" s="37"/>
    </row>
    <row r="23" spans="1:12" ht="144.65" customHeight="1" x14ac:dyDescent="0.35">
      <c r="A23" s="37" t="s">
        <v>16</v>
      </c>
      <c r="B23" s="43" t="s">
        <v>58</v>
      </c>
      <c r="C23" s="71">
        <v>0</v>
      </c>
      <c r="D23" s="71"/>
      <c r="E23" s="71"/>
      <c r="F23" s="72"/>
      <c r="G23" s="144">
        <v>0</v>
      </c>
      <c r="H23" s="71">
        <v>0</v>
      </c>
      <c r="I23" s="144">
        <v>0</v>
      </c>
      <c r="J23" s="41">
        <v>0.47510000000000002</v>
      </c>
      <c r="K23" s="52">
        <f>D23+G23+I23</f>
        <v>0</v>
      </c>
      <c r="L23" s="43"/>
    </row>
    <row r="24" spans="1:12" ht="127.75" customHeight="1" x14ac:dyDescent="0.35">
      <c r="A24" s="45" t="s">
        <v>25</v>
      </c>
      <c r="B24" s="45" t="s">
        <v>74</v>
      </c>
      <c r="C24" s="46">
        <v>0</v>
      </c>
      <c r="D24" s="46"/>
      <c r="E24" s="46"/>
      <c r="F24" s="75">
        <v>23700</v>
      </c>
      <c r="G24" s="145">
        <v>18110.580000000002</v>
      </c>
      <c r="H24" s="46">
        <v>0</v>
      </c>
      <c r="I24" s="140">
        <v>0</v>
      </c>
      <c r="J24" s="51">
        <v>3.4000000000000002E-2</v>
      </c>
      <c r="K24" s="52">
        <f>D24+G24+I24</f>
        <v>18110.580000000002</v>
      </c>
      <c r="L24" s="43" t="s">
        <v>96</v>
      </c>
    </row>
    <row r="25" spans="1:12" ht="26.15" customHeight="1" x14ac:dyDescent="0.35">
      <c r="A25" s="45" t="s">
        <v>26</v>
      </c>
      <c r="B25" s="45" t="s">
        <v>73</v>
      </c>
      <c r="C25" s="46">
        <v>0</v>
      </c>
      <c r="D25" s="46"/>
      <c r="E25" s="46"/>
      <c r="F25" s="52">
        <v>128000</v>
      </c>
      <c r="G25" s="145">
        <v>60915.73</v>
      </c>
      <c r="H25" s="46">
        <v>0</v>
      </c>
      <c r="I25" s="140">
        <v>0</v>
      </c>
      <c r="J25" s="51">
        <v>0.19339999999999999</v>
      </c>
      <c r="K25" s="52">
        <f>D25+G25+I25</f>
        <v>60915.73</v>
      </c>
      <c r="L25" s="43" t="s">
        <v>97</v>
      </c>
    </row>
    <row r="26" spans="1:12" ht="26.15" customHeight="1" x14ac:dyDescent="0.35">
      <c r="A26" s="45" t="s">
        <v>27</v>
      </c>
      <c r="B26" s="45" t="s">
        <v>72</v>
      </c>
      <c r="C26" s="46">
        <v>0</v>
      </c>
      <c r="D26" s="46"/>
      <c r="E26" s="46"/>
      <c r="F26" s="52">
        <v>32000</v>
      </c>
      <c r="G26" s="145">
        <v>27788.639999999999</v>
      </c>
      <c r="H26" s="46">
        <v>0</v>
      </c>
      <c r="I26" s="140">
        <v>0</v>
      </c>
      <c r="J26" s="46">
        <v>0</v>
      </c>
      <c r="K26" s="52">
        <f>D26+G26+I26</f>
        <v>27788.639999999999</v>
      </c>
      <c r="L26" s="45"/>
    </row>
    <row r="27" spans="1:12" ht="26.15" customHeight="1" x14ac:dyDescent="0.35">
      <c r="A27" s="37" t="s">
        <v>17</v>
      </c>
      <c r="B27" s="43" t="s">
        <v>59</v>
      </c>
      <c r="C27" s="43"/>
      <c r="D27" s="43"/>
      <c r="E27" s="43"/>
      <c r="F27" s="43"/>
      <c r="G27" s="138"/>
      <c r="H27" s="43"/>
      <c r="I27" s="138"/>
      <c r="J27" s="43"/>
      <c r="K27" s="43"/>
      <c r="L27" s="43"/>
    </row>
    <row r="28" spans="1:12" ht="114" customHeight="1" x14ac:dyDescent="0.35">
      <c r="A28" s="45" t="s">
        <v>28</v>
      </c>
      <c r="B28" s="45" t="s">
        <v>71</v>
      </c>
      <c r="C28" s="54">
        <v>5000</v>
      </c>
      <c r="D28" s="77">
        <v>5000</v>
      </c>
      <c r="E28" s="77"/>
      <c r="F28" s="46">
        <v>0</v>
      </c>
      <c r="G28" s="140">
        <v>0</v>
      </c>
      <c r="H28" s="46">
        <v>0</v>
      </c>
      <c r="I28" s="140">
        <v>0</v>
      </c>
      <c r="J28" s="57">
        <v>0.1</v>
      </c>
      <c r="K28" s="52">
        <f>D28+G28+I28</f>
        <v>5000</v>
      </c>
      <c r="L28" s="45"/>
    </row>
    <row r="29" spans="1:12" ht="163.75" customHeight="1" x14ac:dyDescent="0.35">
      <c r="A29" s="45" t="s">
        <v>29</v>
      </c>
      <c r="B29" s="45" t="s">
        <v>70</v>
      </c>
      <c r="C29" s="54">
        <v>7000</v>
      </c>
      <c r="D29" s="77">
        <v>4910.84</v>
      </c>
      <c r="E29" s="77"/>
      <c r="F29" s="46">
        <v>0</v>
      </c>
      <c r="G29" s="140">
        <v>0</v>
      </c>
      <c r="H29" s="46">
        <v>0</v>
      </c>
      <c r="I29" s="140">
        <v>0</v>
      </c>
      <c r="J29" s="57">
        <v>0.15</v>
      </c>
      <c r="K29" s="52">
        <f>D29+G29+I29</f>
        <v>4910.84</v>
      </c>
      <c r="L29" s="45"/>
    </row>
    <row r="30" spans="1:12" ht="126" customHeight="1" x14ac:dyDescent="0.35">
      <c r="A30" s="45" t="s">
        <v>30</v>
      </c>
      <c r="B30" s="45" t="s">
        <v>69</v>
      </c>
      <c r="C30" s="54">
        <v>7000</v>
      </c>
      <c r="D30" s="87">
        <v>6414.59</v>
      </c>
      <c r="E30" s="87"/>
      <c r="F30" s="46">
        <v>0</v>
      </c>
      <c r="G30" s="140">
        <v>0</v>
      </c>
      <c r="H30" s="46">
        <v>0</v>
      </c>
      <c r="I30" s="140">
        <v>0</v>
      </c>
      <c r="J30" s="57">
        <v>0.15</v>
      </c>
      <c r="K30" s="52">
        <f>D30+G30+I30</f>
        <v>6414.59</v>
      </c>
      <c r="L30" s="45"/>
    </row>
    <row r="31" spans="1:12" ht="60" customHeight="1" x14ac:dyDescent="0.35">
      <c r="A31" s="45" t="s">
        <v>65</v>
      </c>
      <c r="B31" s="45" t="s">
        <v>68</v>
      </c>
      <c r="C31" s="54">
        <v>26500</v>
      </c>
      <c r="D31" s="77">
        <v>15660.1</v>
      </c>
      <c r="E31" s="77"/>
      <c r="F31" s="46">
        <v>0</v>
      </c>
      <c r="G31" s="140">
        <v>0</v>
      </c>
      <c r="H31" s="46">
        <v>0</v>
      </c>
      <c r="I31" s="140">
        <v>0</v>
      </c>
      <c r="J31" s="57">
        <v>0.15</v>
      </c>
      <c r="K31" s="52">
        <f>F31+G31+I31</f>
        <v>0</v>
      </c>
      <c r="L31" s="45"/>
    </row>
    <row r="32" spans="1:12" ht="124.75" customHeight="1" x14ac:dyDescent="0.35">
      <c r="A32" s="45" t="s">
        <v>66</v>
      </c>
      <c r="B32" s="45" t="s">
        <v>67</v>
      </c>
      <c r="C32" s="46">
        <v>0</v>
      </c>
      <c r="D32" s="46"/>
      <c r="E32" s="46"/>
      <c r="F32" s="46">
        <v>0</v>
      </c>
      <c r="G32" s="140">
        <v>0</v>
      </c>
      <c r="H32" s="77">
        <v>185000</v>
      </c>
      <c r="I32" s="145">
        <v>109122.02</v>
      </c>
      <c r="J32" s="57">
        <v>0</v>
      </c>
      <c r="K32" s="52">
        <f>D32+G32+I32</f>
        <v>109122.02</v>
      </c>
      <c r="L32" s="45"/>
    </row>
    <row r="33" spans="1:12" ht="130" customHeight="1" x14ac:dyDescent="0.35">
      <c r="A33" s="37" t="s">
        <v>18</v>
      </c>
      <c r="B33" s="43" t="s">
        <v>60</v>
      </c>
      <c r="C33" s="43"/>
      <c r="D33" s="43"/>
      <c r="E33" s="43"/>
      <c r="F33" s="43"/>
      <c r="G33" s="138"/>
      <c r="H33" s="43"/>
      <c r="I33" s="138"/>
      <c r="J33" s="43"/>
      <c r="K33" s="43"/>
      <c r="L33" s="43"/>
    </row>
    <row r="34" spans="1:12" ht="154" customHeight="1" x14ac:dyDescent="0.35">
      <c r="A34" s="45" t="s">
        <v>31</v>
      </c>
      <c r="B34" s="78" t="s">
        <v>62</v>
      </c>
      <c r="C34" s="54">
        <v>25500</v>
      </c>
      <c r="D34" s="87">
        <v>25256.17</v>
      </c>
      <c r="E34" s="87"/>
      <c r="F34" s="46">
        <v>0</v>
      </c>
      <c r="G34" s="140">
        <v>0</v>
      </c>
      <c r="H34" s="46">
        <v>0</v>
      </c>
      <c r="I34" s="140">
        <v>0</v>
      </c>
      <c r="J34" s="57">
        <v>0.15</v>
      </c>
      <c r="K34" s="52">
        <f>D34+G34+I34</f>
        <v>25256.17</v>
      </c>
      <c r="L34" s="45"/>
    </row>
    <row r="35" spans="1:12" ht="263.5" customHeight="1" x14ac:dyDescent="0.35">
      <c r="A35" s="45" t="s">
        <v>98</v>
      </c>
      <c r="B35" s="78" t="s">
        <v>99</v>
      </c>
      <c r="C35" s="46">
        <v>0</v>
      </c>
      <c r="D35" s="46"/>
      <c r="E35" s="46"/>
      <c r="F35" s="54">
        <v>106394</v>
      </c>
      <c r="G35" s="145">
        <v>40259.660000000003</v>
      </c>
      <c r="H35" s="46">
        <v>0</v>
      </c>
      <c r="I35" s="140">
        <v>0</v>
      </c>
      <c r="J35" s="51">
        <v>0.15939999999999999</v>
      </c>
      <c r="K35" s="52">
        <f>D36+G36+I36</f>
        <v>121757.08</v>
      </c>
      <c r="L35" s="43" t="s">
        <v>100</v>
      </c>
    </row>
    <row r="36" spans="1:12" ht="107.5" customHeight="1" x14ac:dyDescent="0.35">
      <c r="A36" s="45" t="s">
        <v>32</v>
      </c>
      <c r="B36" s="78" t="s">
        <v>61</v>
      </c>
      <c r="C36" s="54">
        <v>44700</v>
      </c>
      <c r="D36" s="47">
        <v>40507.440000000002</v>
      </c>
      <c r="E36" s="47"/>
      <c r="F36" s="45"/>
      <c r="G36" s="141"/>
      <c r="H36" s="77">
        <v>151800</v>
      </c>
      <c r="I36" s="145">
        <v>81249.64</v>
      </c>
      <c r="J36" s="57">
        <v>0.15</v>
      </c>
      <c r="K36" s="79"/>
      <c r="L36" s="45"/>
    </row>
    <row r="37" spans="1:12" ht="97" customHeight="1" x14ac:dyDescent="0.35">
      <c r="A37" s="45" t="s">
        <v>63</v>
      </c>
      <c r="B37" s="43" t="s">
        <v>64</v>
      </c>
      <c r="C37" s="43"/>
      <c r="D37" s="43"/>
      <c r="E37" s="43"/>
      <c r="F37" s="43"/>
      <c r="G37" s="138"/>
      <c r="H37" s="43"/>
      <c r="I37" s="138"/>
      <c r="J37" s="43"/>
      <c r="K37" s="43"/>
      <c r="L37" s="43"/>
    </row>
    <row r="38" spans="1:12" ht="112.75" customHeight="1" x14ac:dyDescent="0.35">
      <c r="A38" s="45" t="s">
        <v>83</v>
      </c>
      <c r="B38" s="45" t="s">
        <v>85</v>
      </c>
      <c r="C38" s="54">
        <v>7000</v>
      </c>
      <c r="D38" s="52">
        <v>1628</v>
      </c>
      <c r="E38" s="52"/>
      <c r="F38" s="80">
        <v>0</v>
      </c>
      <c r="G38" s="146">
        <v>0</v>
      </c>
      <c r="H38" s="80">
        <v>0</v>
      </c>
      <c r="I38" s="146">
        <v>0</v>
      </c>
      <c r="J38" s="41">
        <v>8.8300000000000003E-2</v>
      </c>
      <c r="K38" s="52">
        <f>D38+G38+I38</f>
        <v>1628</v>
      </c>
      <c r="L38" s="82" t="s">
        <v>113</v>
      </c>
    </row>
    <row r="39" spans="1:12" ht="99.65" customHeight="1" x14ac:dyDescent="0.35">
      <c r="A39" s="45" t="s">
        <v>84</v>
      </c>
      <c r="B39" s="45" t="s">
        <v>86</v>
      </c>
      <c r="C39" s="46">
        <v>14000</v>
      </c>
      <c r="D39" s="46">
        <v>0</v>
      </c>
      <c r="E39" s="46"/>
      <c r="F39" s="46">
        <v>0</v>
      </c>
      <c r="G39" s="140">
        <v>0</v>
      </c>
      <c r="H39" s="46">
        <v>0</v>
      </c>
      <c r="I39" s="140">
        <v>0</v>
      </c>
      <c r="J39" s="79"/>
      <c r="K39" s="52">
        <f>D39+G39+I39</f>
        <v>0</v>
      </c>
      <c r="L39" s="45"/>
    </row>
    <row r="40" spans="1:12" ht="88.4" customHeight="1" x14ac:dyDescent="0.35">
      <c r="A40" s="45" t="s">
        <v>87</v>
      </c>
      <c r="B40" s="45" t="s">
        <v>88</v>
      </c>
      <c r="C40" s="54">
        <v>14500</v>
      </c>
      <c r="D40" s="77">
        <v>7358</v>
      </c>
      <c r="E40" s="77"/>
      <c r="F40" s="46">
        <v>0</v>
      </c>
      <c r="G40" s="140">
        <v>0</v>
      </c>
      <c r="H40" s="46">
        <v>0</v>
      </c>
      <c r="I40" s="140">
        <v>0</v>
      </c>
      <c r="J40" s="57">
        <v>0.15</v>
      </c>
      <c r="K40" s="52">
        <f>D40+G40+I40</f>
        <v>7358</v>
      </c>
      <c r="L40" s="45"/>
    </row>
    <row r="41" spans="1:12" ht="94.75" customHeight="1" x14ac:dyDescent="0.35">
      <c r="A41" s="45" t="s">
        <v>89</v>
      </c>
      <c r="B41" s="45" t="s">
        <v>90</v>
      </c>
      <c r="C41" s="46">
        <v>0</v>
      </c>
      <c r="D41" s="46"/>
      <c r="E41" s="46"/>
      <c r="F41" s="54">
        <v>60746</v>
      </c>
      <c r="G41" s="145">
        <v>27006.89</v>
      </c>
      <c r="H41" s="46">
        <v>0</v>
      </c>
      <c r="I41" s="140">
        <v>0</v>
      </c>
      <c r="J41" s="57">
        <v>0</v>
      </c>
      <c r="K41" s="52">
        <f>D41+G41+I41</f>
        <v>27006.89</v>
      </c>
      <c r="L41" s="45"/>
    </row>
    <row r="42" spans="1:12" ht="32.5" customHeight="1" x14ac:dyDescent="0.35">
      <c r="A42" s="45"/>
      <c r="B42" s="45"/>
      <c r="C42" s="45"/>
      <c r="D42" s="45"/>
      <c r="E42" s="45"/>
      <c r="F42" s="45"/>
      <c r="G42" s="141"/>
      <c r="H42" s="45"/>
      <c r="I42" s="141"/>
      <c r="J42" s="45"/>
      <c r="K42" s="45"/>
      <c r="L42" s="45"/>
    </row>
    <row r="43" spans="1:12" ht="26.15" customHeight="1" x14ac:dyDescent="0.35">
      <c r="A43" s="67" t="s">
        <v>51</v>
      </c>
      <c r="B43" s="67"/>
      <c r="C43" s="83">
        <f t="shared" ref="C43:I43" si="1">C41+C40+C39+C38+C36+C35+C34+C32+C31+C30+C29+C28+C26+C25+C24+C23</f>
        <v>151200</v>
      </c>
      <c r="D43" s="83">
        <f t="shared" si="1"/>
        <v>106735.14</v>
      </c>
      <c r="E43" s="83">
        <f t="shared" si="1"/>
        <v>0</v>
      </c>
      <c r="F43" s="84">
        <f t="shared" si="1"/>
        <v>350840</v>
      </c>
      <c r="G43" s="147">
        <f>G41+G40+G39+G38+G36+G35+G34+G32+G31+G30+G29+G28+G26+G25+G24+G23</f>
        <v>174081.5</v>
      </c>
      <c r="H43" s="83">
        <f t="shared" si="1"/>
        <v>336800</v>
      </c>
      <c r="I43" s="147">
        <f t="shared" si="1"/>
        <v>190371.66</v>
      </c>
      <c r="J43" s="83">
        <f>SUM(F23*0.4751)+(F24*0.034)+(F25*0.1934)+(C28*0.1)+(C29*0.15)+(C30*0.15)+(C31*0.15)+(C34*0.15)+(C36*0.15)+(C38*0.0883)+(C40*0.15)</f>
        <v>45459.1</v>
      </c>
      <c r="K43" s="68">
        <f>K41+K40+K39+K38+K36+K35+K34+K32+K31+K30+K29+K28+K26+K25+K24+K23</f>
        <v>415268.5400000001</v>
      </c>
      <c r="L43" s="67"/>
    </row>
    <row r="44" spans="1:12" ht="72" customHeight="1" x14ac:dyDescent="0.35">
      <c r="A44" s="45" t="s">
        <v>33</v>
      </c>
      <c r="B44" s="37"/>
      <c r="C44" s="77">
        <v>200160</v>
      </c>
      <c r="D44" s="77">
        <v>198502.97</v>
      </c>
      <c r="E44" s="77"/>
      <c r="F44" s="87">
        <v>157411.5</v>
      </c>
      <c r="G44" s="145">
        <v>122615.9</v>
      </c>
      <c r="H44" s="46">
        <v>0</v>
      </c>
      <c r="I44" s="140">
        <v>127480.43</v>
      </c>
      <c r="J44" s="57">
        <v>0</v>
      </c>
      <c r="K44" s="52">
        <f>D44+G44+I44</f>
        <v>448599.3</v>
      </c>
      <c r="L44" s="37"/>
    </row>
    <row r="45" spans="1:12" ht="54.75" customHeight="1" x14ac:dyDescent="0.35">
      <c r="A45" s="45" t="s">
        <v>34</v>
      </c>
      <c r="B45" s="37" t="s">
        <v>127</v>
      </c>
      <c r="C45" s="77">
        <v>85662.85</v>
      </c>
      <c r="D45" s="77">
        <v>78650.34</v>
      </c>
      <c r="E45" s="124">
        <v>21520</v>
      </c>
      <c r="F45" s="87">
        <v>58754</v>
      </c>
      <c r="G45" s="145">
        <v>54426.2</v>
      </c>
      <c r="H45" s="46">
        <v>0</v>
      </c>
      <c r="I45" s="140">
        <v>75396.640000000014</v>
      </c>
      <c r="J45" s="57">
        <v>0</v>
      </c>
      <c r="K45" s="58">
        <f>D45+G45+I45+E45</f>
        <v>229993.18</v>
      </c>
      <c r="L45" s="37"/>
    </row>
    <row r="46" spans="1:12" ht="26.15" customHeight="1" x14ac:dyDescent="0.35">
      <c r="A46" s="45" t="s">
        <v>35</v>
      </c>
      <c r="B46" s="45" t="s">
        <v>0</v>
      </c>
      <c r="C46" s="77">
        <v>69500</v>
      </c>
      <c r="D46" s="77">
        <v>53065.38</v>
      </c>
      <c r="E46" s="77"/>
      <c r="F46" s="87">
        <v>20300</v>
      </c>
      <c r="G46" s="145">
        <v>0</v>
      </c>
      <c r="H46" s="46">
        <v>0</v>
      </c>
      <c r="I46" s="140">
        <v>0</v>
      </c>
      <c r="J46" s="57">
        <v>0</v>
      </c>
      <c r="K46" s="58">
        <f>D46+G46+I46</f>
        <v>53065.38</v>
      </c>
      <c r="L46" s="45"/>
    </row>
    <row r="47" spans="1:12" ht="26.15" customHeight="1" x14ac:dyDescent="0.35">
      <c r="A47" s="67" t="s">
        <v>52</v>
      </c>
      <c r="B47" s="67"/>
      <c r="C47" s="83">
        <f>C44+C45+C43+C21+C46</f>
        <v>876939.03</v>
      </c>
      <c r="D47" s="83">
        <f>D44+D45+D43+D21+D46</f>
        <v>491648.03</v>
      </c>
      <c r="E47" s="83">
        <f>E44+E45+E43+E21+E46</f>
        <v>196495.23</v>
      </c>
      <c r="F47" s="84">
        <f t="shared" ref="F47" si="2">F44+F45+F43+F21+F46</f>
        <v>587305.5</v>
      </c>
      <c r="G47" s="147">
        <f>G44+G45+G43+G21+G46</f>
        <v>501279.14</v>
      </c>
      <c r="H47" s="90">
        <f>H21+H43+H44+H45+H46</f>
        <v>536800</v>
      </c>
      <c r="I47" s="151">
        <f>I21+I43+I44+I45+I46</f>
        <v>557317.59000000008</v>
      </c>
      <c r="J47" s="67"/>
      <c r="K47" s="58">
        <f>D47+G47+I47+E47</f>
        <v>1746739.9900000002</v>
      </c>
      <c r="L47" s="68"/>
    </row>
    <row r="48" spans="1:12" ht="26.15" customHeight="1" x14ac:dyDescent="0.35">
      <c r="A48" s="92" t="s">
        <v>36</v>
      </c>
      <c r="B48" s="92"/>
      <c r="C48" s="93">
        <f t="shared" ref="C48:I48" si="3">C47*7%</f>
        <v>61385.732100000008</v>
      </c>
      <c r="D48" s="93">
        <f t="shared" si="3"/>
        <v>34415.362100000006</v>
      </c>
      <c r="E48" s="93">
        <f t="shared" si="3"/>
        <v>13754.666100000002</v>
      </c>
      <c r="F48" s="94">
        <v>56231.39</v>
      </c>
      <c r="G48" s="148">
        <v>39361.980000000003</v>
      </c>
      <c r="H48" s="96">
        <f t="shared" si="3"/>
        <v>37576</v>
      </c>
      <c r="I48" s="148">
        <f t="shared" si="3"/>
        <v>39012.231300000007</v>
      </c>
      <c r="J48" s="92"/>
      <c r="K48" s="96">
        <f>K47*7%</f>
        <v>122271.79930000003</v>
      </c>
      <c r="L48" s="92"/>
    </row>
    <row r="49" spans="1:12" ht="26.15" customHeight="1" thickBot="1" x14ac:dyDescent="0.4">
      <c r="A49" s="108" t="s">
        <v>37</v>
      </c>
      <c r="B49" s="108"/>
      <c r="C49" s="126">
        <f>C47+C48</f>
        <v>938324.76210000005</v>
      </c>
      <c r="D49" s="126">
        <f>D47+D48</f>
        <v>526063.39210000006</v>
      </c>
      <c r="E49" s="126">
        <f>E47+E48</f>
        <v>210249.89610000001</v>
      </c>
      <c r="F49" s="127">
        <f t="shared" ref="F49:H49" si="4">F47+F48</f>
        <v>643536.89</v>
      </c>
      <c r="G49" s="147">
        <f t="shared" si="4"/>
        <v>540641.12</v>
      </c>
      <c r="H49" s="128">
        <f t="shared" si="4"/>
        <v>574376</v>
      </c>
      <c r="I49" s="142">
        <f>I47+I48</f>
        <v>596329.82130000007</v>
      </c>
      <c r="J49" s="128">
        <f>SUM(J21,J43)</f>
        <v>120111.36800000002</v>
      </c>
      <c r="K49" s="127">
        <f>K47+K48</f>
        <v>1869011.7893000003</v>
      </c>
      <c r="L49" s="83"/>
    </row>
    <row r="50" spans="1:12" ht="26.15" customHeight="1" thickBot="1" x14ac:dyDescent="0.4">
      <c r="A50" s="130" t="s">
        <v>125</v>
      </c>
      <c r="B50" s="131"/>
      <c r="C50" s="129">
        <f>C49</f>
        <v>938324.76210000005</v>
      </c>
      <c r="D50" s="157">
        <f>D49+E49</f>
        <v>736313.28820000007</v>
      </c>
      <c r="E50" s="158"/>
      <c r="F50" s="132">
        <f>F49</f>
        <v>643536.89</v>
      </c>
      <c r="G50" s="133">
        <f>G49</f>
        <v>540641.12</v>
      </c>
      <c r="H50" s="134">
        <f>H49</f>
        <v>574376</v>
      </c>
      <c r="I50" s="135">
        <f>I49</f>
        <v>596329.82130000007</v>
      </c>
      <c r="J50" s="134">
        <f>J49</f>
        <v>120111.36800000002</v>
      </c>
      <c r="K50" s="132">
        <f>D50+G50+I50</f>
        <v>1873284.2294999999</v>
      </c>
      <c r="L50" s="125"/>
    </row>
    <row r="52" spans="1:12" ht="26.15" customHeight="1" x14ac:dyDescent="0.35">
      <c r="C52" s="152"/>
      <c r="D52" s="152"/>
    </row>
    <row r="53" spans="1:12" ht="26.15" customHeight="1" x14ac:dyDescent="0.35">
      <c r="D53" s="136"/>
    </row>
    <row r="54" spans="1:12" ht="26.15" customHeight="1" x14ac:dyDescent="0.35">
      <c r="C54" s="136"/>
    </row>
  </sheetData>
  <mergeCells count="11">
    <mergeCell ref="A7:A8"/>
    <mergeCell ref="B7:B8"/>
    <mergeCell ref="C7:C8"/>
    <mergeCell ref="D7:E7"/>
    <mergeCell ref="F7:F8"/>
    <mergeCell ref="H7:H8"/>
    <mergeCell ref="I7:I8"/>
    <mergeCell ref="J7:J8"/>
    <mergeCell ref="K7:K8"/>
    <mergeCell ref="D50:E50"/>
    <mergeCell ref="G7:G8"/>
  </mergeCells>
  <pageMargins left="0.7" right="0.7" top="0.75" bottom="0.75" header="0.3" footer="0.3"/>
  <pageSetup scale="44" orientation="landscape" r:id="rId1"/>
  <ignoredErrors>
    <ignoredError sqref="J2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8"/>
  <sheetViews>
    <sheetView workbookViewId="0">
      <selection activeCell="B9" sqref="B9"/>
    </sheetView>
  </sheetViews>
  <sheetFormatPr defaultColWidth="8.81640625" defaultRowHeight="14.5" x14ac:dyDescent="0.35"/>
  <cols>
    <col min="1" max="1" width="28.81640625" style="5" customWidth="1"/>
    <col min="2" max="3" width="15.54296875" style="5" customWidth="1"/>
    <col min="4" max="4" width="15" style="5" customWidth="1"/>
    <col min="5" max="7" width="14.54296875" style="5" customWidth="1"/>
    <col min="8" max="8" width="12.1796875" style="5" bestFit="1" customWidth="1"/>
    <col min="9" max="9" width="11.81640625" style="5" customWidth="1"/>
    <col min="10" max="10" width="15.453125" style="5" customWidth="1"/>
    <col min="11" max="11" width="12.54296875" style="5" hidden="1" customWidth="1"/>
    <col min="12" max="12" width="12.453125" style="5" hidden="1" customWidth="1"/>
    <col min="13" max="17" width="8.81640625" style="5"/>
    <col min="18" max="18" width="3.453125" style="5" customWidth="1"/>
    <col min="19" max="19" width="13.54296875" style="5" hidden="1" customWidth="1"/>
    <col min="20" max="16384" width="8.81640625" style="5"/>
  </cols>
  <sheetData>
    <row r="1" spans="1:27" x14ac:dyDescent="0.35">
      <c r="A1" s="3" t="s">
        <v>38</v>
      </c>
      <c r="B1" s="3"/>
      <c r="C1" s="3"/>
      <c r="D1" s="3"/>
      <c r="E1" s="3"/>
      <c r="F1" s="4"/>
      <c r="G1" s="4"/>
      <c r="H1" s="4"/>
      <c r="I1" s="4"/>
      <c r="J1" s="4"/>
      <c r="K1" s="4"/>
      <c r="L1" s="4"/>
    </row>
    <row r="2" spans="1:27" x14ac:dyDescent="0.35">
      <c r="A2" s="3"/>
      <c r="B2" s="3"/>
      <c r="C2" s="3"/>
      <c r="D2" s="3"/>
      <c r="E2" s="3"/>
      <c r="F2" s="4"/>
      <c r="G2" s="4"/>
      <c r="H2" s="4"/>
      <c r="I2" s="4"/>
      <c r="J2" s="4"/>
      <c r="K2" s="4"/>
      <c r="L2" s="4"/>
    </row>
    <row r="3" spans="1:27" x14ac:dyDescent="0.35">
      <c r="A3" s="3" t="s">
        <v>39</v>
      </c>
      <c r="B3" s="3"/>
      <c r="C3" s="3"/>
      <c r="D3" s="3"/>
      <c r="E3" s="3"/>
      <c r="F3" s="4"/>
      <c r="G3" s="4"/>
      <c r="H3" s="4"/>
      <c r="I3" s="4"/>
      <c r="J3" s="4"/>
      <c r="K3" s="4"/>
      <c r="L3" s="4"/>
    </row>
    <row r="4" spans="1:27" x14ac:dyDescent="0.35">
      <c r="A4" s="4"/>
      <c r="B4" s="4"/>
      <c r="C4" s="4"/>
      <c r="D4" s="4"/>
      <c r="E4" s="4"/>
      <c r="F4" s="4"/>
      <c r="G4" s="4"/>
      <c r="H4" s="4"/>
      <c r="I4" s="4"/>
      <c r="J4" s="4"/>
      <c r="K4" s="4"/>
      <c r="L4" s="4"/>
    </row>
    <row r="5" spans="1:27" ht="26" x14ac:dyDescent="0.35">
      <c r="A5" s="164" t="s">
        <v>1</v>
      </c>
      <c r="B5" s="164" t="s">
        <v>110</v>
      </c>
      <c r="C5" s="164"/>
      <c r="D5" s="164" t="s">
        <v>109</v>
      </c>
      <c r="E5" s="164"/>
      <c r="F5" s="164" t="s">
        <v>111</v>
      </c>
      <c r="G5" s="164"/>
      <c r="H5" s="6" t="s">
        <v>5</v>
      </c>
      <c r="I5" s="6" t="s">
        <v>6</v>
      </c>
      <c r="J5" s="164" t="s">
        <v>40</v>
      </c>
      <c r="K5" s="165" t="s">
        <v>105</v>
      </c>
      <c r="L5" s="165"/>
      <c r="M5" s="7"/>
      <c r="N5" s="8"/>
      <c r="O5" s="8"/>
      <c r="P5" s="8"/>
      <c r="Q5" s="8"/>
      <c r="R5" s="8"/>
      <c r="S5" s="8"/>
    </row>
    <row r="6" spans="1:27" x14ac:dyDescent="0.35">
      <c r="A6" s="164"/>
      <c r="B6" s="9" t="s">
        <v>3</v>
      </c>
      <c r="C6" s="9" t="s">
        <v>4</v>
      </c>
      <c r="D6" s="9" t="s">
        <v>3</v>
      </c>
      <c r="E6" s="9" t="s">
        <v>4</v>
      </c>
      <c r="F6" s="9" t="s">
        <v>3</v>
      </c>
      <c r="G6" s="9" t="s">
        <v>4</v>
      </c>
      <c r="H6" s="9"/>
      <c r="I6" s="9"/>
      <c r="J6" s="164"/>
      <c r="K6" s="10" t="s">
        <v>106</v>
      </c>
      <c r="L6" s="10" t="s">
        <v>107</v>
      </c>
      <c r="M6" s="7"/>
      <c r="N6" s="8"/>
      <c r="O6" s="8"/>
      <c r="P6" s="8"/>
      <c r="Q6" s="8"/>
      <c r="R6" s="8"/>
      <c r="S6" s="8"/>
    </row>
    <row r="7" spans="1:27" x14ac:dyDescent="0.35">
      <c r="A7" s="2" t="s">
        <v>41</v>
      </c>
      <c r="B7" s="18">
        <v>247660</v>
      </c>
      <c r="C7" s="18">
        <v>106140</v>
      </c>
      <c r="D7" s="18">
        <v>104941</v>
      </c>
      <c r="E7" s="18">
        <v>52470</v>
      </c>
      <c r="F7" s="18">
        <f>+[1]Sheet3!C46</f>
        <v>95760</v>
      </c>
      <c r="G7" s="18">
        <f>+[1]Sheet3!D46</f>
        <v>41040</v>
      </c>
      <c r="H7" s="23">
        <f>SUM(B7,D7,F7)</f>
        <v>448361</v>
      </c>
      <c r="I7" s="23">
        <f>SUM(C7,E7,G7)</f>
        <v>199650</v>
      </c>
      <c r="J7" s="1">
        <f>SUM(H7:I7)</f>
        <v>648011</v>
      </c>
      <c r="K7" s="11">
        <f ca="1">K7:K14</f>
        <v>0</v>
      </c>
      <c r="L7" s="11"/>
      <c r="M7" s="12"/>
      <c r="N7" s="13"/>
      <c r="O7" s="13"/>
      <c r="P7" s="13"/>
      <c r="Q7" s="13"/>
      <c r="R7" s="13"/>
      <c r="S7" s="13"/>
      <c r="T7" s="14"/>
      <c r="U7" s="14"/>
      <c r="V7" s="14"/>
      <c r="W7" s="14"/>
      <c r="X7" s="14"/>
      <c r="Y7" s="14"/>
      <c r="Z7" s="14"/>
      <c r="AA7" s="14"/>
    </row>
    <row r="8" spans="1:27" ht="26" x14ac:dyDescent="0.35">
      <c r="A8" s="2" t="s">
        <v>42</v>
      </c>
      <c r="B8" s="19">
        <v>56000</v>
      </c>
      <c r="C8" s="18">
        <v>24000</v>
      </c>
      <c r="D8" s="18">
        <v>20966.57</v>
      </c>
      <c r="E8" s="18">
        <v>12983.33</v>
      </c>
      <c r="F8" s="27">
        <f>+[1]Sheet3!C47</f>
        <v>4410</v>
      </c>
      <c r="G8" s="27">
        <f>+[1]Sheet3!D47</f>
        <v>1890</v>
      </c>
      <c r="H8" s="23">
        <f>SUM(B8,D8,F8)</f>
        <v>81376.570000000007</v>
      </c>
      <c r="I8" s="23">
        <f t="shared" ref="I8:I15" si="0">SUM(C8,E8,G8)</f>
        <v>38873.33</v>
      </c>
      <c r="J8" s="1">
        <f>SUM(H8:I8)</f>
        <v>120249.90000000001</v>
      </c>
      <c r="K8" s="11">
        <v>2493.6999999999998</v>
      </c>
      <c r="L8" s="15">
        <f>K8/J8*100</f>
        <v>2.0737647183074577</v>
      </c>
      <c r="M8" s="12"/>
    </row>
    <row r="9" spans="1:27" ht="30.65" customHeight="1" x14ac:dyDescent="0.35">
      <c r="A9" s="2" t="s">
        <v>43</v>
      </c>
      <c r="B9" s="18">
        <v>41344.800000000003</v>
      </c>
      <c r="C9" s="18">
        <v>17719.2</v>
      </c>
      <c r="D9" s="18">
        <v>38743.599999999999</v>
      </c>
      <c r="E9" s="18">
        <v>16604.400000000001</v>
      </c>
      <c r="F9" s="27">
        <f>+[1]Sheet3!C48</f>
        <v>13595.526</v>
      </c>
      <c r="G9" s="27">
        <f>+[1]Sheet3!D48</f>
        <v>5826.6539999999995</v>
      </c>
      <c r="H9" s="23">
        <f t="shared" ref="H9:H15" si="1">SUM(B9,D9,F9)</f>
        <v>93683.925999999992</v>
      </c>
      <c r="I9" s="23">
        <f t="shared" si="0"/>
        <v>40150.254000000008</v>
      </c>
      <c r="J9" s="1">
        <f t="shared" ref="J9:J13" si="2">D9+E9</f>
        <v>55348</v>
      </c>
      <c r="K9" s="11"/>
      <c r="L9" s="11"/>
      <c r="M9" s="161" t="s">
        <v>108</v>
      </c>
      <c r="N9" s="162"/>
      <c r="O9" s="162"/>
      <c r="P9" s="162"/>
      <c r="Q9" s="162"/>
      <c r="R9" s="162"/>
      <c r="S9" s="162"/>
    </row>
    <row r="10" spans="1:27" x14ac:dyDescent="0.35">
      <c r="A10" s="2" t="s">
        <v>44</v>
      </c>
      <c r="B10" s="20">
        <f>452616.72+28000-5000</f>
        <v>475616.72</v>
      </c>
      <c r="C10" s="20">
        <f>193978.6+12000</f>
        <v>205978.6</v>
      </c>
      <c r="D10" s="18">
        <v>318854.14</v>
      </c>
      <c r="E10" s="18">
        <v>64381.71</v>
      </c>
      <c r="F10" s="27">
        <f>+[1]Sheet3!C49</f>
        <v>140000</v>
      </c>
      <c r="G10" s="27">
        <f>+[1]Sheet3!D49</f>
        <v>60000</v>
      </c>
      <c r="H10" s="23">
        <f t="shared" si="1"/>
        <v>934470.86</v>
      </c>
      <c r="I10" s="23">
        <f t="shared" si="0"/>
        <v>330360.31</v>
      </c>
      <c r="J10" s="1">
        <f t="shared" si="2"/>
        <v>383235.85000000003</v>
      </c>
      <c r="K10" s="11">
        <v>25372.5</v>
      </c>
      <c r="L10" s="15">
        <f>K10/J10*100</f>
        <v>6.6205966900017303</v>
      </c>
      <c r="M10" s="13"/>
      <c r="N10" s="13"/>
      <c r="O10" s="13"/>
      <c r="P10" s="13"/>
      <c r="Q10" s="13"/>
      <c r="R10" s="13"/>
      <c r="S10" s="13"/>
      <c r="T10" s="13"/>
      <c r="U10" s="13"/>
      <c r="V10" s="13"/>
      <c r="W10" s="13"/>
      <c r="X10" s="13"/>
      <c r="Y10" s="13"/>
      <c r="Z10" s="13"/>
      <c r="AA10" s="13"/>
    </row>
    <row r="11" spans="1:27" x14ac:dyDescent="0.35">
      <c r="A11" s="2" t="s">
        <v>45</v>
      </c>
      <c r="B11" s="18">
        <f>7000+5000</f>
        <v>12000</v>
      </c>
      <c r="C11" s="18">
        <v>3000</v>
      </c>
      <c r="D11" s="18">
        <v>41514.1</v>
      </c>
      <c r="E11" s="18">
        <v>12346.66</v>
      </c>
      <c r="F11" s="18">
        <f>+[1]Sheet3!C50</f>
        <v>33838</v>
      </c>
      <c r="G11" s="18">
        <f>+[1]Sheet3!D50</f>
        <v>14502</v>
      </c>
      <c r="H11" s="23">
        <f t="shared" si="1"/>
        <v>87352.1</v>
      </c>
      <c r="I11" s="23">
        <f t="shared" si="0"/>
        <v>29848.66</v>
      </c>
      <c r="J11" s="1">
        <f t="shared" si="2"/>
        <v>53860.759999999995</v>
      </c>
      <c r="K11" s="11">
        <v>1320</v>
      </c>
      <c r="L11" s="15">
        <f>K11/J11*100</f>
        <v>2.450763784246639</v>
      </c>
      <c r="M11" s="13"/>
      <c r="N11" s="13"/>
      <c r="O11" s="13"/>
      <c r="P11" s="13"/>
      <c r="Q11" s="13"/>
      <c r="R11" s="13"/>
      <c r="S11" s="13"/>
      <c r="T11" s="13"/>
      <c r="U11" s="13"/>
      <c r="V11" s="13"/>
      <c r="W11" s="13"/>
      <c r="X11" s="13"/>
      <c r="Y11" s="13"/>
      <c r="Z11" s="13"/>
      <c r="AA11" s="13"/>
    </row>
    <row r="12" spans="1:27" ht="26" x14ac:dyDescent="0.35">
      <c r="A12" s="2" t="s">
        <v>46</v>
      </c>
      <c r="B12" s="21"/>
      <c r="C12" s="21"/>
      <c r="D12" s="18"/>
      <c r="E12" s="18">
        <v>60746</v>
      </c>
      <c r="F12" s="27">
        <f>+[1]Sheet3!C51</f>
        <v>0</v>
      </c>
      <c r="G12" s="27">
        <f>+[1]Sheet3!D51</f>
        <v>0</v>
      </c>
      <c r="H12" s="23">
        <f t="shared" si="1"/>
        <v>0</v>
      </c>
      <c r="I12" s="23">
        <f t="shared" si="0"/>
        <v>60746</v>
      </c>
      <c r="J12" s="1">
        <v>30000</v>
      </c>
      <c r="K12" s="11">
        <v>4500</v>
      </c>
      <c r="L12" s="15">
        <f>K12/J12*100</f>
        <v>15</v>
      </c>
    </row>
    <row r="13" spans="1:27" ht="39" x14ac:dyDescent="0.35">
      <c r="A13" s="2" t="s">
        <v>47</v>
      </c>
      <c r="B13" s="18">
        <v>44318.05</v>
      </c>
      <c r="C13" s="18">
        <v>18993.45</v>
      </c>
      <c r="D13" s="18">
        <v>39169</v>
      </c>
      <c r="E13" s="18">
        <v>19585</v>
      </c>
      <c r="F13" s="18">
        <f>+[1]Sheet3!C52</f>
        <v>235759.86</v>
      </c>
      <c r="G13" s="18">
        <f>+[1]Sheet3!D52</f>
        <v>101039.93999999999</v>
      </c>
      <c r="H13" s="23">
        <f t="shared" si="1"/>
        <v>319246.90999999997</v>
      </c>
      <c r="I13" s="23">
        <f t="shared" si="0"/>
        <v>139618.38999999998</v>
      </c>
      <c r="J13" s="1">
        <f t="shared" si="2"/>
        <v>58754</v>
      </c>
      <c r="K13" s="11">
        <v>7791.56</v>
      </c>
      <c r="L13" s="15">
        <f>K13/J13*100</f>
        <v>13.261326888382069</v>
      </c>
    </row>
    <row r="14" spans="1:27" x14ac:dyDescent="0.35">
      <c r="A14" s="16" t="s">
        <v>48</v>
      </c>
      <c r="B14" s="17">
        <f t="shared" ref="B14:J14" si="3">SUM(B7:B13)</f>
        <v>876939.57000000007</v>
      </c>
      <c r="C14" s="17">
        <f t="shared" si="3"/>
        <v>375831.25000000006</v>
      </c>
      <c r="D14" s="17">
        <f t="shared" si="3"/>
        <v>564188.41</v>
      </c>
      <c r="E14" s="17">
        <f t="shared" si="3"/>
        <v>239117.1</v>
      </c>
      <c r="F14" s="17">
        <f t="shared" si="3"/>
        <v>523363.386</v>
      </c>
      <c r="G14" s="17">
        <f t="shared" si="3"/>
        <v>224298.59399999998</v>
      </c>
      <c r="H14" s="17">
        <f t="shared" si="3"/>
        <v>1964491.3660000002</v>
      </c>
      <c r="I14" s="17">
        <f t="shared" si="3"/>
        <v>839246.94400000013</v>
      </c>
      <c r="J14" s="25">
        <f t="shared" si="3"/>
        <v>1349459.51</v>
      </c>
      <c r="K14" s="11"/>
      <c r="L14" s="11"/>
    </row>
    <row r="15" spans="1:27" x14ac:dyDescent="0.35">
      <c r="A15" s="2" t="s">
        <v>49</v>
      </c>
      <c r="B15" s="22">
        <f>B14*7%</f>
        <v>61385.769900000014</v>
      </c>
      <c r="C15" s="22">
        <f>C14*7%</f>
        <v>26308.187500000007</v>
      </c>
      <c r="D15" s="29">
        <v>37487.593000000001</v>
      </c>
      <c r="E15" s="29">
        <v>18743.79</v>
      </c>
      <c r="F15" s="22">
        <f>F14*7%</f>
        <v>36635.437020000005</v>
      </c>
      <c r="G15" s="22">
        <f>G14*7%</f>
        <v>15700.90158</v>
      </c>
      <c r="H15" s="23">
        <f t="shared" si="1"/>
        <v>135508.79992000002</v>
      </c>
      <c r="I15" s="23">
        <f t="shared" si="0"/>
        <v>60752.879080000006</v>
      </c>
      <c r="J15" s="28">
        <f>SUM(H15,I15)</f>
        <v>196261.67900000003</v>
      </c>
      <c r="K15" s="11">
        <v>13870</v>
      </c>
      <c r="L15" s="15">
        <f>K15/J15*100</f>
        <v>7.0670953548705739</v>
      </c>
    </row>
    <row r="16" spans="1:27" x14ac:dyDescent="0.35">
      <c r="A16" s="16" t="s">
        <v>2</v>
      </c>
      <c r="B16" s="17">
        <f>B14+B15</f>
        <v>938325.33990000002</v>
      </c>
      <c r="C16" s="17">
        <f>C14+C15</f>
        <v>402139.43750000006</v>
      </c>
      <c r="D16" s="17">
        <f>SUM(D15,D14)</f>
        <v>601676.00300000003</v>
      </c>
      <c r="E16" s="17">
        <f>SUM(E14,E15)</f>
        <v>257860.89</v>
      </c>
      <c r="F16" s="17">
        <f>SUM(F14:F15)</f>
        <v>559998.82302000001</v>
      </c>
      <c r="G16" s="17">
        <f>SUM(G14:G15)</f>
        <v>239999.49557999999</v>
      </c>
      <c r="H16" s="17">
        <f>SUM(H14,H15)</f>
        <v>2100000.1659200001</v>
      </c>
      <c r="I16" s="24">
        <f>SUM(I14,I15)</f>
        <v>899999.82308000012</v>
      </c>
      <c r="J16" s="26">
        <f>SUM(J14,J15)</f>
        <v>1545721.189</v>
      </c>
      <c r="K16" s="15">
        <f>K15+K13+K12+K11+K10+K8</f>
        <v>55347.759999999995</v>
      </c>
      <c r="L16" s="11"/>
    </row>
    <row r="18" spans="1:10" x14ac:dyDescent="0.35">
      <c r="A18" s="163"/>
      <c r="B18" s="163"/>
      <c r="C18" s="163"/>
      <c r="D18" s="163"/>
      <c r="E18" s="163"/>
      <c r="F18" s="163"/>
      <c r="G18" s="163"/>
      <c r="H18" s="163"/>
      <c r="I18" s="163"/>
      <c r="J18" s="163"/>
    </row>
  </sheetData>
  <mergeCells count="8">
    <mergeCell ref="M9:S9"/>
    <mergeCell ref="A18:J18"/>
    <mergeCell ref="B5:C5"/>
    <mergeCell ref="A5:A6"/>
    <mergeCell ref="D5:E5"/>
    <mergeCell ref="F5:G5"/>
    <mergeCell ref="J5:J6"/>
    <mergeCell ref="K5:L5"/>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204B1-907E-40C7-95AD-D043E7981ADF}">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275A0C25728D4DBC44B734BF52DF5F" ma:contentTypeVersion="13" ma:contentTypeDescription="Create a new document." ma:contentTypeScope="" ma:versionID="b487fd1c46ce95ee66af92362d7ddf56">
  <xsd:schema xmlns:xsd="http://www.w3.org/2001/XMLSchema" xmlns:xs="http://www.w3.org/2001/XMLSchema" xmlns:p="http://schemas.microsoft.com/office/2006/metadata/properties" xmlns:ns3="d327b1d3-dcb8-41b8-a884-18d15cae653d" xmlns:ns4="b9c69bf5-e2d3-46cf-9855-167c2821e02f" targetNamespace="http://schemas.microsoft.com/office/2006/metadata/properties" ma:root="true" ma:fieldsID="9048b2451c6c87024d08d81b2546f654" ns3:_="" ns4:_="">
    <xsd:import namespace="d327b1d3-dcb8-41b8-a884-18d15cae653d"/>
    <xsd:import namespace="b9c69bf5-e2d3-46cf-9855-167c2821e02f"/>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7b1d3-dcb8-41b8-a884-18d15cae653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c69bf5-e2d3-46cf-9855-167c2821e02f"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SharingHintHash" ma:index="13"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DB49E6-8E76-4DBD-ABF9-F3E9A3D1FE1A}">
  <ds:schemaRefs>
    <ds:schemaRef ds:uri="http://purl.org/dc/elements/1.1/"/>
    <ds:schemaRef ds:uri="http://schemas.microsoft.com/office/2006/metadata/properties"/>
    <ds:schemaRef ds:uri="b9c69bf5-e2d3-46cf-9855-167c2821e02f"/>
    <ds:schemaRef ds:uri="d327b1d3-dcb8-41b8-a884-18d15cae653d"/>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56A4DBD-F7D8-4D19-BEBE-ED73DE7B070E}">
  <ds:schemaRefs>
    <ds:schemaRef ds:uri="http://schemas.microsoft.com/sharepoint/v3/contenttype/forms"/>
  </ds:schemaRefs>
</ds:datastoreItem>
</file>

<file path=customXml/itemProps3.xml><?xml version="1.0" encoding="utf-8"?>
<ds:datastoreItem xmlns:ds="http://schemas.openxmlformats.org/officeDocument/2006/customXml" ds:itemID="{37CF3EAF-4694-4D39-B82C-490AC5408E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27b1d3-dcb8-41b8-a884-18d15cae653d"/>
    <ds:schemaRef ds:uri="b9c69bf5-e2d3-46cf-9855-167c2821e0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Rapport Nov 19 (2)</vt:lpstr>
      <vt:lpstr>Rapport financier</vt:lpstr>
      <vt:lpstr>Sheet 2</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Betty  Jean</cp:lastModifiedBy>
  <cp:lastPrinted>2018-06-19T15:31:37Z</cp:lastPrinted>
  <dcterms:created xsi:type="dcterms:W3CDTF">2017-11-15T21:17:43Z</dcterms:created>
  <dcterms:modified xsi:type="dcterms:W3CDTF">2020-02-27T17:03:11Z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0x0101007C275A0C25728D4DBC44B734BF52DF5F</vt:lpwstr>
  </property>
</Properties>
</file>