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betty.jean\OneDrive - United Nations Development Programme\MyComputer\Documents\Donnee BJean\BJean\Projet PBF\2020\"/>
    </mc:Choice>
  </mc:AlternateContent>
  <xr:revisionPtr revIDLastSave="0" documentId="13_ncr:1_{23BDC4BF-AB28-4287-822E-B5EDAAA16997}" xr6:coauthVersionLast="45" xr6:coauthVersionMax="45" xr10:uidLastSave="{00000000-0000-0000-0000-000000000000}"/>
  <bookViews>
    <workbookView xWindow="-120" yWindow="-120" windowWidth="20730" windowHeight="11160" xr2:uid="{00000000-000D-0000-FFFF-FFFF00000000}"/>
  </bookViews>
  <sheets>
    <sheet name="PBF final Report" sheetId="1" r:id="rId1"/>
    <sheet name="Sheet 2" sheetId="3" state="hidden" r:id="rId2"/>
    <sheet name="Commitments" sheetId="4" state="hidden"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 l="1"/>
  <c r="K46" i="1"/>
  <c r="K41" i="1"/>
  <c r="K42" i="1"/>
  <c r="K43" i="1"/>
  <c r="K40" i="1"/>
  <c r="K37" i="1"/>
  <c r="K36" i="1"/>
  <c r="K31" i="1"/>
  <c r="K32" i="1"/>
  <c r="K33" i="1"/>
  <c r="K34" i="1"/>
  <c r="K30" i="1"/>
  <c r="K27" i="1"/>
  <c r="K28" i="1"/>
  <c r="K26" i="1"/>
  <c r="K20" i="1"/>
  <c r="K21" i="1"/>
  <c r="K19" i="1"/>
  <c r="K15" i="1"/>
  <c r="K16" i="1"/>
  <c r="K14" i="1"/>
  <c r="K12" i="1"/>
  <c r="K9" i="1"/>
  <c r="K8" i="1"/>
  <c r="K10" i="1"/>
  <c r="K11" i="1"/>
  <c r="B11" i="4" l="1"/>
  <c r="D38" i="1"/>
  <c r="D47" i="1"/>
  <c r="K47" i="1" s="1"/>
  <c r="D45" i="1" l="1"/>
  <c r="K38" i="1"/>
  <c r="K45" i="1" s="1"/>
  <c r="E17" i="1"/>
  <c r="K17" i="1" s="1"/>
  <c r="K23" i="1" s="1"/>
  <c r="D17" i="3" l="1"/>
  <c r="B17" i="3"/>
  <c r="D48" i="1" l="1"/>
  <c r="K48" i="1" s="1"/>
  <c r="E45" i="1" l="1"/>
  <c r="D23" i="1" l="1"/>
  <c r="D50" i="1" s="1"/>
  <c r="E23" i="1"/>
  <c r="E50" i="1" s="1"/>
  <c r="D51" i="1" l="1"/>
  <c r="E51" i="1"/>
  <c r="E52" i="1" s="1"/>
  <c r="C45" i="1"/>
  <c r="C23" i="1"/>
  <c r="C50" i="1" l="1"/>
  <c r="G45" i="1"/>
  <c r="F45" i="1"/>
  <c r="G23" i="1"/>
  <c r="F23" i="1"/>
  <c r="E14" i="3"/>
  <c r="E16" i="3"/>
  <c r="D14" i="3"/>
  <c r="D16" i="3"/>
  <c r="G13" i="3"/>
  <c r="I13" i="3" s="1"/>
  <c r="F13" i="3"/>
  <c r="H13" i="3" s="1"/>
  <c r="G12" i="3"/>
  <c r="I12" i="3" s="1"/>
  <c r="F12" i="3"/>
  <c r="H12" i="3" s="1"/>
  <c r="G11" i="3"/>
  <c r="I11" i="3" s="1"/>
  <c r="F11" i="3"/>
  <c r="G10" i="3"/>
  <c r="F10" i="3"/>
  <c r="G9" i="3"/>
  <c r="I9" i="3" s="1"/>
  <c r="F9" i="3"/>
  <c r="H9" i="3" s="1"/>
  <c r="G8" i="3"/>
  <c r="I8" i="3" s="1"/>
  <c r="F8" i="3"/>
  <c r="H8" i="3" s="1"/>
  <c r="G7" i="3"/>
  <c r="F7" i="3"/>
  <c r="H7" i="3" s="1"/>
  <c r="B11" i="3"/>
  <c r="B10" i="3"/>
  <c r="C10" i="3"/>
  <c r="C14" i="3" s="1"/>
  <c r="K16" i="3"/>
  <c r="J45" i="1"/>
  <c r="J23" i="1"/>
  <c r="I23" i="1"/>
  <c r="I45" i="1"/>
  <c r="H45" i="1"/>
  <c r="H23" i="1"/>
  <c r="G50" i="1" l="1"/>
  <c r="J8" i="3"/>
  <c r="L8" i="3" s="1"/>
  <c r="J13" i="3"/>
  <c r="L13" i="3" s="1"/>
  <c r="J9" i="3"/>
  <c r="J12" i="3"/>
  <c r="L12" i="3" s="1"/>
  <c r="I10" i="3"/>
  <c r="G51" i="1"/>
  <c r="H11" i="3"/>
  <c r="J11" i="3" s="1"/>
  <c r="L11" i="3" s="1"/>
  <c r="H10" i="3"/>
  <c r="J52" i="1"/>
  <c r="G14" i="3"/>
  <c r="G15" i="3" s="1"/>
  <c r="G16" i="3" s="1"/>
  <c r="C51" i="1"/>
  <c r="C52" i="1" s="1"/>
  <c r="C53" i="1" s="1"/>
  <c r="H50" i="1"/>
  <c r="F50" i="1"/>
  <c r="F52" i="1" s="1"/>
  <c r="F53" i="1" s="1"/>
  <c r="I50" i="1"/>
  <c r="C15" i="3"/>
  <c r="C16" i="3" s="1"/>
  <c r="I7" i="3"/>
  <c r="B14" i="3"/>
  <c r="D52" i="1"/>
  <c r="D53" i="1" s="1"/>
  <c r="F14" i="3"/>
  <c r="I51" i="1" l="1"/>
  <c r="I52" i="1"/>
  <c r="H51" i="1"/>
  <c r="H52" i="1"/>
  <c r="G52" i="1"/>
  <c r="K50" i="1"/>
  <c r="H14" i="3"/>
  <c r="J10" i="3"/>
  <c r="L10" i="3" s="1"/>
  <c r="G53" i="1"/>
  <c r="I14" i="3"/>
  <c r="J7" i="3"/>
  <c r="I15" i="3"/>
  <c r="B15" i="3"/>
  <c r="F15" i="3"/>
  <c r="F16" i="3" s="1"/>
  <c r="F17" i="3" s="1"/>
  <c r="K51" i="1" l="1"/>
  <c r="K52" i="1" s="1"/>
  <c r="I53" i="1"/>
  <c r="H53" i="1"/>
  <c r="J14" i="3"/>
  <c r="H15" i="3"/>
  <c r="J15" i="3" s="1"/>
  <c r="L15" i="3" s="1"/>
  <c r="B16" i="3"/>
  <c r="I16" i="3"/>
  <c r="J16" i="3" l="1"/>
  <c r="J17" i="3" s="1"/>
  <c r="H16" i="3"/>
  <c r="H17" i="3" s="1"/>
  <c r="K7" i="3" l="1"/>
</calcChain>
</file>

<file path=xl/sharedStrings.xml><?xml version="1.0" encoding="utf-8"?>
<sst xmlns="http://schemas.openxmlformats.org/spreadsheetml/2006/main" count="149" uniqueCount="144">
  <si>
    <t xml:space="preserve"> </t>
  </si>
  <si>
    <t>CATEGORIES</t>
  </si>
  <si>
    <t>TOTAL</t>
  </si>
  <si>
    <t>Tranche 1 (70%)</t>
  </si>
  <si>
    <t>Tranche 2 (30%)</t>
  </si>
  <si>
    <t>Total tranche 1</t>
  </si>
  <si>
    <t>Total tranche 2</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</si>
  <si>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</si>
  <si>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</si>
  <si>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</si>
  <si>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</si>
  <si>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2: </t>
  </si>
  <si>
    <t>Produit 1.1:</t>
  </si>
  <si>
    <t>Produit 1.2:</t>
  </si>
  <si>
    <t>Produit 2.1:</t>
  </si>
  <si>
    <t>Produit 2.2:</t>
  </si>
  <si>
    <t>Produit 2.3:</t>
  </si>
  <si>
    <t>Activite 1.1.1:</t>
  </si>
  <si>
    <t>Activite 1.1.2:</t>
  </si>
  <si>
    <t>Activite 1.1.3:</t>
  </si>
  <si>
    <t>Activite 1.2.1:</t>
  </si>
  <si>
    <t>Activite 1.2.2:</t>
  </si>
  <si>
    <t>Activite 1.2.3:</t>
  </si>
  <si>
    <t>Activite 2.1.1:</t>
  </si>
  <si>
    <t>Activite 2.1.2:</t>
  </si>
  <si>
    <t>Activite 2.1.3:</t>
  </si>
  <si>
    <t>Activite 2.2.1:</t>
  </si>
  <si>
    <t>Activite 2.2.2:</t>
  </si>
  <si>
    <t>Activite 2.2.3:</t>
  </si>
  <si>
    <t>Activite 2.3.1:</t>
  </si>
  <si>
    <t>Activite 2.3.2:</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</si>
  <si>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</si>
  <si>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</si>
  <si>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</si>
  <si>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</si>
  <si>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</si>
  <si>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</si>
  <si>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</si>
  <si>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</si>
  <si>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</si>
  <si>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</si>
  <si>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</si>
  <si>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</si>
  <si>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</si>
  <si>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</si>
  <si>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</si>
  <si>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</si>
  <si>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</si>
  <si>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</si>
  <si>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</si>
  <si>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</si>
  <si>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Les compétences en leadership et la confiance de 200 jeunes (100 femmes et 100 hommes) sont renforcées pour faciliter leur participation et leur influence aux affaires publiques de la ville.</t>
  </si>
  <si>
    <t>Activite 1.1.4:</t>
  </si>
  <si>
    <t>Activite 1.1.5:</t>
  </si>
  <si>
    <t>Appui aux 2.500 jeunes sans documentation dans la restitution de leurs documents d’identité (actes de naissance et extraits des archives)</t>
  </si>
  <si>
    <t xml:space="preserve">Les jeunes femmes et les jeunes hommes, ainsi que d’autres acteurs communautaires de la ville de Jérémie, sont sensibilisés et disposent des capacités pour être des agents catalyseurs de la réduction des violences basées sur le genre et le changement du comportement en faveur des nouvelles masculinités </t>
  </si>
  <si>
    <t>100 jeunes femmes et jeunes hommes interviennent activement et de façon équitable dans la résolution de conflits de leurs communautés</t>
  </si>
  <si>
    <t xml:space="preserve">Les principales institutions politiques, sociales et communautaires de Jérémie sont sensibilisées sur la culture de la paix, la communication non violente, et la résolution pacifique des conflits </t>
  </si>
  <si>
    <t>Sensibilisation sur le rôle des jeunes dans la promotion de la paix, l’égalité de genre, les droits à la documentation et à la migration régulière, l’Agenda durable 2030 (en particulier l’ODD 16) et la Résolution 2250 </t>
  </si>
  <si>
    <t xml:space="preserve">Organisation d’activités culturelles et sportives en concertation avec les associations de jeunes pour la promotion de la paix et les ODD (théâtre de l’opprimé, boxe ou capoeira pour la paix, concours d’illustration, récit et/ou photographie…). </t>
  </si>
  <si>
    <t>Produit 2.4:</t>
  </si>
  <si>
    <t>L’expérience pilote de Jérémie alimente une réflexion au niveau national sur l’importance des jeunes comme agents de développement et comme constructeurs de paix</t>
  </si>
  <si>
    <t>Activite 2.2.4:</t>
  </si>
  <si>
    <t>Activite 2.2.5:</t>
  </si>
  <si>
    <t xml:space="preserve">Renforcement des capacités organisationnelles et de réseautage des groupements de jeunes et appui dans la réalisation de micro-projets sur la culture de la non-violence, l’unité nationale et le soutien de la paix, en lien avec les ODD 5, 11, 16 </t>
  </si>
  <si>
    <t>Organisation de concours de laboratoire d'innovation sociale</t>
  </si>
  <si>
    <t xml:space="preserve">Mise en place de mécanismes communautaires de prévention de la violence et de gestion des conflits dans les quartiers cibles, avec une participation active et équitable des jeunes femmes et des jeunes hommes </t>
  </si>
  <si>
    <t xml:space="preserve">Organisation de dialogues multi acteurs réguliers (associations de jeunes et de femmes, organisations communautaires de base, police, leaders religieux, secteur privé, autorités locales…) sur les quartiers cibles afin d’atteindre une compréhension partagée des défis de sécurité et du rôle des jeunes dans la réduction de la violence communautaire </t>
  </si>
  <si>
    <t xml:space="preserve"> Organisation de forums communautaires dans les quartiers cibles pour analyser de façon participative avec les jeunes les causes de la violence, y compris la violence basée sur le genre,  et les possibles solutions ; </t>
  </si>
  <si>
    <t>Promotion du dialogue intergénérationnel sur l’égalité de genre et consolidation de la paix, les masculinités, la VBG et le leadership (débats radio, atelier de mentorat et partage d’expériences entre les organisations d’hommes et de garçons).</t>
  </si>
  <si>
    <t>Formation sur les droits des femmes, les masculinités et les Violences Basées sur le Genre au bénéfice des groupes cibles :  autorités locales les enseignants, directeurs de lycées et universités; les lycéens et associations de parents ; les organisations de jeunes, les organisations de femmes, les organisations de jeunes hommes et les leaders religieux.</t>
  </si>
  <si>
    <t>Réalisation d'une cartographie des endroits non-sécuritaires pour les filles et femmes ou à haut risque de Violence Sexuelle ou Basée sur le Genre et mise en place d’une stratégie des acteurs de la justice et de la sécurité visant la protection des femmes et des filles dans les espaces publics.</t>
  </si>
  <si>
    <t>Activite 1.2.4:</t>
  </si>
  <si>
    <t xml:space="preserve">Organisation d’une journée de l’entreprenariat et de l’innovation avec une foire de l'emploi en partenariat avec le secteur privé du département pour promouvoir l’employabilité des jeunes </t>
  </si>
  <si>
    <t>Accompagnement technique à la Mairie pour la mise en place et l’animation d’un cadre de dialogue ou de concertation avec les association de jeunes, favorisant la participation des jeunes aux affaires publiques de la ville</t>
  </si>
  <si>
    <t xml:space="preserve"> Identification (mapping) des associations de jeunes de la ville de Jérémie et création d’une base de donnes gérée et régulièrement mise à jour par la Mairie ;</t>
  </si>
  <si>
    <t>Construction et équipement d’un centre de socialisation communautaire pour les jeunes femmes et les jeunes hommes, priorisant les matériaux locaux, tenant en compte les risques sociaux et environnementaux et impliquant les jeunes dans sa construction, dans sa gestion et dans son animation </t>
  </si>
  <si>
    <t>Ateliers de réflexion et de dialogue entre les associations des jeunes et les partis politiques, et les élus sénateurs et parlementaires du département de la Grand’ Anse sur l’importance d’incorporer les préoccupations des jeunes dans leurs programmes et campagnes électorales</t>
  </si>
  <si>
    <t>Université d’été en participation citoyenne, leadership et égalité de genre au bénéfice de 200 jeunes (100 femmes et 100 hommes).</t>
  </si>
  <si>
    <t>Mise en place d’une attestation universitaire en participation citoyenne, leadership et égalité de genre pour les jeunes en partenariat avec l’Université de la Grand’Anse au bénéfice de 100 jeunes (50 femmes et 50 hommes)</t>
  </si>
  <si>
    <t>Activite 2.4.1:</t>
  </si>
  <si>
    <t>Activite 2.4.2:</t>
  </si>
  <si>
    <t>Mise en réseau des jeunes femmes et jeunes hommes de Jérémie avec les initiatives nationales de jeunes parlementaires, jeunes sénateurs et gouvernement jeunesse et échange d’expériences;</t>
  </si>
  <si>
    <t>Organisation d’un atelier national de dialogue, en partenariat avec le Ministère de la Jeunesse et des Sports, sur les bénéfices d’inclure les jeunes dans les efforts pour la cohésion sociale à partir du cas pratique de Jérémie</t>
  </si>
  <si>
    <t>Activite 2.4.3:</t>
  </si>
  <si>
    <t xml:space="preserve">Élaborer et publier un inventaire recensant les organisations de jeunesse en Haïti organisé par département et leurs membres ventilés par sexe ; </t>
  </si>
  <si>
    <t>Activite 2.4.4:</t>
  </si>
  <si>
    <t>Conception et mise en œuvre d’une stratégie de plaidoyer et de sensibilisation sur le leadership de jeunes femmes dans les organisations et les réseaux de jeunes et la promotion de nouvelles masculinités.</t>
  </si>
  <si>
    <t>Niveau de depense total/ engagement actuel en USD (a remplir au moment des rapports de projet)</t>
  </si>
  <si>
    <t>PNUD Budget</t>
  </si>
  <si>
    <t xml:space="preserve">ONU Femmes Budget </t>
  </si>
  <si>
    <t>OIM Budget</t>
  </si>
  <si>
    <t>un premiere atelier de lancement a été organisé avec tous les partenaires</t>
  </si>
  <si>
    <t>2 visites d'information sur le Projet PBF avec la justice et la police ont été organisées en attendant le deroulement ce cette activite</t>
  </si>
  <si>
    <t>2 visites d'information sur le Projet PBF a MJSAC et le MENFP</t>
  </si>
  <si>
    <t>Activite 2.3.2.1:</t>
  </si>
  <si>
    <t xml:space="preserve">Mener des activités de sensibilisation de proximité et campagne médiatique dans les espaces publics de la ville de Jérémie 
3 organisations sélectionnées suite à un appel à candidatures ouvert  (unités mobiles de sensibilisation dans les marchés et lieux publics, au cours des rencontres sportives et artistiques) : octroi de micro subvention par organisation
formation de 5 jours pour 30 personnes en plaidoyer, médias pour la paix et techniques de sensibilisation; et sur la gestion des microsubventions pour réaliser la sensibilisation de proximité dans les marchés, les lieux sportifs, etc. 
Conception de 4 spots et diffusion radio; Conception et diffusion de sms; Production et diffusion de T-shirts, casquettes, bracelets, banderoles,  calendriers et reproduction des documents officiels
</t>
  </si>
  <si>
    <t>Planfication en cours pour la realisation de cette activite</t>
  </si>
  <si>
    <t>Planification en cours pour la realisation de cette activite, Idem/Resultat activite 1.1.1</t>
  </si>
  <si>
    <t>1.2.4 Réhabilitation d'un espace public à travers la création d’espaces verts publics de socialisation, planifiés de manière participative avec les associations de jeunes et contribuant à sensibiliser sur la protection environnementale  en améliorant la sociabilité des jeunes femmes et des jeunes hommes et l’image récréative de la ville</t>
  </si>
  <si>
    <t>ONU Femmes Dépenses</t>
  </si>
  <si>
    <t>OIM Dépenses</t>
  </si>
  <si>
    <r>
      <rPr>
        <b/>
        <u/>
        <sz val="11"/>
        <color theme="1"/>
        <rFont val="Calibri"/>
        <family val="2"/>
        <scheme val="minor"/>
      </rPr>
      <t xml:space="preserve">2 </t>
    </r>
    <r>
      <rPr>
        <sz val="11"/>
        <color theme="1"/>
        <rFont val="Calibri"/>
        <family val="2"/>
        <scheme val="minor"/>
      </rPr>
      <t xml:space="preserve">rencontres de travail ont été réalisées avec l’Université Publique de la Grand Anse sur identification des besoins par rapport aux modules proposes et sur identification des besoins pour la pleine réussite de cette activité.     </t>
    </r>
    <r>
      <rPr>
        <b/>
        <u/>
        <sz val="11"/>
        <color theme="1"/>
        <rFont val="Calibri"/>
        <family val="2"/>
        <scheme val="minor"/>
      </rPr>
      <t>1</t>
    </r>
    <r>
      <rPr>
        <sz val="11"/>
        <color theme="1"/>
        <rFont val="Calibri"/>
        <family val="2"/>
        <scheme val="minor"/>
      </rPr>
      <t xml:space="preserve"> rencontre avec la Responsable de l'Universite Quisquella sur l'Elaboration des modules</t>
    </r>
  </si>
  <si>
    <r>
      <t xml:space="preserve">4 rencontres ont été organisées avec 22 membres de 4 organisations de femmes </t>
    </r>
    <r>
      <rPr>
        <b/>
        <sz val="11"/>
        <color theme="1"/>
        <rFont val="Calibri"/>
        <family val="2"/>
        <scheme val="minor"/>
      </rPr>
      <t>(Association des Femmes Actives de la Grand Anse (AFAGA), Fanm Lakay, Fanm Deside)</t>
    </r>
    <r>
      <rPr>
        <sz val="11"/>
        <color theme="1"/>
        <rFont val="Calibri"/>
        <family val="2"/>
        <scheme val="minor"/>
      </rPr>
      <t xml:space="preserve"> et 3 organisations de jeunes </t>
    </r>
    <r>
      <rPr>
        <b/>
        <sz val="11"/>
        <color theme="1"/>
        <rFont val="Calibri"/>
        <family val="2"/>
        <scheme val="minor"/>
      </rPr>
      <t>(Jeune Chambre Internationale (JCI), Groupe d’Appui au Développment et à la Démocratie(GRADE),</t>
    </r>
    <r>
      <rPr>
        <sz val="11"/>
        <color theme="1"/>
        <rFont val="Calibri"/>
        <family val="2"/>
        <scheme val="minor"/>
      </rPr>
      <t xml:space="preserve"> </t>
    </r>
    <r>
      <rPr>
        <b/>
        <sz val="11"/>
        <color theme="1"/>
        <rFont val="Calibri"/>
        <family val="2"/>
        <scheme val="minor"/>
      </rPr>
      <t>Jeunes Progressistes de la Grand Anse (JPGA))</t>
    </r>
    <r>
      <rPr>
        <sz val="11"/>
        <color theme="1"/>
        <rFont val="Calibri"/>
        <family val="2"/>
        <scheme val="minor"/>
      </rPr>
      <t xml:space="preserve"> sur la presentation du Projet et leur intégration dans la diminution des cas de violence dans la communauté.</t>
    </r>
  </si>
  <si>
    <t>Comments</t>
  </si>
  <si>
    <t>Montant</t>
  </si>
  <si>
    <t>%</t>
  </si>
  <si>
    <t>ONU Femmes</t>
  </si>
  <si>
    <t>PNUD</t>
  </si>
  <si>
    <t>OIM</t>
  </si>
  <si>
    <t>Les autorités, les acteurs locaux et la communauté en général (45.000 bénéficiaires) sont sensibilisés et outillés pour contribuer à la diminution des violences (y compris les VBG) et à la promotion d’une culture de paix grâce à l’implication active de la jeunesse de Jérémie dans la résolution pacifique des conflits.</t>
  </si>
  <si>
    <t xml:space="preserve"> 500 jeunes femmes et jeunes hommes entre 15 et 25 ans disposent des compétences favorisant leur participation active et équitable aux affaires publiques de la commune de Jérémie en synergie avec les autorités et les acteurs locaux </t>
  </si>
  <si>
    <t xml:space="preserve">Resultat 1: </t>
  </si>
  <si>
    <t>Activite 1.3:</t>
  </si>
  <si>
    <t>Les jeunes seront impliqués dans les activités de sensibilisation et de prévention contre le COVID19 et soutien à la prison de Jérémie</t>
  </si>
  <si>
    <t>Activite 1.3.1</t>
  </si>
  <si>
    <t>Activite 1.3.2</t>
  </si>
  <si>
    <t>Activite 1.3.3</t>
  </si>
  <si>
    <t>Activite 1.3.4</t>
  </si>
  <si>
    <t>Distribution des kits sanitaires pour faciliter les activités de sensibilisations et les campagnes de sensibilisations dans la ville de Jérémie.</t>
  </si>
  <si>
    <t>Organisation d’une grande campagne de sensibilisation et de distribution d’intrants sanitaires par les jeunes avec l’appui du projet.</t>
  </si>
  <si>
    <t xml:space="preserve">Distribution des kits sanitaires dans la prison civile de Jérémie afin d’appuyer la détection d’administration pénitentiaire dans le cadre de la réponse COVID19.   </t>
  </si>
  <si>
    <t>La Mairie de Jérémie dispose d’une stratégie et d’un plan d’action pour une concertation participative régulière avec les associations de jeunes</t>
  </si>
  <si>
    <t>Dépenses</t>
  </si>
  <si>
    <t>PNUD DEPENSES</t>
  </si>
  <si>
    <t>Asset(Véhicule)</t>
  </si>
  <si>
    <t>Montants</t>
  </si>
  <si>
    <t>Explications</t>
  </si>
  <si>
    <t>Lignes</t>
  </si>
  <si>
    <t>1.1.5</t>
  </si>
  <si>
    <t>Montant de Garantie du contrat de réhabilitation</t>
  </si>
  <si>
    <t>1.2.4</t>
  </si>
  <si>
    <t>Montant de Garantie du contrat d'aménagement de la place</t>
  </si>
  <si>
    <t>2.3.2</t>
  </si>
  <si>
    <t>Paiement du restaurant Le Grand'Anselais</t>
  </si>
  <si>
    <t>CO</t>
  </si>
  <si>
    <t>Paiement du loyer du bureau de jeremie.</t>
  </si>
  <si>
    <t>Total</t>
  </si>
  <si>
    <t>Monatnt sans GMS</t>
  </si>
  <si>
    <t>P.O achat de meuble(Office Star)</t>
  </si>
  <si>
    <t>Commitments explanations</t>
  </si>
  <si>
    <t xml:space="preserve">Engagement </t>
  </si>
  <si>
    <t>Rapport financier  au 31 Octobre 2020</t>
  </si>
  <si>
    <t>NB: Les données financières dans le rapport sont provisoires en attendant le rapport officiel certifié de l'office du controleur du PNUD à 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</si>
</sst>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0000000"/>
    <numFmt numFmtId="165" formatCode="&quot;$&quot;#,##0.00"/>
  </numFmts>
  <fonts count="13"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
      <sz val="11"/>
      <name val="Calibri"/>
      <family val="2"/>
      <scheme val="minor"/>
    </font>
    <font>
      <b/>
      <sz val="11"/>
      <name val="Calibri"/>
      <family val="2"/>
      <scheme val="minor"/>
    </font>
    <font>
      <b/>
      <sz val="10"/>
      <name val="Nyala"/>
    </font>
    <font>
      <sz val="10"/>
      <name val="Nyala"/>
    </font>
    <font>
      <b/>
      <i/>
      <sz val="10"/>
      <name val="Nyala"/>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50">
    <xf numFmtId="0" fontId="0" fillId="0" borderId="0" xfId="0"/>
    <xf numFmtId="0" fontId="1" fillId="0" borderId="0" xfId="0" applyFont="1"/>
    <xf numFmtId="0" fontId="0" fillId="0" borderId="0" xfId="0" applyFont="1"/>
    <xf numFmtId="0" fontId="0" fillId="0" borderId="0" xfId="0" applyFont="1" applyAlignment="1">
      <alignment wrapText="1"/>
    </xf>
    <xf numFmtId="43" fontId="0" fillId="0" borderId="0" xfId="0" applyNumberFormat="1" applyFont="1"/>
    <xf numFmtId="43" fontId="5" fillId="0" borderId="1" xfId="1" applyFont="1" applyBorder="1" applyAlignment="1">
      <alignment horizontal="right" vertical="top" wrapText="1"/>
    </xf>
    <xf numFmtId="0" fontId="5"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0" fillId="0" borderId="0" xfId="0" applyAlignment="1">
      <alignment vertical="top"/>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xf>
    <xf numFmtId="0" fontId="0" fillId="0" borderId="0" xfId="0" applyBorder="1" applyAlignment="1">
      <alignment vertical="top"/>
    </xf>
    <xf numFmtId="0" fontId="0" fillId="0" borderId="0" xfId="0" applyAlignment="1">
      <alignment horizontal="center" vertical="top"/>
    </xf>
    <xf numFmtId="43" fontId="5" fillId="0" borderId="1" xfId="0" applyNumberFormat="1" applyFont="1" applyBorder="1" applyAlignment="1">
      <alignment vertical="top"/>
    </xf>
    <xf numFmtId="0" fontId="4" fillId="4" borderId="1" xfId="0" applyFont="1" applyFill="1" applyBorder="1" applyAlignment="1">
      <alignment vertical="top" wrapText="1"/>
    </xf>
    <xf numFmtId="43" fontId="5" fillId="4" borderId="1" xfId="1" applyFont="1" applyFill="1" applyBorder="1" applyAlignment="1">
      <alignment horizontal="right" vertical="top" wrapText="1"/>
    </xf>
    <xf numFmtId="43" fontId="5" fillId="0" borderId="1" xfId="1" applyFont="1" applyFill="1" applyBorder="1" applyAlignment="1">
      <alignment horizontal="right" vertical="top" wrapText="1"/>
    </xf>
    <xf numFmtId="43" fontId="5" fillId="0" borderId="1" xfId="1" applyFont="1" applyFill="1" applyBorder="1" applyAlignment="1">
      <alignment horizontal="center" vertical="top" wrapText="1"/>
    </xf>
    <xf numFmtId="4"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43" fontId="5" fillId="0" borderId="1" xfId="0" applyNumberFormat="1" applyFont="1" applyFill="1" applyBorder="1" applyAlignment="1">
      <alignment horizontal="right" vertical="top" wrapText="1"/>
    </xf>
    <xf numFmtId="43" fontId="5" fillId="0" borderId="1" xfId="0" applyNumberFormat="1" applyFont="1" applyBorder="1" applyAlignment="1">
      <alignment horizontal="right" vertical="top" wrapText="1"/>
    </xf>
    <xf numFmtId="43" fontId="4" fillId="4" borderId="1" xfId="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43" fontId="0" fillId="5" borderId="1" xfId="1" applyFont="1" applyFill="1" applyBorder="1" applyAlignment="1">
      <alignment horizontal="center" vertical="center" wrapText="1"/>
    </xf>
    <xf numFmtId="2" fontId="0" fillId="5" borderId="1" xfId="0" applyNumberFormat="1" applyFont="1" applyFill="1" applyBorder="1" applyAlignment="1">
      <alignment horizontal="right" vertical="center" wrapText="1"/>
    </xf>
    <xf numFmtId="4" fontId="0" fillId="5" borderId="1" xfId="0" applyNumberFormat="1" applyFont="1" applyFill="1" applyBorder="1" applyAlignment="1">
      <alignment horizontal="right" vertical="center" wrapText="1"/>
    </xf>
    <xf numFmtId="0" fontId="0" fillId="0" borderId="1" xfId="0" applyFont="1" applyBorder="1" applyAlignment="1">
      <alignment vertical="center" wrapText="1"/>
    </xf>
    <xf numFmtId="2" fontId="0" fillId="0" borderId="1" xfId="0" applyNumberFormat="1" applyFont="1" applyBorder="1" applyAlignment="1">
      <alignment vertical="center" wrapText="1"/>
    </xf>
    <xf numFmtId="8" fontId="0" fillId="0" borderId="1" xfId="0" applyNumberFormat="1" applyFont="1" applyFill="1" applyBorder="1" applyAlignment="1">
      <alignment vertical="center" wrapText="1"/>
    </xf>
    <xf numFmtId="2" fontId="0" fillId="0" borderId="1" xfId="0" applyNumberFormat="1" applyFont="1" applyBorder="1" applyAlignment="1">
      <alignment vertical="center"/>
    </xf>
    <xf numFmtId="10" fontId="0" fillId="0" borderId="1" xfId="0" applyNumberFormat="1" applyFont="1" applyBorder="1" applyAlignment="1">
      <alignment vertical="center" wrapText="1"/>
    </xf>
    <xf numFmtId="8" fontId="0" fillId="0" borderId="1" xfId="0" applyNumberFormat="1" applyFont="1" applyBorder="1" applyAlignment="1">
      <alignment vertical="center" wrapText="1"/>
    </xf>
    <xf numFmtId="0" fontId="0" fillId="0" borderId="1" xfId="0" applyFont="1" applyBorder="1" applyAlignment="1">
      <alignment vertical="top" wrapText="1"/>
    </xf>
    <xf numFmtId="43" fontId="0" fillId="0" borderId="1" xfId="1" applyFont="1" applyBorder="1" applyAlignment="1">
      <alignment horizontal="center" vertical="center"/>
    </xf>
    <xf numFmtId="9" fontId="0" fillId="0" borderId="1" xfId="2" applyFont="1" applyBorder="1" applyAlignment="1">
      <alignment vertical="center" wrapText="1"/>
    </xf>
    <xf numFmtId="43" fontId="0" fillId="0" borderId="1" xfId="0" applyNumberFormat="1" applyFont="1" applyBorder="1" applyAlignment="1">
      <alignment vertical="center" wrapText="1"/>
    </xf>
    <xf numFmtId="4" fontId="0" fillId="0" borderId="1" xfId="0" applyNumberFormat="1" applyFont="1" applyBorder="1" applyAlignment="1">
      <alignment vertical="center" wrapText="1"/>
    </xf>
    <xf numFmtId="0" fontId="1" fillId="0" borderId="1" xfId="0" applyFont="1" applyBorder="1" applyAlignment="1">
      <alignment vertical="center"/>
    </xf>
    <xf numFmtId="8" fontId="1" fillId="0" borderId="1" xfId="0" applyNumberFormat="1" applyFont="1" applyBorder="1" applyAlignment="1">
      <alignment vertical="center"/>
    </xf>
    <xf numFmtId="8" fontId="0" fillId="0" borderId="1" xfId="0" applyNumberFormat="1" applyFont="1" applyBorder="1" applyAlignment="1">
      <alignment horizontal="right" vertical="center" wrapText="1"/>
    </xf>
    <xf numFmtId="43" fontId="0" fillId="0" borderId="1" xfId="1" applyFont="1" applyBorder="1" applyAlignment="1">
      <alignment vertical="center" wrapText="1"/>
    </xf>
    <xf numFmtId="0" fontId="0" fillId="0" borderId="1" xfId="0" applyFont="1" applyBorder="1" applyAlignment="1">
      <alignment wrapText="1"/>
    </xf>
    <xf numFmtId="0" fontId="0" fillId="0" borderId="1" xfId="0" applyFont="1" applyBorder="1"/>
    <xf numFmtId="8" fontId="0" fillId="0" borderId="1" xfId="0" applyNumberFormat="1" applyFont="1" applyBorder="1" applyAlignment="1">
      <alignment vertical="top" wrapText="1"/>
    </xf>
    <xf numFmtId="0" fontId="0" fillId="0" borderId="1" xfId="0" applyFont="1" applyBorder="1" applyAlignment="1">
      <alignment horizontal="left" vertical="center" wrapText="1"/>
    </xf>
    <xf numFmtId="43" fontId="1" fillId="0" borderId="1" xfId="0" applyNumberFormat="1" applyFont="1" applyBorder="1" applyAlignment="1">
      <alignment vertical="center"/>
    </xf>
    <xf numFmtId="43" fontId="1" fillId="0" borderId="1" xfId="0" applyNumberFormat="1" applyFont="1" applyFill="1" applyBorder="1" applyAlignment="1">
      <alignment vertical="center"/>
    </xf>
    <xf numFmtId="43" fontId="0" fillId="0" borderId="1" xfId="1" applyFont="1" applyFill="1" applyBorder="1" applyAlignment="1">
      <alignment vertical="center" wrapText="1"/>
    </xf>
    <xf numFmtId="0" fontId="0" fillId="0" borderId="1" xfId="0" applyFont="1" applyBorder="1" applyAlignment="1">
      <alignment vertical="center"/>
    </xf>
    <xf numFmtId="43" fontId="0" fillId="0" borderId="1" xfId="0" applyNumberFormat="1" applyFont="1" applyBorder="1" applyAlignment="1">
      <alignment vertical="center"/>
    </xf>
    <xf numFmtId="8" fontId="0" fillId="0" borderId="1" xfId="0" applyNumberFormat="1" applyFont="1" applyBorder="1" applyAlignment="1">
      <alignment vertical="center"/>
    </xf>
    <xf numFmtId="8" fontId="1" fillId="0" borderId="1" xfId="0" applyNumberFormat="1" applyFont="1" applyBorder="1" applyAlignment="1">
      <alignment vertical="center" wrapText="1"/>
    </xf>
    <xf numFmtId="43" fontId="7" fillId="0" borderId="1" xfId="1" applyFont="1" applyBorder="1" applyAlignment="1">
      <alignment horizontal="right" vertical="top" wrapText="1"/>
    </xf>
    <xf numFmtId="0" fontId="1" fillId="7" borderId="1" xfId="0" applyFont="1" applyFill="1" applyBorder="1" applyAlignment="1">
      <alignment horizontal="center" vertical="center" wrapText="1"/>
    </xf>
    <xf numFmtId="0" fontId="1" fillId="0" borderId="1" xfId="0" applyFont="1" applyBorder="1" applyAlignment="1">
      <alignment vertical="center" wrapText="1"/>
    </xf>
    <xf numFmtId="43" fontId="6" fillId="0" borderId="1" xfId="1" applyFont="1" applyFill="1" applyBorder="1" applyAlignment="1">
      <alignment horizontal="right" vertical="center" wrapText="1"/>
    </xf>
    <xf numFmtId="8" fontId="0" fillId="0" borderId="1" xfId="0" applyNumberFormat="1" applyFont="1" applyFill="1" applyBorder="1" applyAlignment="1">
      <alignment vertical="center"/>
    </xf>
    <xf numFmtId="0" fontId="8" fillId="0" borderId="0" xfId="0" applyFont="1" applyFill="1"/>
    <xf numFmtId="0" fontId="8" fillId="0" borderId="1" xfId="0" applyFont="1" applyBorder="1" applyAlignment="1">
      <alignment vertical="top" wrapText="1"/>
    </xf>
    <xf numFmtId="8" fontId="8" fillId="0" borderId="1" xfId="0" applyNumberFormat="1" applyFont="1" applyFill="1" applyBorder="1" applyAlignment="1">
      <alignment vertical="center" wrapText="1"/>
    </xf>
    <xf numFmtId="2"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8" fontId="9" fillId="0" borderId="1" xfId="0" applyNumberFormat="1" applyFont="1" applyFill="1" applyBorder="1" applyAlignment="1">
      <alignment vertical="center"/>
    </xf>
    <xf numFmtId="8" fontId="8" fillId="0" borderId="1" xfId="0" applyNumberFormat="1" applyFont="1" applyFill="1" applyBorder="1" applyAlignment="1">
      <alignment vertical="top" wrapText="1"/>
    </xf>
    <xf numFmtId="43" fontId="9" fillId="0" borderId="1" xfId="0" applyNumberFormat="1" applyFont="1" applyFill="1" applyBorder="1" applyAlignment="1">
      <alignment vertical="center"/>
    </xf>
    <xf numFmtId="43" fontId="9" fillId="0" borderId="1" xfId="1" applyFont="1" applyFill="1" applyBorder="1" applyAlignment="1">
      <alignment vertical="center" wrapText="1"/>
    </xf>
    <xf numFmtId="43" fontId="8" fillId="0" borderId="1" xfId="1" applyFont="1" applyFill="1" applyBorder="1" applyAlignment="1">
      <alignment vertical="center" wrapText="1"/>
    </xf>
    <xf numFmtId="43" fontId="8" fillId="0" borderId="1" xfId="0" applyNumberFormat="1" applyFont="1" applyFill="1" applyBorder="1" applyAlignment="1">
      <alignment vertical="center"/>
    </xf>
    <xf numFmtId="43" fontId="8" fillId="0" borderId="0" xfId="0" applyNumberFormat="1" applyFont="1" applyFill="1"/>
    <xf numFmtId="0" fontId="8" fillId="0" borderId="0" xfId="0" applyFont="1"/>
    <xf numFmtId="2" fontId="8" fillId="0" borderId="1" xfId="0" applyNumberFormat="1" applyFont="1" applyBorder="1" applyAlignment="1">
      <alignment vertical="center"/>
    </xf>
    <xf numFmtId="8" fontId="8" fillId="0" borderId="1" xfId="0" applyNumberFormat="1" applyFont="1" applyBorder="1" applyAlignment="1">
      <alignment vertical="center" wrapText="1"/>
    </xf>
    <xf numFmtId="4" fontId="8" fillId="0" borderId="1" xfId="0" applyNumberFormat="1" applyFont="1" applyBorder="1" applyAlignment="1">
      <alignment vertical="center" wrapText="1"/>
    </xf>
    <xf numFmtId="2" fontId="8" fillId="0" borderId="1" xfId="0" applyNumberFormat="1" applyFont="1" applyBorder="1" applyAlignment="1">
      <alignment vertical="center" wrapText="1"/>
    </xf>
    <xf numFmtId="0" fontId="8" fillId="0" borderId="1" xfId="0" applyFont="1" applyBorder="1" applyAlignment="1">
      <alignment vertical="center" wrapText="1"/>
    </xf>
    <xf numFmtId="8" fontId="9" fillId="0" borderId="1" xfId="0" applyNumberFormat="1" applyFont="1" applyBorder="1" applyAlignment="1">
      <alignment vertical="center"/>
    </xf>
    <xf numFmtId="43" fontId="9" fillId="0" borderId="1" xfId="0" applyNumberFormat="1" applyFont="1" applyBorder="1" applyAlignment="1">
      <alignment vertical="center"/>
    </xf>
    <xf numFmtId="8" fontId="9" fillId="0" borderId="1" xfId="0" applyNumberFormat="1" applyFont="1" applyBorder="1" applyAlignment="1">
      <alignment vertical="center" wrapText="1"/>
    </xf>
    <xf numFmtId="8" fontId="8" fillId="0" borderId="1" xfId="0" applyNumberFormat="1" applyFont="1" applyBorder="1" applyAlignment="1">
      <alignment vertical="center"/>
    </xf>
    <xf numFmtId="43" fontId="8" fillId="0" borderId="0" xfId="0" applyNumberFormat="1" applyFont="1"/>
    <xf numFmtId="0" fontId="1" fillId="0" borderId="2" xfId="0" applyFont="1" applyBorder="1" applyAlignment="1">
      <alignment vertical="center" wrapText="1"/>
    </xf>
    <xf numFmtId="0" fontId="1" fillId="0" borderId="0" xfId="0" applyFont="1" applyAlignment="1">
      <alignment wrapText="1"/>
    </xf>
    <xf numFmtId="0" fontId="1" fillId="5" borderId="1" xfId="0" applyFont="1" applyFill="1" applyBorder="1" applyAlignment="1">
      <alignment horizontal="center" vertical="center" wrapText="1"/>
    </xf>
    <xf numFmtId="0" fontId="1" fillId="0" borderId="4" xfId="0" applyFont="1" applyBorder="1" applyAlignment="1">
      <alignment vertical="center" wrapText="1"/>
    </xf>
    <xf numFmtId="43" fontId="0" fillId="0" borderId="0" xfId="1" applyFont="1"/>
    <xf numFmtId="0" fontId="0" fillId="5" borderId="1" xfId="0" applyFont="1" applyFill="1" applyBorder="1" applyAlignment="1">
      <alignment horizontal="left" vertical="center" wrapText="1"/>
    </xf>
    <xf numFmtId="0" fontId="0" fillId="5" borderId="1" xfId="0" applyFont="1" applyFill="1" applyBorder="1" applyAlignment="1">
      <alignment horizontal="right" vertical="center" wrapText="1"/>
    </xf>
    <xf numFmtId="0" fontId="0" fillId="5" borderId="1" xfId="0" applyFont="1" applyFill="1" applyBorder="1" applyAlignment="1">
      <alignment horizontal="center" vertical="center" wrapText="1"/>
    </xf>
    <xf numFmtId="43" fontId="2" fillId="5" borderId="1" xfId="1" applyFont="1" applyFill="1" applyBorder="1" applyAlignment="1">
      <alignment horizontal="center" vertical="center" wrapText="1"/>
    </xf>
    <xf numFmtId="43" fontId="1" fillId="0" borderId="5" xfId="0" applyNumberFormat="1" applyFont="1" applyBorder="1" applyAlignment="1">
      <alignment vertical="center"/>
    </xf>
    <xf numFmtId="0" fontId="1" fillId="0" borderId="5" xfId="0" applyFont="1" applyBorder="1" applyAlignment="1">
      <alignment vertical="center"/>
    </xf>
    <xf numFmtId="0" fontId="0" fillId="0" borderId="8" xfId="0" applyFont="1" applyBorder="1" applyAlignment="1"/>
    <xf numFmtId="43" fontId="0" fillId="0" borderId="7" xfId="0" applyNumberFormat="1" applyFont="1" applyBorder="1" applyAlignment="1"/>
    <xf numFmtId="43" fontId="1" fillId="0" borderId="7" xfId="0" applyNumberFormat="1" applyFont="1" applyBorder="1" applyAlignment="1"/>
    <xf numFmtId="43" fontId="9" fillId="0" borderId="5" xfId="0" applyNumberFormat="1" applyFont="1" applyFill="1" applyBorder="1" applyAlignment="1">
      <alignment vertical="center"/>
    </xf>
    <xf numFmtId="8" fontId="1" fillId="0" borderId="5" xfId="0" applyNumberFormat="1" applyFont="1" applyBorder="1" applyAlignment="1">
      <alignment vertical="center"/>
    </xf>
    <xf numFmtId="8" fontId="9" fillId="0" borderId="5" xfId="0" applyNumberFormat="1" applyFont="1" applyBorder="1" applyAlignment="1">
      <alignment vertical="center"/>
    </xf>
    <xf numFmtId="8" fontId="0" fillId="0" borderId="7" xfId="0" applyNumberFormat="1" applyFont="1" applyBorder="1" applyAlignment="1"/>
    <xf numFmtId="0" fontId="1" fillId="8" borderId="1" xfId="0" applyFont="1" applyFill="1" applyBorder="1" applyAlignment="1">
      <alignment vertical="center"/>
    </xf>
    <xf numFmtId="0" fontId="0" fillId="8" borderId="7" xfId="0" applyFont="1" applyFill="1" applyBorder="1" applyAlignment="1"/>
    <xf numFmtId="43" fontId="8" fillId="0" borderId="1" xfId="1" applyFont="1" applyBorder="1" applyAlignment="1">
      <alignment vertical="center" wrapText="1"/>
    </xf>
    <xf numFmtId="43" fontId="9" fillId="0" borderId="1" xfId="1" applyFont="1" applyFill="1" applyBorder="1" applyAlignment="1">
      <alignment vertical="center"/>
    </xf>
    <xf numFmtId="43" fontId="8" fillId="0" borderId="1" xfId="1" applyFont="1" applyFill="1" applyBorder="1" applyAlignment="1">
      <alignment vertical="center"/>
    </xf>
    <xf numFmtId="8" fontId="0" fillId="0" borderId="0" xfId="0" applyNumberFormat="1" applyFont="1"/>
    <xf numFmtId="43" fontId="5" fillId="4" borderId="5" xfId="1" applyFont="1" applyFill="1" applyBorder="1" applyAlignment="1">
      <alignment horizontal="right" vertical="top" wrapText="1"/>
    </xf>
    <xf numFmtId="43" fontId="5" fillId="4" borderId="5" xfId="0" applyNumberFormat="1" applyFont="1" applyFill="1" applyBorder="1" applyAlignment="1">
      <alignment horizontal="right" vertical="top" wrapText="1"/>
    </xf>
    <xf numFmtId="43" fontId="4" fillId="6" borderId="5" xfId="1" applyFont="1" applyFill="1" applyBorder="1" applyAlignment="1">
      <alignment horizontal="right" vertical="top" wrapText="1"/>
    </xf>
    <xf numFmtId="43" fontId="0" fillId="0" borderId="7" xfId="0" applyNumberFormat="1" applyBorder="1" applyAlignment="1">
      <alignment vertical="top"/>
    </xf>
    <xf numFmtId="164" fontId="0" fillId="0" borderId="0" xfId="0" applyNumberFormat="1" applyFont="1"/>
    <xf numFmtId="0" fontId="0" fillId="9" borderId="1" xfId="0" applyFill="1" applyBorder="1" applyAlignment="1">
      <alignment horizontal="center"/>
    </xf>
    <xf numFmtId="0" fontId="0" fillId="9" borderId="1" xfId="0" applyFill="1" applyBorder="1"/>
    <xf numFmtId="43" fontId="0" fillId="10" borderId="1" xfId="0" applyNumberFormat="1" applyFill="1" applyBorder="1"/>
    <xf numFmtId="0" fontId="0" fillId="10" borderId="1" xfId="0" applyFill="1" applyBorder="1"/>
    <xf numFmtId="43" fontId="0" fillId="11" borderId="1" xfId="1" applyFont="1" applyFill="1" applyBorder="1"/>
    <xf numFmtId="43" fontId="1" fillId="0" borderId="8" xfId="1" applyFont="1" applyBorder="1" applyAlignment="1">
      <alignment horizontal="center"/>
    </xf>
    <xf numFmtId="43" fontId="1" fillId="0" borderId="9" xfId="1"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0" fillId="7" borderId="2" xfId="0" applyFont="1" applyFill="1" applyBorder="1" applyAlignment="1">
      <alignment horizontal="center"/>
    </xf>
    <xf numFmtId="0" fontId="0" fillId="7" borderId="4" xfId="0" applyFont="1" applyFill="1" applyBorder="1" applyAlignment="1">
      <alignment horizontal="center"/>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0" borderId="1" xfId="0" applyFont="1" applyBorder="1" applyAlignment="1">
      <alignment horizontal="center" vertical="top"/>
    </xf>
    <xf numFmtId="0" fontId="0" fillId="0" borderId="0" xfId="0" applyAlignment="1">
      <alignment horizontal="center" vertical="top"/>
    </xf>
    <xf numFmtId="0" fontId="4" fillId="2" borderId="1" xfId="0" applyFont="1" applyFill="1" applyBorder="1" applyAlignment="1">
      <alignment horizontal="center" vertical="top" wrapText="1"/>
    </xf>
    <xf numFmtId="43" fontId="0" fillId="0" borderId="8" xfId="0" applyNumberFormat="1" applyBorder="1" applyAlignment="1">
      <alignment horizontal="center" vertical="top"/>
    </xf>
    <xf numFmtId="0" fontId="0" fillId="0" borderId="9" xfId="0" applyBorder="1" applyAlignment="1">
      <alignment horizontal="center" vertical="top"/>
    </xf>
    <xf numFmtId="0" fontId="0" fillId="11" borderId="8" xfId="0" applyFill="1" applyBorder="1" applyAlignment="1">
      <alignment horizontal="center"/>
    </xf>
    <xf numFmtId="0" fontId="0" fillId="11" borderId="9" xfId="0" applyFill="1" applyBorder="1" applyAlignment="1">
      <alignment horizontal="center"/>
    </xf>
    <xf numFmtId="0" fontId="10" fillId="0" borderId="0" xfId="0" applyFont="1"/>
    <xf numFmtId="0" fontId="11" fillId="0" borderId="0" xfId="0" applyFont="1"/>
    <xf numFmtId="165" fontId="10" fillId="0" borderId="0" xfId="3" applyNumberFormat="1" applyFont="1" applyFill="1" applyAlignment="1">
      <alignment horizontal="right"/>
    </xf>
    <xf numFmtId="0" fontId="12" fillId="0" borderId="0" xfId="0" applyFont="1"/>
    <xf numFmtId="44" fontId="10" fillId="0" borderId="0" xfId="0" applyNumberFormat="1" applyFont="1" applyAlignment="1">
      <alignment horizontal="center"/>
    </xf>
    <xf numFmtId="44" fontId="11" fillId="0" borderId="0" xfId="0" applyNumberFormat="1" applyFont="1"/>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phanie.Ziebell\AppData\Local\Microsoft\Windows\INetCache\Content.Outlook\3GVQR32Q\MASTER_PBF%20Financial%20repor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sheetName val="Sheet3"/>
    </sheetNames>
    <sheetDataSet>
      <sheetData sheetId="0"/>
      <sheetData sheetId="1"/>
      <sheetData sheetId="2" refreshError="1">
        <row r="46">
          <cell r="C46">
            <v>95760</v>
          </cell>
          <cell r="D46">
            <v>41040</v>
          </cell>
        </row>
        <row r="47">
          <cell r="C47">
            <v>4410</v>
          </cell>
          <cell r="D47">
            <v>1890</v>
          </cell>
        </row>
        <row r="48">
          <cell r="C48">
            <v>13595.526</v>
          </cell>
          <cell r="D48">
            <v>5826.6539999999995</v>
          </cell>
        </row>
        <row r="49">
          <cell r="C49">
            <v>140000</v>
          </cell>
          <cell r="D49">
            <v>60000</v>
          </cell>
        </row>
        <row r="50">
          <cell r="C50">
            <v>33838</v>
          </cell>
          <cell r="D50">
            <v>14502</v>
          </cell>
        </row>
        <row r="51">
          <cell r="C51">
            <v>0</v>
          </cell>
          <cell r="D51">
            <v>0</v>
          </cell>
        </row>
        <row r="52">
          <cell r="C52">
            <v>235759.86</v>
          </cell>
          <cell r="D52">
            <v>101039.93999999999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zoomScale="70" zoomScaleNormal="70" zoomScaleSheetLayoutView="80" workbookViewId="0">
      <pane ySplit="5" topLeftCell="A47" activePane="bottomLeft" state="frozen"/>
      <selection pane="bottomLeft" activeCell="B56" sqref="B56"/>
    </sheetView>
  </sheetViews>
  <sheetFormatPr defaultColWidth="8.7109375" defaultRowHeight="25.9" customHeight="1" x14ac:dyDescent="0.25"/>
  <cols>
    <col min="1" max="1" width="31.7109375" style="2" customWidth="1"/>
    <col min="2" max="2" width="45.28515625" style="2" customWidth="1"/>
    <col min="3" max="6" width="25.5703125" style="2" customWidth="1"/>
    <col min="7" max="7" width="25.5703125" style="61" customWidth="1"/>
    <col min="8" max="8" width="25.5703125" style="2" customWidth="1"/>
    <col min="9" max="9" width="25.5703125" style="73" customWidth="1"/>
    <col min="10" max="11" width="22.5703125" style="2" customWidth="1"/>
    <col min="12" max="12" width="20.7109375" style="2" hidden="1" customWidth="1"/>
    <col min="13" max="13" width="22.7109375" style="2" customWidth="1"/>
    <col min="14" max="16" width="28.7109375" style="2" customWidth="1"/>
    <col min="17" max="17" width="34.28515625" style="2" customWidth="1"/>
    <col min="18" max="16384" width="8.7109375" style="2"/>
  </cols>
  <sheetData>
    <row r="1" spans="1:12" ht="15" x14ac:dyDescent="0.25">
      <c r="A1" s="1" t="s">
        <v>142</v>
      </c>
      <c r="B1" s="1"/>
    </row>
    <row r="2" spans="1:12" ht="15" x14ac:dyDescent="0.25">
      <c r="A2" s="1"/>
      <c r="E2" s="4"/>
      <c r="F2" s="112"/>
    </row>
    <row r="3" spans="1:12" ht="15" x14ac:dyDescent="0.25">
      <c r="A3" s="1"/>
    </row>
    <row r="4" spans="1:12" ht="25.9" customHeight="1" x14ac:dyDescent="0.25">
      <c r="A4" s="133" t="s">
        <v>7</v>
      </c>
      <c r="B4" s="133" t="s">
        <v>8</v>
      </c>
      <c r="C4" s="133" t="s">
        <v>89</v>
      </c>
      <c r="D4" s="131" t="s">
        <v>124</v>
      </c>
      <c r="E4" s="132"/>
      <c r="F4" s="133" t="s">
        <v>90</v>
      </c>
      <c r="G4" s="135" t="s">
        <v>100</v>
      </c>
      <c r="H4" s="133" t="s">
        <v>91</v>
      </c>
      <c r="I4" s="135" t="s">
        <v>101</v>
      </c>
      <c r="J4" s="133" t="s">
        <v>9</v>
      </c>
      <c r="K4" s="133" t="s">
        <v>88</v>
      </c>
    </row>
    <row r="5" spans="1:12" ht="79.150000000000006" customHeight="1" x14ac:dyDescent="0.25">
      <c r="A5" s="134"/>
      <c r="B5" s="134"/>
      <c r="C5" s="134"/>
      <c r="D5" s="57" t="s">
        <v>123</v>
      </c>
      <c r="E5" s="57" t="s">
        <v>141</v>
      </c>
      <c r="F5" s="134"/>
      <c r="G5" s="136"/>
      <c r="H5" s="134"/>
      <c r="I5" s="136"/>
      <c r="J5" s="134"/>
      <c r="K5" s="134"/>
      <c r="L5" s="87" t="s">
        <v>10</v>
      </c>
    </row>
    <row r="6" spans="1:12" s="3" customFormat="1" ht="25.9" customHeight="1" x14ac:dyDescent="0.25">
      <c r="A6" s="85" t="s">
        <v>112</v>
      </c>
      <c r="B6" s="125" t="s">
        <v>111</v>
      </c>
      <c r="C6" s="126"/>
      <c r="D6" s="126"/>
      <c r="E6" s="126"/>
      <c r="F6" s="126"/>
      <c r="G6" s="126"/>
      <c r="H6" s="126"/>
      <c r="I6" s="126"/>
      <c r="J6" s="126"/>
      <c r="K6" s="127"/>
      <c r="L6" s="58"/>
    </row>
    <row r="7" spans="1:12" ht="64.5" customHeight="1" x14ac:dyDescent="0.25">
      <c r="A7" s="58" t="s">
        <v>12</v>
      </c>
      <c r="B7" s="36" t="s">
        <v>51</v>
      </c>
      <c r="C7" s="36"/>
      <c r="D7" s="36"/>
      <c r="E7" s="36"/>
      <c r="F7" s="36"/>
      <c r="G7" s="62"/>
      <c r="H7" s="36"/>
      <c r="I7" s="62"/>
      <c r="J7" s="36"/>
      <c r="K7" s="36"/>
      <c r="L7" s="36"/>
    </row>
    <row r="8" spans="1:12" ht="80.25" customHeight="1" x14ac:dyDescent="0.25">
      <c r="A8" s="30" t="s">
        <v>17</v>
      </c>
      <c r="B8" s="30" t="s">
        <v>79</v>
      </c>
      <c r="C8" s="31">
        <v>0</v>
      </c>
      <c r="D8" s="31">
        <v>0</v>
      </c>
      <c r="E8" s="31"/>
      <c r="F8" s="32">
        <v>138500</v>
      </c>
      <c r="G8" s="105">
        <v>116531.02</v>
      </c>
      <c r="H8" s="33">
        <v>0</v>
      </c>
      <c r="I8" s="74">
        <v>0</v>
      </c>
      <c r="J8" s="34">
        <v>0.2079</v>
      </c>
      <c r="K8" s="35">
        <f>D8+G8+I8+E8</f>
        <v>116531.02</v>
      </c>
      <c r="L8" s="30" t="s">
        <v>102</v>
      </c>
    </row>
    <row r="9" spans="1:12" ht="78.75" customHeight="1" x14ac:dyDescent="0.25">
      <c r="A9" s="30" t="s">
        <v>18</v>
      </c>
      <c r="B9" s="30" t="s">
        <v>78</v>
      </c>
      <c r="C9" s="31">
        <v>0</v>
      </c>
      <c r="D9" s="31">
        <v>0</v>
      </c>
      <c r="E9" s="31"/>
      <c r="F9" s="32">
        <v>77500</v>
      </c>
      <c r="G9" s="106">
        <v>74280.179999999993</v>
      </c>
      <c r="H9" s="33">
        <v>0</v>
      </c>
      <c r="I9" s="74">
        <v>0</v>
      </c>
      <c r="J9" s="34">
        <v>0.1186</v>
      </c>
      <c r="K9" s="35">
        <f>D9+G9+I9+E9</f>
        <v>74280.179999999993</v>
      </c>
      <c r="L9" s="36" t="s">
        <v>98</v>
      </c>
    </row>
    <row r="10" spans="1:12" ht="46.15" customHeight="1" x14ac:dyDescent="0.25">
      <c r="A10" s="30" t="s">
        <v>19</v>
      </c>
      <c r="B10" s="30" t="s">
        <v>77</v>
      </c>
      <c r="C10" s="27">
        <v>10000</v>
      </c>
      <c r="D10" s="37">
        <v>10000</v>
      </c>
      <c r="E10" s="37"/>
      <c r="F10" s="35">
        <v>0</v>
      </c>
      <c r="G10" s="63">
        <v>0</v>
      </c>
      <c r="H10" s="35">
        <v>0</v>
      </c>
      <c r="I10" s="75">
        <v>0</v>
      </c>
      <c r="J10" s="38">
        <v>0</v>
      </c>
      <c r="K10" s="35">
        <f t="shared" ref="K10:K11" si="0">D10+G10+I10+E10</f>
        <v>10000</v>
      </c>
      <c r="L10" s="30" t="s">
        <v>92</v>
      </c>
    </row>
    <row r="11" spans="1:12" ht="41.25" customHeight="1" x14ac:dyDescent="0.25">
      <c r="A11" s="30" t="s">
        <v>52</v>
      </c>
      <c r="B11" s="30" t="s">
        <v>54</v>
      </c>
      <c r="C11" s="31">
        <v>0</v>
      </c>
      <c r="D11" s="31">
        <v>0</v>
      </c>
      <c r="E11" s="31"/>
      <c r="F11" s="31">
        <v>0</v>
      </c>
      <c r="G11" s="64">
        <v>0</v>
      </c>
      <c r="H11" s="40">
        <v>200000</v>
      </c>
      <c r="I11" s="76">
        <v>164068.71</v>
      </c>
      <c r="J11" s="38">
        <v>0</v>
      </c>
      <c r="K11" s="35">
        <f t="shared" si="0"/>
        <v>164068.71</v>
      </c>
      <c r="L11" s="30"/>
    </row>
    <row r="12" spans="1:12" ht="25.9" customHeight="1" x14ac:dyDescent="0.25">
      <c r="A12" s="30" t="s">
        <v>53</v>
      </c>
      <c r="B12" s="30" t="s">
        <v>76</v>
      </c>
      <c r="C12" s="27">
        <v>195000</v>
      </c>
      <c r="D12" s="44">
        <v>177442.58</v>
      </c>
      <c r="E12" s="44">
        <v>17497.52</v>
      </c>
      <c r="F12" s="31">
        <v>0</v>
      </c>
      <c r="G12" s="64">
        <v>0</v>
      </c>
      <c r="H12" s="31">
        <v>0</v>
      </c>
      <c r="I12" s="77">
        <v>0</v>
      </c>
      <c r="J12" s="38">
        <v>0.1</v>
      </c>
      <c r="K12" s="39">
        <f>D12+G12+I12+E12</f>
        <v>194940.09999999998</v>
      </c>
      <c r="L12" s="30"/>
    </row>
    <row r="13" spans="1:12" ht="25.9" customHeight="1" x14ac:dyDescent="0.25">
      <c r="A13" s="58" t="s">
        <v>13</v>
      </c>
      <c r="B13" s="125" t="s">
        <v>122</v>
      </c>
      <c r="C13" s="126"/>
      <c r="D13" s="126"/>
      <c r="E13" s="126"/>
      <c r="F13" s="126"/>
      <c r="G13" s="126"/>
      <c r="H13" s="126"/>
      <c r="I13" s="126"/>
      <c r="J13" s="126"/>
      <c r="K13" s="127"/>
      <c r="L13" s="30"/>
    </row>
    <row r="14" spans="1:12" ht="63.75" customHeight="1" x14ac:dyDescent="0.25">
      <c r="A14" s="30" t="s">
        <v>20</v>
      </c>
      <c r="B14" s="30" t="s">
        <v>75</v>
      </c>
      <c r="C14" s="27">
        <v>5000</v>
      </c>
      <c r="D14" s="44">
        <v>4777.47</v>
      </c>
      <c r="E14" s="31"/>
      <c r="F14" s="31">
        <v>0</v>
      </c>
      <c r="G14" s="64">
        <v>0</v>
      </c>
      <c r="H14" s="31">
        <v>0</v>
      </c>
      <c r="I14" s="77">
        <v>0</v>
      </c>
      <c r="J14" s="38">
        <v>0.1</v>
      </c>
      <c r="K14" s="39">
        <f>D14+G14+I14+E14</f>
        <v>4777.47</v>
      </c>
      <c r="L14" s="30"/>
    </row>
    <row r="15" spans="1:12" ht="119.25" customHeight="1" x14ac:dyDescent="0.25">
      <c r="A15" s="30" t="s">
        <v>21</v>
      </c>
      <c r="B15" s="30" t="s">
        <v>74</v>
      </c>
      <c r="C15" s="27">
        <v>40000</v>
      </c>
      <c r="D15" s="44">
        <v>40000</v>
      </c>
      <c r="E15" s="31"/>
      <c r="F15" s="31">
        <v>0</v>
      </c>
      <c r="G15" s="64">
        <v>0</v>
      </c>
      <c r="H15" s="31">
        <v>0</v>
      </c>
      <c r="I15" s="77">
        <v>0</v>
      </c>
      <c r="J15" s="38">
        <v>0.15</v>
      </c>
      <c r="K15" s="39">
        <f t="shared" ref="K15:K16" si="1">D15+G15+I15+E15</f>
        <v>40000</v>
      </c>
      <c r="L15" s="30"/>
    </row>
    <row r="16" spans="1:12" ht="87.75" customHeight="1" x14ac:dyDescent="0.25">
      <c r="A16" s="30" t="s">
        <v>22</v>
      </c>
      <c r="B16" s="30" t="s">
        <v>73</v>
      </c>
      <c r="C16" s="28">
        <v>8231</v>
      </c>
      <c r="D16" s="44">
        <v>8231</v>
      </c>
      <c r="E16" s="31"/>
      <c r="F16" s="31">
        <v>0</v>
      </c>
      <c r="G16" s="64">
        <v>0</v>
      </c>
      <c r="H16" s="31">
        <v>0</v>
      </c>
      <c r="I16" s="77">
        <v>0</v>
      </c>
      <c r="J16" s="38">
        <v>0</v>
      </c>
      <c r="K16" s="39">
        <f t="shared" si="1"/>
        <v>8231</v>
      </c>
      <c r="L16" s="30"/>
    </row>
    <row r="17" spans="1:12" ht="76.5" customHeight="1" x14ac:dyDescent="0.25">
      <c r="A17" s="30" t="s">
        <v>72</v>
      </c>
      <c r="B17" s="89" t="s">
        <v>99</v>
      </c>
      <c r="C17" s="29">
        <v>185595.32</v>
      </c>
      <c r="D17" s="44">
        <v>158309.19</v>
      </c>
      <c r="E17" s="44">
        <f>10294.46+24925.9</f>
        <v>35220.36</v>
      </c>
      <c r="F17" s="31">
        <v>0</v>
      </c>
      <c r="G17" s="64">
        <v>0</v>
      </c>
      <c r="H17" s="31">
        <v>0</v>
      </c>
      <c r="I17" s="77">
        <v>0</v>
      </c>
      <c r="J17" s="38">
        <v>0.1</v>
      </c>
      <c r="K17" s="39">
        <f>D17+G17+I17+E17</f>
        <v>193529.55</v>
      </c>
      <c r="L17" s="30"/>
    </row>
    <row r="18" spans="1:12" ht="25.9" customHeight="1" x14ac:dyDescent="0.25">
      <c r="A18" s="30" t="s">
        <v>113</v>
      </c>
      <c r="B18" s="128" t="s">
        <v>114</v>
      </c>
      <c r="C18" s="129"/>
      <c r="D18" s="129"/>
      <c r="E18" s="129"/>
      <c r="F18" s="129"/>
      <c r="G18" s="129"/>
      <c r="H18" s="129"/>
      <c r="I18" s="129"/>
      <c r="J18" s="129"/>
      <c r="K18" s="130"/>
      <c r="L18" s="30"/>
    </row>
    <row r="19" spans="1:12" ht="57.75" customHeight="1" x14ac:dyDescent="0.25">
      <c r="A19" s="30" t="s">
        <v>115</v>
      </c>
      <c r="B19" s="89" t="s">
        <v>119</v>
      </c>
      <c r="C19" s="90">
        <v>27513.88</v>
      </c>
      <c r="D19" s="27">
        <v>26899.83</v>
      </c>
      <c r="E19" s="92"/>
      <c r="F19" s="86"/>
      <c r="G19" s="86"/>
      <c r="H19" s="86"/>
      <c r="I19" s="86"/>
      <c r="J19" s="86"/>
      <c r="K19" s="39">
        <f>D19+G19+I19+E19</f>
        <v>26899.83</v>
      </c>
      <c r="L19" s="30"/>
    </row>
    <row r="20" spans="1:12" ht="101.25" customHeight="1" x14ac:dyDescent="0.25">
      <c r="A20" s="30" t="s">
        <v>116</v>
      </c>
      <c r="B20" s="89" t="s">
        <v>120</v>
      </c>
      <c r="C20" s="90">
        <v>35364.31</v>
      </c>
      <c r="D20" s="27">
        <v>32990.89</v>
      </c>
      <c r="E20" s="92"/>
      <c r="F20" s="86"/>
      <c r="G20" s="86"/>
      <c r="H20" s="86"/>
      <c r="I20" s="86"/>
      <c r="J20" s="86"/>
      <c r="K20" s="39">
        <f t="shared" ref="K20:K21" si="2">D20+G20+I20+E20</f>
        <v>32990.89</v>
      </c>
      <c r="L20" s="30"/>
    </row>
    <row r="21" spans="1:12" ht="120.75" customHeight="1" x14ac:dyDescent="0.25">
      <c r="A21" s="30" t="s">
        <v>117</v>
      </c>
      <c r="B21" s="91" t="s">
        <v>121</v>
      </c>
      <c r="C21" s="90">
        <v>13710.08</v>
      </c>
      <c r="D21" s="27">
        <v>13710.08</v>
      </c>
      <c r="E21" s="92">
        <v>0</v>
      </c>
      <c r="F21" s="86"/>
      <c r="G21" s="86"/>
      <c r="H21" s="86"/>
      <c r="I21" s="86"/>
      <c r="J21" s="86"/>
      <c r="K21" s="39">
        <f t="shared" si="2"/>
        <v>13710.08</v>
      </c>
      <c r="L21" s="30"/>
    </row>
    <row r="22" spans="1:12" ht="25.9" customHeight="1" x14ac:dyDescent="0.25">
      <c r="A22" s="30" t="s">
        <v>118</v>
      </c>
      <c r="B22" s="91"/>
      <c r="C22" s="90">
        <v>0</v>
      </c>
      <c r="D22" s="91"/>
      <c r="E22" s="91"/>
      <c r="F22" s="86"/>
      <c r="G22" s="86"/>
      <c r="H22" s="86"/>
      <c r="I22" s="86"/>
      <c r="J22" s="86"/>
      <c r="K22" s="86"/>
      <c r="L22" s="30"/>
    </row>
    <row r="23" spans="1:12" ht="25.9" customHeight="1" x14ac:dyDescent="0.25">
      <c r="A23" s="41" t="s">
        <v>48</v>
      </c>
      <c r="B23" s="102"/>
      <c r="C23" s="42">
        <f>+C22+C21+C20+C19+C17+C16+C15+C14+C12+C11+C10+C9+C8</f>
        <v>520414.59</v>
      </c>
      <c r="D23" s="42">
        <f>+D22+D21+D20+D19+D17+D16+D15+D14+D12+D11+D10+D9+D8</f>
        <v>472361.03999999992</v>
      </c>
      <c r="E23" s="42">
        <f>+E22+E21+E20+E19+E17+E16+E15+E14+E12+E11+E10+E9+E8</f>
        <v>52717.880000000005</v>
      </c>
      <c r="F23" s="42">
        <f>F17+F16+G15+F14+F12+F11+F10+F9+F8</f>
        <v>216000</v>
      </c>
      <c r="G23" s="66">
        <f>G17+G16+H15+G14+G12+G11+G10+G9+G8</f>
        <v>190811.2</v>
      </c>
      <c r="H23" s="42">
        <f>H17+H16+I15+H14+H12+H11+H10+H9+H8</f>
        <v>200000</v>
      </c>
      <c r="I23" s="79">
        <f>I17+I16+J15+I14+I12+I11+I10+I9+I8</f>
        <v>164068.85999999999</v>
      </c>
      <c r="J23" s="42">
        <f>SUM(C17*0.1)+(C15*0.15)+(C14*0.1)+(C12*0.1)+(F8*0.2079)+(F9*0.1186)</f>
        <v>82545.182000000001</v>
      </c>
      <c r="K23" s="49">
        <f>+K22+K21+K20+K19+K17+K16+K15+K14+K12+K11+K10+K9+K8</f>
        <v>879958.82999999984</v>
      </c>
      <c r="L23" s="41"/>
    </row>
    <row r="24" spans="1:12" ht="33.6" customHeight="1" x14ac:dyDescent="0.25">
      <c r="A24" s="84" t="s">
        <v>11</v>
      </c>
      <c r="B24" s="126" t="s">
        <v>110</v>
      </c>
      <c r="C24" s="126"/>
      <c r="D24" s="126"/>
      <c r="E24" s="126"/>
      <c r="F24" s="126"/>
      <c r="G24" s="126"/>
      <c r="H24" s="126"/>
      <c r="I24" s="126"/>
      <c r="J24" s="126"/>
      <c r="K24" s="127"/>
      <c r="L24" s="58"/>
    </row>
    <row r="25" spans="1:12" ht="35.65" customHeight="1" x14ac:dyDescent="0.25">
      <c r="A25" s="58" t="s">
        <v>14</v>
      </c>
      <c r="B25" s="122" t="s">
        <v>55</v>
      </c>
      <c r="C25" s="123"/>
      <c r="D25" s="123"/>
      <c r="E25" s="123"/>
      <c r="F25" s="123"/>
      <c r="G25" s="123"/>
      <c r="H25" s="123"/>
      <c r="I25" s="123"/>
      <c r="J25" s="123"/>
      <c r="K25" s="124"/>
      <c r="L25" s="36"/>
    </row>
    <row r="26" spans="1:12" ht="120" customHeight="1" x14ac:dyDescent="0.25">
      <c r="A26" s="30" t="s">
        <v>23</v>
      </c>
      <c r="B26" s="30" t="s">
        <v>71</v>
      </c>
      <c r="C26" s="31">
        <v>0</v>
      </c>
      <c r="D26" s="31">
        <v>0</v>
      </c>
      <c r="E26" s="31"/>
      <c r="F26" s="43">
        <v>23700</v>
      </c>
      <c r="G26" s="69">
        <v>23036.1</v>
      </c>
      <c r="H26" s="31">
        <v>0</v>
      </c>
      <c r="I26" s="77">
        <v>0</v>
      </c>
      <c r="J26" s="34">
        <v>3.4000000000000002E-2</v>
      </c>
      <c r="K26" s="39">
        <f>D26+G26+I26+E26</f>
        <v>23036.1</v>
      </c>
      <c r="L26" s="36" t="s">
        <v>93</v>
      </c>
    </row>
    <row r="27" spans="1:12" ht="117.75" customHeight="1" x14ac:dyDescent="0.25">
      <c r="A27" s="30" t="s">
        <v>24</v>
      </c>
      <c r="B27" s="30" t="s">
        <v>70</v>
      </c>
      <c r="C27" s="31">
        <v>0</v>
      </c>
      <c r="D27" s="31">
        <v>0</v>
      </c>
      <c r="E27" s="31"/>
      <c r="F27" s="35">
        <v>128000</v>
      </c>
      <c r="G27" s="69">
        <v>119905.83</v>
      </c>
      <c r="H27" s="31">
        <v>0</v>
      </c>
      <c r="I27" s="77">
        <v>0</v>
      </c>
      <c r="J27" s="34">
        <v>0.19339999999999999</v>
      </c>
      <c r="K27" s="39">
        <f t="shared" ref="K27:K28" si="3">D27+G27+I27+E27</f>
        <v>119905.83</v>
      </c>
      <c r="L27" s="36" t="s">
        <v>94</v>
      </c>
    </row>
    <row r="28" spans="1:12" ht="129.75" customHeight="1" x14ac:dyDescent="0.25">
      <c r="A28" s="30" t="s">
        <v>25</v>
      </c>
      <c r="B28" s="30" t="s">
        <v>69</v>
      </c>
      <c r="C28" s="31">
        <v>0</v>
      </c>
      <c r="D28" s="31">
        <v>0</v>
      </c>
      <c r="E28" s="31"/>
      <c r="F28" s="35">
        <v>32000</v>
      </c>
      <c r="G28" s="70">
        <v>32218.07</v>
      </c>
      <c r="H28" s="31">
        <v>0</v>
      </c>
      <c r="I28" s="77">
        <v>0</v>
      </c>
      <c r="J28" s="31">
        <v>0</v>
      </c>
      <c r="K28" s="39">
        <f t="shared" si="3"/>
        <v>32218.07</v>
      </c>
      <c r="L28" s="30"/>
    </row>
    <row r="29" spans="1:12" ht="25.9" customHeight="1" x14ac:dyDescent="0.25">
      <c r="A29" s="58" t="s">
        <v>15</v>
      </c>
      <c r="B29" s="122" t="s">
        <v>56</v>
      </c>
      <c r="C29" s="123"/>
      <c r="D29" s="123"/>
      <c r="E29" s="123"/>
      <c r="F29" s="123"/>
      <c r="G29" s="123"/>
      <c r="H29" s="123"/>
      <c r="I29" s="123"/>
      <c r="J29" s="123"/>
      <c r="K29" s="124"/>
      <c r="L29" s="36"/>
    </row>
    <row r="30" spans="1:12" ht="90.75" customHeight="1" x14ac:dyDescent="0.25">
      <c r="A30" s="30" t="s">
        <v>26</v>
      </c>
      <c r="B30" s="30" t="s">
        <v>68</v>
      </c>
      <c r="C30" s="27">
        <v>5000</v>
      </c>
      <c r="D30" s="44">
        <v>5000</v>
      </c>
      <c r="E30" s="31"/>
      <c r="F30" s="31">
        <v>0</v>
      </c>
      <c r="G30" s="64">
        <v>0</v>
      </c>
      <c r="H30" s="31">
        <v>0</v>
      </c>
      <c r="I30" s="77">
        <v>0</v>
      </c>
      <c r="J30" s="38">
        <v>0.1</v>
      </c>
      <c r="K30" s="39">
        <f>D30+G30+I30+E30</f>
        <v>5000</v>
      </c>
      <c r="L30" s="30"/>
    </row>
    <row r="31" spans="1:12" ht="65.25" customHeight="1" x14ac:dyDescent="0.25">
      <c r="A31" s="30" t="s">
        <v>27</v>
      </c>
      <c r="B31" s="30" t="s">
        <v>67</v>
      </c>
      <c r="C31" s="27">
        <v>6292.69</v>
      </c>
      <c r="D31" s="44">
        <v>6292.69</v>
      </c>
      <c r="E31" s="31"/>
      <c r="F31" s="31">
        <v>0</v>
      </c>
      <c r="G31" s="64">
        <v>0</v>
      </c>
      <c r="H31" s="31">
        <v>0</v>
      </c>
      <c r="I31" s="77">
        <v>0</v>
      </c>
      <c r="J31" s="38">
        <v>0.15</v>
      </c>
      <c r="K31" s="39">
        <f t="shared" ref="K31:K34" si="4">D31+G31+I31+E31</f>
        <v>6292.69</v>
      </c>
      <c r="L31" s="30"/>
    </row>
    <row r="32" spans="1:12" ht="75" customHeight="1" x14ac:dyDescent="0.25">
      <c r="A32" s="30" t="s">
        <v>28</v>
      </c>
      <c r="B32" s="30" t="s">
        <v>66</v>
      </c>
      <c r="C32" s="27">
        <v>10000</v>
      </c>
      <c r="D32" s="44">
        <v>10000</v>
      </c>
      <c r="E32" s="31"/>
      <c r="F32" s="31">
        <v>0</v>
      </c>
      <c r="G32" s="64">
        <v>0</v>
      </c>
      <c r="H32" s="31">
        <v>0</v>
      </c>
      <c r="I32" s="77">
        <v>0</v>
      </c>
      <c r="J32" s="38">
        <v>0.15</v>
      </c>
      <c r="K32" s="39">
        <f t="shared" si="4"/>
        <v>10000</v>
      </c>
      <c r="L32" s="30"/>
    </row>
    <row r="33" spans="1:12" ht="80.25" customHeight="1" x14ac:dyDescent="0.25">
      <c r="A33" s="30" t="s">
        <v>62</v>
      </c>
      <c r="B33" s="30" t="s">
        <v>65</v>
      </c>
      <c r="C33" s="27">
        <v>30000</v>
      </c>
      <c r="D33" s="44">
        <v>30000</v>
      </c>
      <c r="E33" s="31"/>
      <c r="F33" s="31">
        <v>0</v>
      </c>
      <c r="G33" s="64">
        <v>0</v>
      </c>
      <c r="H33" s="31">
        <v>0</v>
      </c>
      <c r="I33" s="77">
        <v>0</v>
      </c>
      <c r="J33" s="38">
        <v>0.15</v>
      </c>
      <c r="K33" s="39">
        <f t="shared" si="4"/>
        <v>30000</v>
      </c>
      <c r="L33" s="30"/>
    </row>
    <row r="34" spans="1:12" ht="88.5" customHeight="1" x14ac:dyDescent="0.25">
      <c r="A34" s="30" t="s">
        <v>63</v>
      </c>
      <c r="B34" s="30" t="s">
        <v>64</v>
      </c>
      <c r="C34" s="31">
        <v>0</v>
      </c>
      <c r="D34" s="31">
        <v>0</v>
      </c>
      <c r="E34" s="31"/>
      <c r="F34" s="31">
        <v>0</v>
      </c>
      <c r="G34" s="64">
        <v>0</v>
      </c>
      <c r="H34" s="44">
        <v>185000</v>
      </c>
      <c r="I34" s="104">
        <v>161129.26</v>
      </c>
      <c r="J34" s="38">
        <v>0</v>
      </c>
      <c r="K34" s="39">
        <f t="shared" si="4"/>
        <v>161129.26</v>
      </c>
      <c r="L34" s="30"/>
    </row>
    <row r="35" spans="1:12" ht="25.9" customHeight="1" x14ac:dyDescent="0.25">
      <c r="A35" s="58" t="s">
        <v>16</v>
      </c>
      <c r="B35" s="122" t="s">
        <v>57</v>
      </c>
      <c r="C35" s="123"/>
      <c r="D35" s="123"/>
      <c r="E35" s="123"/>
      <c r="F35" s="123"/>
      <c r="G35" s="123"/>
      <c r="H35" s="123"/>
      <c r="I35" s="123"/>
      <c r="J35" s="123"/>
      <c r="K35" s="124"/>
      <c r="L35" s="36"/>
    </row>
    <row r="36" spans="1:12" ht="85.9" customHeight="1" x14ac:dyDescent="0.25">
      <c r="A36" s="30" t="s">
        <v>29</v>
      </c>
      <c r="B36" s="45" t="s">
        <v>59</v>
      </c>
      <c r="C36" s="27">
        <v>36000</v>
      </c>
      <c r="D36" s="44">
        <v>36000</v>
      </c>
      <c r="E36" s="31"/>
      <c r="F36" s="31">
        <v>0</v>
      </c>
      <c r="G36" s="64">
        <v>0</v>
      </c>
      <c r="H36" s="31">
        <v>0</v>
      </c>
      <c r="I36" s="77">
        <v>0</v>
      </c>
      <c r="J36" s="38">
        <v>0.15</v>
      </c>
      <c r="K36" s="39">
        <f>D36+G36+I36+E36</f>
        <v>36000</v>
      </c>
      <c r="L36" s="30"/>
    </row>
    <row r="37" spans="1:12" ht="25.9" customHeight="1" x14ac:dyDescent="0.25">
      <c r="A37" s="30" t="s">
        <v>95</v>
      </c>
      <c r="B37" s="45" t="s">
        <v>96</v>
      </c>
      <c r="C37" s="31">
        <v>0</v>
      </c>
      <c r="D37" s="44">
        <v>0</v>
      </c>
      <c r="E37" s="31"/>
      <c r="F37" s="27">
        <v>106394</v>
      </c>
      <c r="G37" s="69">
        <v>102248.22</v>
      </c>
      <c r="H37" s="31">
        <v>0</v>
      </c>
      <c r="I37" s="77">
        <v>0</v>
      </c>
      <c r="J37" s="34">
        <v>0.15939999999999999</v>
      </c>
      <c r="K37" s="39">
        <f t="shared" ref="K37:K43" si="5">D37+G37+I37+E37</f>
        <v>102248.22</v>
      </c>
      <c r="L37" s="36" t="s">
        <v>97</v>
      </c>
    </row>
    <row r="38" spans="1:12" ht="69" customHeight="1" x14ac:dyDescent="0.25">
      <c r="A38" s="30" t="s">
        <v>30</v>
      </c>
      <c r="B38" s="45" t="s">
        <v>58</v>
      </c>
      <c r="C38" s="27">
        <v>45000</v>
      </c>
      <c r="D38" s="35">
        <f>50063.01-5063.1</f>
        <v>44999.91</v>
      </c>
      <c r="E38" s="35">
        <v>5063.1000000000004</v>
      </c>
      <c r="F38" s="30"/>
      <c r="G38" s="65"/>
      <c r="H38" s="44">
        <v>151800</v>
      </c>
      <c r="I38" s="104">
        <v>160670.07999999999</v>
      </c>
      <c r="J38" s="38">
        <v>0.15</v>
      </c>
      <c r="K38" s="35">
        <f>D38+G38+I38+E38</f>
        <v>210733.09</v>
      </c>
      <c r="L38" s="30"/>
    </row>
    <row r="39" spans="1:12" ht="25.9" customHeight="1" x14ac:dyDescent="0.25">
      <c r="A39" s="58" t="s">
        <v>60</v>
      </c>
      <c r="B39" s="122" t="s">
        <v>61</v>
      </c>
      <c r="C39" s="123"/>
      <c r="D39" s="123"/>
      <c r="E39" s="123"/>
      <c r="F39" s="123"/>
      <c r="G39" s="123"/>
      <c r="H39" s="123"/>
      <c r="I39" s="123"/>
      <c r="J39" s="123"/>
      <c r="K39" s="124"/>
      <c r="L39" s="36"/>
    </row>
    <row r="40" spans="1:12" ht="79.5" customHeight="1" x14ac:dyDescent="0.25">
      <c r="A40" s="30" t="s">
        <v>80</v>
      </c>
      <c r="B40" s="30" t="s">
        <v>82</v>
      </c>
      <c r="C40" s="27">
        <v>1628</v>
      </c>
      <c r="D40" s="35">
        <v>1628</v>
      </c>
      <c r="E40" s="35"/>
      <c r="F40" s="47">
        <v>0</v>
      </c>
      <c r="G40" s="67">
        <v>0</v>
      </c>
      <c r="H40" s="35">
        <v>0</v>
      </c>
      <c r="I40" s="75">
        <v>0</v>
      </c>
      <c r="J40" s="34">
        <v>8.8300000000000003E-2</v>
      </c>
      <c r="K40" s="39">
        <f t="shared" si="5"/>
        <v>1628</v>
      </c>
      <c r="L40" s="48" t="s">
        <v>103</v>
      </c>
    </row>
    <row r="41" spans="1:12" ht="80.25" customHeight="1" x14ac:dyDescent="0.25">
      <c r="A41" s="30" t="s">
        <v>81</v>
      </c>
      <c r="B41" s="30" t="s">
        <v>83</v>
      </c>
      <c r="C41" s="31">
        <v>0</v>
      </c>
      <c r="D41" s="31">
        <v>0</v>
      </c>
      <c r="E41" s="31"/>
      <c r="F41" s="31">
        <v>0</v>
      </c>
      <c r="G41" s="64">
        <v>0</v>
      </c>
      <c r="H41" s="31">
        <v>0</v>
      </c>
      <c r="I41" s="77">
        <v>0</v>
      </c>
      <c r="J41" s="46"/>
      <c r="K41" s="39">
        <f t="shared" si="5"/>
        <v>0</v>
      </c>
      <c r="L41" s="30"/>
    </row>
    <row r="42" spans="1:12" ht="85.5" customHeight="1" x14ac:dyDescent="0.25">
      <c r="A42" s="30" t="s">
        <v>84</v>
      </c>
      <c r="B42" s="30" t="s">
        <v>85</v>
      </c>
      <c r="C42" s="27">
        <v>35000</v>
      </c>
      <c r="D42" s="44">
        <v>35000</v>
      </c>
      <c r="E42" s="31"/>
      <c r="F42" s="31">
        <v>0</v>
      </c>
      <c r="G42" s="64">
        <v>0</v>
      </c>
      <c r="H42" s="31">
        <v>0</v>
      </c>
      <c r="I42" s="77">
        <v>0</v>
      </c>
      <c r="J42" s="38">
        <v>0.15</v>
      </c>
      <c r="K42" s="39">
        <f t="shared" si="5"/>
        <v>35000</v>
      </c>
      <c r="L42" s="30"/>
    </row>
    <row r="43" spans="1:12" ht="82.5" customHeight="1" x14ac:dyDescent="0.25">
      <c r="A43" s="30" t="s">
        <v>86</v>
      </c>
      <c r="B43" s="30" t="s">
        <v>87</v>
      </c>
      <c r="C43" s="31">
        <v>0</v>
      </c>
      <c r="D43" s="31"/>
      <c r="E43" s="31"/>
      <c r="F43" s="27">
        <v>60746</v>
      </c>
      <c r="G43" s="69">
        <v>52689.85</v>
      </c>
      <c r="H43" s="31">
        <v>0</v>
      </c>
      <c r="I43" s="77">
        <v>0</v>
      </c>
      <c r="J43" s="38">
        <v>0</v>
      </c>
      <c r="K43" s="39">
        <f t="shared" si="5"/>
        <v>52689.85</v>
      </c>
      <c r="L43" s="30"/>
    </row>
    <row r="44" spans="1:12" ht="25.9" customHeight="1" x14ac:dyDescent="0.25">
      <c r="A44" s="30"/>
      <c r="B44" s="30"/>
      <c r="C44" s="30"/>
      <c r="D44" s="30"/>
      <c r="E44" s="30"/>
      <c r="F44" s="30"/>
      <c r="G44" s="65"/>
      <c r="H44" s="30"/>
      <c r="I44" s="78"/>
      <c r="J44" s="30"/>
      <c r="K44" s="30"/>
      <c r="L44" s="30"/>
    </row>
    <row r="45" spans="1:12" ht="25.9" customHeight="1" x14ac:dyDescent="0.25">
      <c r="A45" s="41" t="s">
        <v>49</v>
      </c>
      <c r="B45" s="102"/>
      <c r="C45" s="49">
        <f>+C43+C42+C41+C40+C38+C37+C36+C34+C33+C32+C31+C30+C28+C27+C26</f>
        <v>168920.69</v>
      </c>
      <c r="D45" s="49">
        <f>+D43+D42+D41+D40+D38+D37+D36+D34+D33+D32+D31+D30+D28+D27+D26</f>
        <v>168920.6</v>
      </c>
      <c r="E45" s="49">
        <f>+E43+E42+E41+E40+E38+E37+E36+E34+E33+E32+E31+E30+E28+E27+E26</f>
        <v>5063.1000000000004</v>
      </c>
      <c r="F45" s="50">
        <f t="shared" ref="F45:I45" si="6">F43+F42+F41+F40+F38+F37+F36+F34+F33+F32+F31+F30+F28+F27+F26+F25</f>
        <v>350840</v>
      </c>
      <c r="G45" s="68">
        <f t="shared" si="6"/>
        <v>330098.07</v>
      </c>
      <c r="H45" s="49">
        <f t="shared" si="6"/>
        <v>336800</v>
      </c>
      <c r="I45" s="80">
        <f t="shared" si="6"/>
        <v>321799.33999999997</v>
      </c>
      <c r="J45" s="49">
        <f>SUM(F25*0.4751)+(F26*0.034)+(F27*0.1934)+(C30*0.1)+(C31*0.15)+(C32*0.15)+(C33*0.15)+(C36*0.15)+(C38*0.15)+(C40*0.0883)+(C42*0.15)</f>
        <v>50548.655899999998</v>
      </c>
      <c r="K45" s="49">
        <f>+K43+K42+K41+K40+K38+K37+K36+K34+K33+K32+K31+K30+K28+K27+K26</f>
        <v>825881.10999999987</v>
      </c>
      <c r="L45" s="41"/>
    </row>
    <row r="46" spans="1:12" ht="25.9" customHeight="1" x14ac:dyDescent="0.25">
      <c r="A46" s="30" t="s">
        <v>31</v>
      </c>
      <c r="B46" s="58"/>
      <c r="C46" s="44">
        <v>353800</v>
      </c>
      <c r="D46" s="44">
        <v>309653.65999999997</v>
      </c>
      <c r="E46" s="44"/>
      <c r="F46" s="51">
        <v>157411.5</v>
      </c>
      <c r="G46" s="69">
        <v>157090.75</v>
      </c>
      <c r="H46" s="44">
        <v>136799.64000000001</v>
      </c>
      <c r="I46" s="104">
        <v>175948.36</v>
      </c>
      <c r="J46" s="38">
        <v>0</v>
      </c>
      <c r="K46" s="39">
        <f>D46+G46+I46+E46</f>
        <v>642692.77</v>
      </c>
      <c r="L46" s="58"/>
    </row>
    <row r="47" spans="1:12" ht="54.75" customHeight="1" x14ac:dyDescent="0.25">
      <c r="A47" s="30" t="s">
        <v>32</v>
      </c>
      <c r="B47" s="58"/>
      <c r="C47" s="44">
        <v>112825.54</v>
      </c>
      <c r="D47" s="44">
        <f>112825.54-30375.12</f>
        <v>82450.42</v>
      </c>
      <c r="E47" s="44">
        <v>30375.119999999999</v>
      </c>
      <c r="F47" s="51">
        <v>58754</v>
      </c>
      <c r="G47" s="69">
        <v>58936.75</v>
      </c>
      <c r="H47" s="44">
        <v>74062.080000000002</v>
      </c>
      <c r="I47" s="104">
        <v>85845.25</v>
      </c>
      <c r="J47" s="38">
        <v>0</v>
      </c>
      <c r="K47" s="39">
        <f>D47+G47+I47+E47</f>
        <v>257607.53999999998</v>
      </c>
      <c r="L47" s="58"/>
    </row>
    <row r="48" spans="1:12" ht="25.9" customHeight="1" x14ac:dyDescent="0.25">
      <c r="A48" s="30" t="s">
        <v>33</v>
      </c>
      <c r="B48" s="30" t="s">
        <v>0</v>
      </c>
      <c r="C48" s="44">
        <v>96810</v>
      </c>
      <c r="D48" s="44">
        <f>66386.57+29960.57</f>
        <v>96347.140000000014</v>
      </c>
      <c r="E48" s="31"/>
      <c r="F48" s="51">
        <v>20300</v>
      </c>
      <c r="G48" s="70">
        <v>20343.61</v>
      </c>
      <c r="H48" s="31">
        <v>0</v>
      </c>
      <c r="I48" s="77">
        <v>0</v>
      </c>
      <c r="J48" s="38">
        <v>0</v>
      </c>
      <c r="K48" s="39">
        <f>D48+G48+I48+E48</f>
        <v>116690.75000000001</v>
      </c>
      <c r="L48" s="30"/>
    </row>
    <row r="49" spans="1:14" ht="25.9" customHeight="1" x14ac:dyDescent="0.25">
      <c r="A49" s="30" t="s">
        <v>125</v>
      </c>
      <c r="B49" s="30"/>
      <c r="C49" s="44"/>
      <c r="D49" s="44">
        <v>29703.56</v>
      </c>
      <c r="E49" s="31"/>
      <c r="F49" s="51"/>
      <c r="G49" s="70">
        <v>34178.699999999997</v>
      </c>
      <c r="H49" s="31"/>
      <c r="I49" s="77"/>
      <c r="J49" s="38"/>
      <c r="K49" s="39">
        <f>D49+G49+I49+E49</f>
        <v>63882.259999999995</v>
      </c>
      <c r="L49" s="30"/>
    </row>
    <row r="50" spans="1:14" ht="25.9" customHeight="1" x14ac:dyDescent="0.25">
      <c r="A50" s="41" t="s">
        <v>50</v>
      </c>
      <c r="B50" s="41"/>
      <c r="C50" s="49">
        <f>+C48+C47+C46+C45+C23</f>
        <v>1252770.82</v>
      </c>
      <c r="D50" s="49">
        <f>D46+D47+D45+D23+D48+D49</f>
        <v>1159436.42</v>
      </c>
      <c r="E50" s="49">
        <f>+E48+E47+E46+E45+E23</f>
        <v>88156.1</v>
      </c>
      <c r="F50" s="50">
        <f t="shared" ref="F50" si="7">F46+F47+F45+F23+F48</f>
        <v>803305.5</v>
      </c>
      <c r="G50" s="68">
        <f>G46+G47+G45+G23+G48+G49</f>
        <v>791459.08</v>
      </c>
      <c r="H50" s="55">
        <f>H23+H45+H46+H47+H48</f>
        <v>747661.72</v>
      </c>
      <c r="I50" s="81">
        <f>I23+I45+I46+I47+I48</f>
        <v>747661.80999999994</v>
      </c>
      <c r="J50" s="41"/>
      <c r="K50" s="39">
        <f>D50+E50+G50+I50</f>
        <v>2786713.41</v>
      </c>
      <c r="L50" s="42"/>
    </row>
    <row r="51" spans="1:14" ht="25.9" customHeight="1" x14ac:dyDescent="0.25">
      <c r="A51" s="52" t="s">
        <v>34</v>
      </c>
      <c r="B51" s="52"/>
      <c r="C51" s="53">
        <f t="shared" ref="C51:I51" si="8">C50*7%</f>
        <v>87693.957400000014</v>
      </c>
      <c r="D51" s="53">
        <f>D50*7%-2079.25</f>
        <v>79081.299400000004</v>
      </c>
      <c r="E51" s="53">
        <f>E50*7%</f>
        <v>6170.9270000000006</v>
      </c>
      <c r="F51" s="60">
        <v>56231.39</v>
      </c>
      <c r="G51" s="71">
        <f t="shared" ref="G51" si="9">G50*7%</f>
        <v>55402.135600000001</v>
      </c>
      <c r="H51" s="54">
        <f t="shared" si="8"/>
        <v>52336.320400000004</v>
      </c>
      <c r="I51" s="82">
        <f t="shared" si="8"/>
        <v>52336.326699999998</v>
      </c>
      <c r="J51" s="52"/>
      <c r="K51" s="54">
        <f>K50*7%-2079.25</f>
        <v>192990.68870000003</v>
      </c>
      <c r="L51" s="52"/>
    </row>
    <row r="52" spans="1:14" ht="25.9" customHeight="1" thickBot="1" x14ac:dyDescent="0.3">
      <c r="A52" s="94" t="s">
        <v>35</v>
      </c>
      <c r="B52" s="94"/>
      <c r="C52" s="93">
        <f t="shared" ref="C52:D52" si="10">C50+C51</f>
        <v>1340464.7774</v>
      </c>
      <c r="D52" s="93">
        <f t="shared" si="10"/>
        <v>1238517.7193999998</v>
      </c>
      <c r="E52" s="93">
        <f>E50+E51</f>
        <v>94327.027000000002</v>
      </c>
      <c r="F52" s="93">
        <f>F50+F51</f>
        <v>859536.89</v>
      </c>
      <c r="G52" s="98">
        <f>G50+G51</f>
        <v>846861.2156</v>
      </c>
      <c r="H52" s="99">
        <f>H50+H51</f>
        <v>799998.04039999994</v>
      </c>
      <c r="I52" s="100">
        <f>I50+I51</f>
        <v>799998.13669999992</v>
      </c>
      <c r="J52" s="42">
        <f>SUM(J23,J45)</f>
        <v>133093.83789999998</v>
      </c>
      <c r="K52" s="49">
        <f>K50+K51</f>
        <v>2979704.0987</v>
      </c>
      <c r="L52" s="49"/>
    </row>
    <row r="53" spans="1:14" ht="25.9" customHeight="1" thickBot="1" x14ac:dyDescent="0.3">
      <c r="A53" s="95"/>
      <c r="B53" s="103"/>
      <c r="C53" s="97">
        <f>+C52</f>
        <v>1340464.7774</v>
      </c>
      <c r="D53" s="118">
        <f>+D52+E52</f>
        <v>1332844.7463999998</v>
      </c>
      <c r="E53" s="119"/>
      <c r="F53" s="96">
        <f>+F52</f>
        <v>859536.89</v>
      </c>
      <c r="G53" s="96">
        <f>+G52</f>
        <v>846861.2156</v>
      </c>
      <c r="H53" s="101">
        <f>+H52</f>
        <v>799998.04039999994</v>
      </c>
      <c r="I53" s="101">
        <f>+I52</f>
        <v>799998.13669999992</v>
      </c>
      <c r="J53" s="120"/>
      <c r="K53" s="121"/>
    </row>
    <row r="54" spans="1:14" s="145" customFormat="1" ht="13.5" x14ac:dyDescent="0.25">
      <c r="A54" s="144" t="s">
        <v>143</v>
      </c>
      <c r="C54" s="144"/>
      <c r="D54" s="146"/>
      <c r="E54" s="147"/>
      <c r="F54" s="148"/>
      <c r="G54" s="148"/>
      <c r="H54" s="148"/>
      <c r="I54" s="149"/>
      <c r="J54" s="149"/>
      <c r="K54" s="149"/>
      <c r="N54" s="144"/>
    </row>
    <row r="55" spans="1:14" ht="25.9" customHeight="1" x14ac:dyDescent="0.25">
      <c r="D55" s="4"/>
      <c r="E55" s="88"/>
      <c r="F55" s="4"/>
      <c r="G55" s="72"/>
      <c r="H55" s="4"/>
      <c r="I55" s="83"/>
    </row>
    <row r="56" spans="1:14" ht="25.9" customHeight="1" x14ac:dyDescent="0.25">
      <c r="C56" s="4"/>
      <c r="D56" s="88"/>
      <c r="E56" s="4"/>
      <c r="F56" s="4"/>
      <c r="G56" s="72"/>
    </row>
    <row r="57" spans="1:14" ht="25.9" customHeight="1" x14ac:dyDescent="0.25">
      <c r="D57" s="107"/>
      <c r="E57" s="4"/>
    </row>
    <row r="58" spans="1:14" ht="25.9" customHeight="1" x14ac:dyDescent="0.25">
      <c r="C58" s="4"/>
      <c r="G58" s="72"/>
    </row>
  </sheetData>
  <mergeCells count="20">
    <mergeCell ref="G4:G5"/>
    <mergeCell ref="H4:H5"/>
    <mergeCell ref="I4:I5"/>
    <mergeCell ref="J4:J5"/>
    <mergeCell ref="K4:K5"/>
    <mergeCell ref="D4:E4"/>
    <mergeCell ref="C4:C5"/>
    <mergeCell ref="A4:A5"/>
    <mergeCell ref="B4:B5"/>
    <mergeCell ref="F4:F5"/>
    <mergeCell ref="B13:K13"/>
    <mergeCell ref="B6:K6"/>
    <mergeCell ref="B18:K18"/>
    <mergeCell ref="B25:K25"/>
    <mergeCell ref="B24:K24"/>
    <mergeCell ref="D53:E53"/>
    <mergeCell ref="J53:K53"/>
    <mergeCell ref="B29:K29"/>
    <mergeCell ref="B35:K35"/>
    <mergeCell ref="B39:K39"/>
  </mergeCells>
  <pageMargins left="0.7" right="0.7" top="0.75" bottom="0.75" header="0.3" footer="0.3"/>
  <pageSetup scale="44" orientation="landscape" r:id="rId1"/>
  <rowBreaks count="1" manualBreakCount="1">
    <brk id="55" max="16383" man="1"/>
  </rowBreaks>
  <ignoredErrors>
    <ignoredError sqref="J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
  <sheetViews>
    <sheetView topLeftCell="A2" workbookViewId="0">
      <selection activeCell="F19" sqref="F19"/>
    </sheetView>
  </sheetViews>
  <sheetFormatPr defaultColWidth="8.7109375" defaultRowHeight="15" x14ac:dyDescent="0.25"/>
  <cols>
    <col min="1" max="1" width="28.7109375" style="9" customWidth="1"/>
    <col min="2" max="3" width="15.5703125" style="9" customWidth="1"/>
    <col min="4" max="4" width="15" style="9" customWidth="1"/>
    <col min="5" max="5" width="14.5703125" style="9" customWidth="1"/>
    <col min="6" max="8" width="14.7109375" style="9" customWidth="1"/>
    <col min="9" max="9" width="13" style="9" customWidth="1"/>
    <col min="10" max="10" width="15.28515625" style="9" customWidth="1"/>
    <col min="11" max="11" width="12.7109375" style="9" hidden="1" customWidth="1"/>
    <col min="12" max="12" width="12.42578125" style="9" hidden="1" customWidth="1"/>
    <col min="13" max="16384" width="8.7109375" style="9"/>
  </cols>
  <sheetData>
    <row r="1" spans="1:17" x14ac:dyDescent="0.25">
      <c r="A1" s="7" t="s">
        <v>36</v>
      </c>
      <c r="B1" s="7"/>
      <c r="C1" s="7"/>
      <c r="D1" s="7"/>
      <c r="E1" s="7"/>
      <c r="F1" s="8"/>
      <c r="G1" s="8"/>
      <c r="H1" s="8"/>
      <c r="I1" s="8"/>
      <c r="J1" s="8"/>
      <c r="K1" s="8"/>
      <c r="L1" s="8"/>
    </row>
    <row r="2" spans="1:17" x14ac:dyDescent="0.25">
      <c r="A2" s="7"/>
      <c r="B2" s="7"/>
      <c r="C2" s="7"/>
      <c r="D2" s="7"/>
      <c r="E2" s="7"/>
      <c r="F2" s="8"/>
      <c r="G2" s="8"/>
      <c r="H2" s="8"/>
      <c r="I2" s="8"/>
      <c r="J2" s="8"/>
      <c r="K2" s="8"/>
      <c r="L2" s="8"/>
    </row>
    <row r="3" spans="1:17" x14ac:dyDescent="0.25">
      <c r="A3" s="7" t="s">
        <v>37</v>
      </c>
      <c r="B3" s="7"/>
      <c r="C3" s="7"/>
      <c r="D3" s="7"/>
      <c r="E3" s="7"/>
      <c r="F3" s="8"/>
      <c r="G3" s="8"/>
      <c r="H3" s="8"/>
      <c r="I3" s="8"/>
      <c r="J3" s="8"/>
      <c r="K3" s="8"/>
      <c r="L3" s="8"/>
    </row>
    <row r="4" spans="1:17" x14ac:dyDescent="0.25">
      <c r="A4" s="8"/>
      <c r="B4" s="8"/>
      <c r="C4" s="8"/>
      <c r="D4" s="8"/>
      <c r="E4" s="8"/>
      <c r="F4" s="8"/>
      <c r="G4" s="8"/>
      <c r="H4" s="8"/>
      <c r="I4" s="8"/>
      <c r="J4" s="8"/>
      <c r="K4" s="8"/>
      <c r="L4" s="8"/>
    </row>
    <row r="5" spans="1:17" x14ac:dyDescent="0.25">
      <c r="A5" s="139" t="s">
        <v>1</v>
      </c>
      <c r="B5" s="139" t="s">
        <v>108</v>
      </c>
      <c r="C5" s="139"/>
      <c r="D5" s="139" t="s">
        <v>107</v>
      </c>
      <c r="E5" s="139"/>
      <c r="F5" s="139" t="s">
        <v>109</v>
      </c>
      <c r="G5" s="139"/>
      <c r="H5" s="10" t="s">
        <v>5</v>
      </c>
      <c r="I5" s="10" t="s">
        <v>6</v>
      </c>
      <c r="J5" s="139" t="s">
        <v>38</v>
      </c>
      <c r="K5" s="137" t="s">
        <v>104</v>
      </c>
      <c r="L5" s="137"/>
    </row>
    <row r="6" spans="1:17" x14ac:dyDescent="0.25">
      <c r="A6" s="139"/>
      <c r="B6" s="11" t="s">
        <v>3</v>
      </c>
      <c r="C6" s="11" t="s">
        <v>4</v>
      </c>
      <c r="D6" s="11" t="s">
        <v>3</v>
      </c>
      <c r="E6" s="11" t="s">
        <v>4</v>
      </c>
      <c r="F6" s="11" t="s">
        <v>3</v>
      </c>
      <c r="G6" s="11" t="s">
        <v>4</v>
      </c>
      <c r="H6" s="11"/>
      <c r="I6" s="11"/>
      <c r="J6" s="139"/>
      <c r="K6" s="12" t="s">
        <v>105</v>
      </c>
      <c r="L6" s="12" t="s">
        <v>106</v>
      </c>
    </row>
    <row r="7" spans="1:17" x14ac:dyDescent="0.25">
      <c r="A7" s="6" t="s">
        <v>39</v>
      </c>
      <c r="B7" s="19">
        <v>247660</v>
      </c>
      <c r="C7" s="19">
        <v>106140</v>
      </c>
      <c r="D7" s="19">
        <v>104941</v>
      </c>
      <c r="E7" s="19">
        <v>52470</v>
      </c>
      <c r="F7" s="19">
        <f>+[1]Sheet3!C46</f>
        <v>95760</v>
      </c>
      <c r="G7" s="19">
        <f>+[1]Sheet3!D46</f>
        <v>41040</v>
      </c>
      <c r="H7" s="24">
        <f>SUM(B7,D7,F7)</f>
        <v>448361</v>
      </c>
      <c r="I7" s="24">
        <f>SUM(C7,E7,G7)</f>
        <v>199650</v>
      </c>
      <c r="J7" s="5">
        <f t="shared" ref="J7:J13" si="0">SUM(H7:I7)</f>
        <v>648011</v>
      </c>
      <c r="K7" s="13">
        <f ca="1">K7:K14</f>
        <v>0</v>
      </c>
      <c r="L7" s="13"/>
      <c r="M7" s="15"/>
      <c r="N7" s="15"/>
      <c r="O7" s="15"/>
      <c r="P7" s="15"/>
      <c r="Q7" s="15"/>
    </row>
    <row r="8" spans="1:17" ht="25.5" x14ac:dyDescent="0.25">
      <c r="A8" s="6" t="s">
        <v>40</v>
      </c>
      <c r="B8" s="20">
        <v>56000</v>
      </c>
      <c r="C8" s="19">
        <v>24000</v>
      </c>
      <c r="D8" s="19">
        <v>20966.57</v>
      </c>
      <c r="E8" s="19">
        <v>12983.33</v>
      </c>
      <c r="F8" s="26">
        <f>+[1]Sheet3!C47</f>
        <v>4410</v>
      </c>
      <c r="G8" s="26">
        <f>+[1]Sheet3!D47</f>
        <v>1890</v>
      </c>
      <c r="H8" s="24">
        <f>SUM(B8,D8,F8)</f>
        <v>81376.570000000007</v>
      </c>
      <c r="I8" s="24">
        <f t="shared" ref="I8:I15" si="1">SUM(C8,E8,G8)</f>
        <v>38873.33</v>
      </c>
      <c r="J8" s="5">
        <f t="shared" si="0"/>
        <v>120249.90000000001</v>
      </c>
      <c r="K8" s="13">
        <v>2493.6999999999998</v>
      </c>
      <c r="L8" s="16">
        <f>K8/J8*100</f>
        <v>2.0737647183074577</v>
      </c>
    </row>
    <row r="9" spans="1:17" ht="30.6" customHeight="1" x14ac:dyDescent="0.25">
      <c r="A9" s="6" t="s">
        <v>41</v>
      </c>
      <c r="B9" s="19">
        <v>41344.800000000003</v>
      </c>
      <c r="C9" s="19">
        <v>17719.2</v>
      </c>
      <c r="D9" s="19">
        <v>38743.599999999999</v>
      </c>
      <c r="E9" s="19">
        <v>16604.400000000001</v>
      </c>
      <c r="F9" s="26">
        <f>+[1]Sheet3!C48</f>
        <v>13595.526</v>
      </c>
      <c r="G9" s="26">
        <f>+[1]Sheet3!D48</f>
        <v>5826.6539999999995</v>
      </c>
      <c r="H9" s="24">
        <f t="shared" ref="H9:H15" si="2">SUM(B9,D9,F9)</f>
        <v>93683.925999999992</v>
      </c>
      <c r="I9" s="24">
        <f t="shared" si="1"/>
        <v>40150.254000000008</v>
      </c>
      <c r="J9" s="5">
        <f t="shared" si="0"/>
        <v>133834.18</v>
      </c>
      <c r="K9" s="13"/>
      <c r="L9" s="13"/>
    </row>
    <row r="10" spans="1:17" x14ac:dyDescent="0.25">
      <c r="A10" s="6" t="s">
        <v>42</v>
      </c>
      <c r="B10" s="21">
        <f>452616.72+28000-5000</f>
        <v>475616.72</v>
      </c>
      <c r="C10" s="21">
        <f>193978.6+12000</f>
        <v>205978.6</v>
      </c>
      <c r="D10" s="19">
        <v>318854.14</v>
      </c>
      <c r="E10" s="19">
        <v>64381.71</v>
      </c>
      <c r="F10" s="26">
        <f>+[1]Sheet3!C49</f>
        <v>140000</v>
      </c>
      <c r="G10" s="26">
        <f>+[1]Sheet3!D49</f>
        <v>60000</v>
      </c>
      <c r="H10" s="24">
        <f t="shared" si="2"/>
        <v>934470.86</v>
      </c>
      <c r="I10" s="24">
        <f t="shared" si="1"/>
        <v>330360.31</v>
      </c>
      <c r="J10" s="5">
        <f t="shared" si="0"/>
        <v>1264831.17</v>
      </c>
      <c r="K10" s="13">
        <v>25372.5</v>
      </c>
      <c r="L10" s="16">
        <f>K10/J10*100</f>
        <v>2.0059989508323075</v>
      </c>
      <c r="M10" s="14"/>
      <c r="N10" s="14"/>
      <c r="O10" s="14"/>
      <c r="P10" s="14"/>
      <c r="Q10" s="14"/>
    </row>
    <row r="11" spans="1:17" x14ac:dyDescent="0.25">
      <c r="A11" s="6" t="s">
        <v>43</v>
      </c>
      <c r="B11" s="19">
        <f>7000+5000</f>
        <v>12000</v>
      </c>
      <c r="C11" s="19">
        <v>3000</v>
      </c>
      <c r="D11" s="19">
        <v>41514.1</v>
      </c>
      <c r="E11" s="19">
        <v>12346.66</v>
      </c>
      <c r="F11" s="19">
        <f>+[1]Sheet3!C50</f>
        <v>33838</v>
      </c>
      <c r="G11" s="19">
        <f>+[1]Sheet3!D50</f>
        <v>14502</v>
      </c>
      <c r="H11" s="24">
        <f t="shared" si="2"/>
        <v>87352.1</v>
      </c>
      <c r="I11" s="24">
        <f t="shared" si="1"/>
        <v>29848.66</v>
      </c>
      <c r="J11" s="5">
        <f t="shared" si="0"/>
        <v>117200.76000000001</v>
      </c>
      <c r="K11" s="13">
        <v>1320</v>
      </c>
      <c r="L11" s="16">
        <f>K11/J11*100</f>
        <v>1.1262725600072898</v>
      </c>
      <c r="M11" s="14"/>
      <c r="N11" s="14"/>
      <c r="O11" s="14"/>
      <c r="P11" s="14"/>
      <c r="Q11" s="14"/>
    </row>
    <row r="12" spans="1:17" ht="25.5" x14ac:dyDescent="0.25">
      <c r="A12" s="6" t="s">
        <v>44</v>
      </c>
      <c r="B12" s="22"/>
      <c r="C12" s="22"/>
      <c r="D12" s="19"/>
      <c r="E12" s="19">
        <v>60746</v>
      </c>
      <c r="F12" s="26">
        <f>+[1]Sheet3!C51</f>
        <v>0</v>
      </c>
      <c r="G12" s="26">
        <f>+[1]Sheet3!D51</f>
        <v>0</v>
      </c>
      <c r="H12" s="24">
        <f t="shared" si="2"/>
        <v>0</v>
      </c>
      <c r="I12" s="24">
        <f t="shared" si="1"/>
        <v>60746</v>
      </c>
      <c r="J12" s="5">
        <f t="shared" si="0"/>
        <v>60746</v>
      </c>
      <c r="K12" s="13">
        <v>4500</v>
      </c>
      <c r="L12" s="16">
        <f>K12/J12*100</f>
        <v>7.407895170052349</v>
      </c>
    </row>
    <row r="13" spans="1:17" ht="38.25" x14ac:dyDescent="0.25">
      <c r="A13" s="6" t="s">
        <v>45</v>
      </c>
      <c r="B13" s="19">
        <v>44318.05</v>
      </c>
      <c r="C13" s="19">
        <v>18993.45</v>
      </c>
      <c r="D13" s="19">
        <v>39169</v>
      </c>
      <c r="E13" s="19">
        <v>19585</v>
      </c>
      <c r="F13" s="19">
        <f>+[1]Sheet3!C52</f>
        <v>235759.86</v>
      </c>
      <c r="G13" s="19">
        <f>+[1]Sheet3!D52</f>
        <v>101039.93999999999</v>
      </c>
      <c r="H13" s="24">
        <f t="shared" si="2"/>
        <v>319246.90999999997</v>
      </c>
      <c r="I13" s="24">
        <f t="shared" si="1"/>
        <v>139618.38999999998</v>
      </c>
      <c r="J13" s="5">
        <f t="shared" si="0"/>
        <v>458865.29999999993</v>
      </c>
      <c r="K13" s="13">
        <v>7791.56</v>
      </c>
      <c r="L13" s="16">
        <f>K13/J13*100</f>
        <v>1.698005928973056</v>
      </c>
    </row>
    <row r="14" spans="1:17" x14ac:dyDescent="0.25">
      <c r="A14" s="17" t="s">
        <v>46</v>
      </c>
      <c r="B14" s="18">
        <f t="shared" ref="B14:J14" si="3">SUM(B7:B13)</f>
        <v>876939.57000000007</v>
      </c>
      <c r="C14" s="18">
        <f t="shared" si="3"/>
        <v>375831.25000000006</v>
      </c>
      <c r="D14" s="18">
        <f t="shared" si="3"/>
        <v>564188.41</v>
      </c>
      <c r="E14" s="18">
        <f t="shared" si="3"/>
        <v>239117.1</v>
      </c>
      <c r="F14" s="18">
        <f t="shared" si="3"/>
        <v>523363.386</v>
      </c>
      <c r="G14" s="18">
        <f t="shared" si="3"/>
        <v>224298.59399999998</v>
      </c>
      <c r="H14" s="18">
        <f t="shared" si="3"/>
        <v>1964491.3660000002</v>
      </c>
      <c r="I14" s="18">
        <f t="shared" si="3"/>
        <v>839246.94400000013</v>
      </c>
      <c r="J14" s="25">
        <f t="shared" si="3"/>
        <v>2803738.3099999996</v>
      </c>
      <c r="K14" s="13"/>
      <c r="L14" s="13"/>
    </row>
    <row r="15" spans="1:17" x14ac:dyDescent="0.25">
      <c r="A15" s="6" t="s">
        <v>47</v>
      </c>
      <c r="B15" s="23">
        <f>B14*7%</f>
        <v>61385.769900000014</v>
      </c>
      <c r="C15" s="23">
        <f>C14*7%</f>
        <v>26308.187500000007</v>
      </c>
      <c r="D15" s="59">
        <v>37487.593000000001</v>
      </c>
      <c r="E15" s="59">
        <v>18743.79</v>
      </c>
      <c r="F15" s="23">
        <f>F14*7%</f>
        <v>36635.437020000005</v>
      </c>
      <c r="G15" s="23">
        <f>G14*7%</f>
        <v>15700.90158</v>
      </c>
      <c r="H15" s="24">
        <f t="shared" si="2"/>
        <v>135508.79992000002</v>
      </c>
      <c r="I15" s="24">
        <f t="shared" si="1"/>
        <v>60752.879080000006</v>
      </c>
      <c r="J15" s="56">
        <f>SUM(H15,I15)</f>
        <v>196261.67900000003</v>
      </c>
      <c r="K15" s="13">
        <v>13870</v>
      </c>
      <c r="L15" s="16">
        <f>K15/J15*100</f>
        <v>7.0670953548705739</v>
      </c>
    </row>
    <row r="16" spans="1:17" ht="15.75" thickBot="1" x14ac:dyDescent="0.3">
      <c r="A16" s="17" t="s">
        <v>2</v>
      </c>
      <c r="B16" s="108">
        <f>B14+B15</f>
        <v>938325.33990000002</v>
      </c>
      <c r="C16" s="108">
        <f>C14+C15</f>
        <v>402139.43750000006</v>
      </c>
      <c r="D16" s="108">
        <f>SUM(D15,D14)</f>
        <v>601676.00300000003</v>
      </c>
      <c r="E16" s="108">
        <f>SUM(E14,E15)</f>
        <v>257860.89</v>
      </c>
      <c r="F16" s="108">
        <f>SUM(F14:F15)</f>
        <v>559998.82302000001</v>
      </c>
      <c r="G16" s="108">
        <f>SUM(G14:G15)</f>
        <v>239999.49557999999</v>
      </c>
      <c r="H16" s="108">
        <f>SUM(H14,H15)</f>
        <v>2100000.1659200001</v>
      </c>
      <c r="I16" s="109">
        <f>SUM(I14,I15)</f>
        <v>899999.82308000012</v>
      </c>
      <c r="J16" s="110">
        <f>SUM(J14,J15)</f>
        <v>2999999.9889999996</v>
      </c>
      <c r="K16" s="16">
        <f>K15+K13+K12+K11+K10+K8</f>
        <v>55347.759999999995</v>
      </c>
      <c r="L16" s="13"/>
    </row>
    <row r="17" spans="1:10" ht="15.75" thickBot="1" x14ac:dyDescent="0.3">
      <c r="B17" s="140">
        <f>+B16+C16</f>
        <v>1340464.7774</v>
      </c>
      <c r="C17" s="141"/>
      <c r="D17" s="140">
        <f>+D16+E16</f>
        <v>859536.89300000004</v>
      </c>
      <c r="E17" s="141"/>
      <c r="F17" s="140">
        <f>+F16+G16</f>
        <v>799998.3186</v>
      </c>
      <c r="G17" s="141"/>
      <c r="H17" s="140">
        <f>+H16+I16</f>
        <v>2999999.9890000001</v>
      </c>
      <c r="I17" s="141"/>
      <c r="J17" s="111">
        <f>+J16</f>
        <v>2999999.9889999996</v>
      </c>
    </row>
    <row r="18" spans="1:10" x14ac:dyDescent="0.25">
      <c r="A18" s="138"/>
      <c r="B18" s="138"/>
      <c r="C18" s="138"/>
      <c r="D18" s="138"/>
      <c r="E18" s="138"/>
      <c r="F18" s="138"/>
      <c r="G18" s="138"/>
      <c r="H18" s="138"/>
      <c r="I18" s="138"/>
      <c r="J18" s="138"/>
    </row>
  </sheetData>
  <mergeCells count="11">
    <mergeCell ref="K5:L5"/>
    <mergeCell ref="A18:J18"/>
    <mergeCell ref="B5:C5"/>
    <mergeCell ref="A5:A6"/>
    <mergeCell ref="D5:E5"/>
    <mergeCell ref="F5:G5"/>
    <mergeCell ref="J5:J6"/>
    <mergeCell ref="B17:C17"/>
    <mergeCell ref="D17:E17"/>
    <mergeCell ref="F17:G17"/>
    <mergeCell ref="H17:I1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D30A6-7B87-4335-B8FD-2CA729CF78B7}">
  <dimension ref="A2:C11"/>
  <sheetViews>
    <sheetView workbookViewId="0">
      <selection activeCell="H11" sqref="H11"/>
    </sheetView>
  </sheetViews>
  <sheetFormatPr defaultRowHeight="15" x14ac:dyDescent="0.25"/>
  <cols>
    <col min="2" max="2" width="26.42578125" customWidth="1"/>
    <col min="3" max="3" width="55.42578125" customWidth="1"/>
  </cols>
  <sheetData>
    <row r="2" spans="1:3" ht="15.75" thickBot="1" x14ac:dyDescent="0.3"/>
    <row r="3" spans="1:3" ht="15.75" thickBot="1" x14ac:dyDescent="0.3">
      <c r="B3" s="142" t="s">
        <v>140</v>
      </c>
      <c r="C3" s="143"/>
    </row>
    <row r="5" spans="1:3" x14ac:dyDescent="0.25">
      <c r="A5" s="113" t="s">
        <v>128</v>
      </c>
      <c r="B5" s="113" t="s">
        <v>126</v>
      </c>
      <c r="C5" s="113" t="s">
        <v>127</v>
      </c>
    </row>
    <row r="6" spans="1:3" ht="18" customHeight="1" x14ac:dyDescent="0.25">
      <c r="A6" s="114" t="s">
        <v>129</v>
      </c>
      <c r="B6" s="117">
        <v>17497.52</v>
      </c>
      <c r="C6" s="116" t="s">
        <v>130</v>
      </c>
    </row>
    <row r="7" spans="1:3" ht="18" customHeight="1" x14ac:dyDescent="0.25">
      <c r="A7" s="114" t="s">
        <v>131</v>
      </c>
      <c r="B7" s="117">
        <v>10294.459999999999</v>
      </c>
      <c r="C7" s="116" t="s">
        <v>132</v>
      </c>
    </row>
    <row r="8" spans="1:3" ht="18.600000000000001" customHeight="1" x14ac:dyDescent="0.25">
      <c r="A8" s="114" t="s">
        <v>131</v>
      </c>
      <c r="B8" s="117">
        <v>24925.9</v>
      </c>
      <c r="C8" s="116" t="s">
        <v>139</v>
      </c>
    </row>
    <row r="9" spans="1:3" ht="18" customHeight="1" x14ac:dyDescent="0.25">
      <c r="A9" s="114" t="s">
        <v>133</v>
      </c>
      <c r="B9" s="117">
        <v>5063.1000000000004</v>
      </c>
      <c r="C9" s="116" t="s">
        <v>134</v>
      </c>
    </row>
    <row r="10" spans="1:3" ht="18.600000000000001" customHeight="1" x14ac:dyDescent="0.25">
      <c r="A10" s="114" t="s">
        <v>135</v>
      </c>
      <c r="B10" s="117">
        <v>30375.15</v>
      </c>
      <c r="C10" s="116" t="s">
        <v>136</v>
      </c>
    </row>
    <row r="11" spans="1:3" ht="24.6" customHeight="1" x14ac:dyDescent="0.25">
      <c r="A11" s="114" t="s">
        <v>137</v>
      </c>
      <c r="B11" s="115">
        <f>SUM(B6:B10)</f>
        <v>88156.13</v>
      </c>
      <c r="C11" s="116" t="s">
        <v>138</v>
      </c>
    </row>
  </sheetData>
  <mergeCells count="1">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004B8AA681F64CA0B28140AED381F9" ma:contentTypeVersion="13" ma:contentTypeDescription="Create a new document." ma:contentTypeScope="" ma:versionID="0d30d7458b102174decebcca98a137fe">
  <xsd:schema xmlns:xsd="http://www.w3.org/2001/XMLSchema" xmlns:xs="http://www.w3.org/2001/XMLSchema" xmlns:p="http://schemas.microsoft.com/office/2006/metadata/properties" xmlns:ns3="44522a01-64ff-4d19-b402-40f532ecd955" xmlns:ns4="8ba7ad9a-7d03-40ba-b9fa-4974a273a7ff" targetNamespace="http://schemas.microsoft.com/office/2006/metadata/properties" ma:root="true" ma:fieldsID="3896ffc46c45c99d6b9b219fac3fede1" ns3:_="" ns4:_="">
    <xsd:import namespace="44522a01-64ff-4d19-b402-40f532ecd955"/>
    <xsd:import namespace="8ba7ad9a-7d03-40ba-b9fa-4974a273a7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22a01-64ff-4d19-b402-40f532ecd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a7ad9a-7d03-40ba-b9fa-4974a273a7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D695C-C116-4778-A258-31C13B70DA61}">
  <ds:schemaRefs>
    <ds:schemaRef ds:uri="http://schemas.microsoft.com/office/infopath/2007/PartnerControls"/>
    <ds:schemaRef ds:uri="http://schemas.openxmlformats.org/package/2006/metadata/core-properties"/>
    <ds:schemaRef ds:uri="http://schemas.microsoft.com/office/2006/documentManagement/types"/>
    <ds:schemaRef ds:uri="8ba7ad9a-7d03-40ba-b9fa-4974a273a7ff"/>
    <ds:schemaRef ds:uri="http://www.w3.org/XML/1998/namespace"/>
    <ds:schemaRef ds:uri="44522a01-64ff-4d19-b402-40f532ecd955"/>
    <ds:schemaRef ds:uri="http://purl.org/dc/dcmitype/"/>
    <ds:schemaRef ds:uri="http://purl.org/dc/elements/1.1/"/>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08609790-5102-458A-9425-D713D103B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22a01-64ff-4d19-b402-40f532ecd955"/>
    <ds:schemaRef ds:uri="8ba7ad9a-7d03-40ba-b9fa-4974a273a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98D5B6-670D-47BD-96D1-F9B8EA8563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PBF final Report</vt:lpstr>
      <vt:lpstr>Sheet 2</vt:lpstr>
      <vt:lpstr>Commitments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Betty Jean</cp:lastModifiedBy>
  <cp:lastPrinted>2018-06-19T15:31:37Z</cp:lastPrinted>
  <dcterms:created xsi:type="dcterms:W3CDTF">2017-11-15T21:17:43Z</dcterms:created>
  <dcterms:modified xsi:type="dcterms:W3CDTF">2020-11-16T01:52:36Z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0x0101006C004B8AA681F64CA0B28140AED381F9</vt:lpwstr>
  </property>
  <property fmtid="{D5CDD505-2E9C-101B-9397-08002B2CF9AE}" pid="3" name="MSIP_Label_2059aa38-f392-4105-be92-628035578272_Enabled">
    <vt:lpwstr>true</vt:lpwstr>
  </property>
  <property fmtid="{D5CDD505-2E9C-101B-9397-08002B2CF9AE}" pid="4" name="MSIP_Label_2059aa38-f392-4105-be92-628035578272_SetDate">
    <vt:lpwstr>2020-11-06T14:36:05Z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b2c84094-038d-4a1d-87e1-f5eafba74f64</vt:lpwstr>
  </property>
  <property fmtid="{D5CDD505-2E9C-101B-9397-08002B2CF9AE}" pid="9" name="MSIP_Label_2059aa38-f392-4105-be92-628035578272_ContentBits">
    <vt:lpwstr>0</vt:lpwstr>
  </property>
</Properties>
</file>